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akuchnio\Grupa Polsat Plus\[PROJ] MD&amp;A - Dokumenty\1Q2023\"/>
    </mc:Choice>
  </mc:AlternateContent>
  <bookViews>
    <workbookView xWindow="11854" yWindow="-154" windowWidth="11194" windowHeight="9703" tabRatio="597" activeTab="3"/>
  </bookViews>
  <sheets>
    <sheet name="P&amp;L" sheetId="1" r:id="rId1"/>
    <sheet name="Segments" sheetId="2" r:id="rId2"/>
    <sheet name="Balance sheet" sheetId="3" r:id="rId3"/>
    <sheet name="Cash Flow" sheetId="4" r:id="rId4"/>
    <sheet name="Ratios" sheetId="7" r:id="rId5"/>
    <sheet name="new KPI_segment B2C&amp;B2B" sheetId="9" r:id="rId6"/>
    <sheet name="KPI TV &amp; online" sheetId="12" r:id="rId7"/>
    <sheet name="STARE KPI--&gt;" sheetId="8" r:id="rId8"/>
    <sheet name="KPI_segment B2C&amp;B2B" sheetId="5" r:id="rId9"/>
  </sheets>
  <definedNames>
    <definedName name="_xlnm.Print_Area" localSheetId="2">'Balance sheet'!$A$1:$R$84</definedName>
    <definedName name="_xlnm.Print_Area" localSheetId="3">'Cash Flow'!$A$1:$R$78</definedName>
    <definedName name="_xlnm.Print_Area" localSheetId="8">'KPI_segment B2C&amp;B2B'!$A$1:$T$38</definedName>
    <definedName name="_xlnm.Print_Area" localSheetId="5">'new KPI_segment B2C&amp;B2B'!$A$1:$B$31</definedName>
    <definedName name="_xlnm.Print_Area" localSheetId="0">'P&amp;L'!$A$4:$T$45</definedName>
    <definedName name="OLE_LINK3" localSheetId="3">'Cash Flow'!$A$22</definedName>
    <definedName name="Z_0581D693_F741_454A_848A_FCD54BC91A66_.wvu.Cols" localSheetId="2" hidden="1">'Balance sheet'!$C:$AD</definedName>
    <definedName name="Z_0581D693_F741_454A_848A_FCD54BC91A66_.wvu.Cols" localSheetId="3" hidden="1">'Cash Flow'!$C:$AH</definedName>
    <definedName name="Z_0581D693_F741_454A_848A_FCD54BC91A66_.wvu.Cols" localSheetId="6" hidden="1">'KPI TV &amp; online'!$D:$AF</definedName>
    <definedName name="Z_0581D693_F741_454A_848A_FCD54BC91A66_.wvu.Cols" localSheetId="8" hidden="1">'KPI_segment B2C&amp;B2B'!$C:$AF</definedName>
    <definedName name="Z_0581D693_F741_454A_848A_FCD54BC91A66_.wvu.Cols" localSheetId="5" hidden="1">'new KPI_segment B2C&amp;B2B'!#REF!</definedName>
    <definedName name="Z_0581D693_F741_454A_848A_FCD54BC91A66_.wvu.Cols" localSheetId="0" hidden="1">'P&amp;L'!$C:$AF</definedName>
    <definedName name="Z_0581D693_F741_454A_848A_FCD54BC91A66_.wvu.Cols" localSheetId="1" hidden="1">Segments!$C:$AL,Segments!$AR:$AV</definedName>
    <definedName name="Z_0581D693_F741_454A_848A_FCD54BC91A66_.wvu.PrintArea" localSheetId="2" hidden="1">'Balance sheet'!$A$1:$R$84</definedName>
    <definedName name="Z_0581D693_F741_454A_848A_FCD54BC91A66_.wvu.PrintArea" localSheetId="3" hidden="1">'Cash Flow'!$A$1:$R$78</definedName>
    <definedName name="Z_0581D693_F741_454A_848A_FCD54BC91A66_.wvu.PrintArea" localSheetId="8" hidden="1">'KPI_segment B2C&amp;B2B'!$A$1:$T$38</definedName>
    <definedName name="Z_0581D693_F741_454A_848A_FCD54BC91A66_.wvu.PrintArea" localSheetId="5" hidden="1">'new KPI_segment B2C&amp;B2B'!$A$1:$B$31</definedName>
    <definedName name="Z_0581D693_F741_454A_848A_FCD54BC91A66_.wvu.PrintArea" localSheetId="0" hidden="1">'P&amp;L'!$A$4:$T$45</definedName>
    <definedName name="Z_0581D693_F741_454A_848A_FCD54BC91A66_.wvu.Rows" localSheetId="8" hidden="1">'KPI_segment B2C&amp;B2B'!$14:$14</definedName>
    <definedName name="Z_0581D693_F741_454A_848A_FCD54BC91A66_.wvu.Rows" localSheetId="5" hidden="1">'new KPI_segment B2C&amp;B2B'!#REF!</definedName>
    <definedName name="Z_634BFE77_A2AA_4FA6_8ED5_F02244B9F10C_.wvu.Cols" localSheetId="2" hidden="1">'Balance sheet'!$C:$AD</definedName>
    <definedName name="Z_634BFE77_A2AA_4FA6_8ED5_F02244B9F10C_.wvu.Cols" localSheetId="3" hidden="1">'Cash Flow'!$C:$AH</definedName>
    <definedName name="Z_634BFE77_A2AA_4FA6_8ED5_F02244B9F10C_.wvu.Cols" localSheetId="6" hidden="1">'KPI TV &amp; online'!$D:$AF</definedName>
    <definedName name="Z_634BFE77_A2AA_4FA6_8ED5_F02244B9F10C_.wvu.Cols" localSheetId="8" hidden="1">'KPI_segment B2C&amp;B2B'!$C:$AF</definedName>
    <definedName name="Z_634BFE77_A2AA_4FA6_8ED5_F02244B9F10C_.wvu.Cols" localSheetId="5" hidden="1">'new KPI_segment B2C&amp;B2B'!#REF!</definedName>
    <definedName name="Z_634BFE77_A2AA_4FA6_8ED5_F02244B9F10C_.wvu.Cols" localSheetId="0" hidden="1">'P&amp;L'!$C:$AF</definedName>
    <definedName name="Z_634BFE77_A2AA_4FA6_8ED5_F02244B9F10C_.wvu.Cols" localSheetId="1" hidden="1">Segments!$C:$AL,Segments!$AR:$AV</definedName>
    <definedName name="Z_634BFE77_A2AA_4FA6_8ED5_F02244B9F10C_.wvu.PrintArea" localSheetId="2" hidden="1">'Balance sheet'!$A$1:$R$84</definedName>
    <definedName name="Z_634BFE77_A2AA_4FA6_8ED5_F02244B9F10C_.wvu.PrintArea" localSheetId="3" hidden="1">'Cash Flow'!$A$1:$R$78</definedName>
    <definedName name="Z_634BFE77_A2AA_4FA6_8ED5_F02244B9F10C_.wvu.PrintArea" localSheetId="8" hidden="1">'KPI_segment B2C&amp;B2B'!$A$1:$T$38</definedName>
    <definedName name="Z_634BFE77_A2AA_4FA6_8ED5_F02244B9F10C_.wvu.PrintArea" localSheetId="5" hidden="1">'new KPI_segment B2C&amp;B2B'!$A$1:$B$31</definedName>
    <definedName name="Z_634BFE77_A2AA_4FA6_8ED5_F02244B9F10C_.wvu.PrintArea" localSheetId="0" hidden="1">'P&amp;L'!$A$4:$T$45</definedName>
    <definedName name="Z_634BFE77_A2AA_4FA6_8ED5_F02244B9F10C_.wvu.Rows" localSheetId="8" hidden="1">'KPI_segment B2C&amp;B2B'!$14:$14</definedName>
    <definedName name="Z_634BFE77_A2AA_4FA6_8ED5_F02244B9F10C_.wvu.Rows" localSheetId="5" hidden="1">'new KPI_segment B2C&amp;B2B'!#REF!</definedName>
    <definedName name="Z_B87BD74C_18F3_4393_BF03_31B25889E08F_.wvu.Cols" localSheetId="3" hidden="1">'Cash Flow'!$C:$AH</definedName>
    <definedName name="Z_B87BD74C_18F3_4393_BF03_31B25889E08F_.wvu.Cols" localSheetId="6" hidden="1">'KPI TV &amp; online'!$D:$AF</definedName>
    <definedName name="Z_B87BD74C_18F3_4393_BF03_31B25889E08F_.wvu.Cols" localSheetId="8" hidden="1">'KPI_segment B2C&amp;B2B'!$C:$AF</definedName>
    <definedName name="Z_B87BD74C_18F3_4393_BF03_31B25889E08F_.wvu.Cols" localSheetId="5" hidden="1">'new KPI_segment B2C&amp;B2B'!#REF!</definedName>
    <definedName name="Z_B87BD74C_18F3_4393_BF03_31B25889E08F_.wvu.Cols" localSheetId="0" hidden="1">'P&amp;L'!$C:$AF</definedName>
    <definedName name="Z_B87BD74C_18F3_4393_BF03_31B25889E08F_.wvu.Cols" localSheetId="1" hidden="1">Segments!$C:$AL,Segments!$AR:$AV</definedName>
    <definedName name="Z_B87BD74C_18F3_4393_BF03_31B25889E08F_.wvu.PrintArea" localSheetId="2" hidden="1">'Balance sheet'!$A$1:$R$84</definedName>
    <definedName name="Z_B87BD74C_18F3_4393_BF03_31B25889E08F_.wvu.PrintArea" localSheetId="3" hidden="1">'Cash Flow'!$A$1:$R$78</definedName>
    <definedName name="Z_B87BD74C_18F3_4393_BF03_31B25889E08F_.wvu.PrintArea" localSheetId="8" hidden="1">'KPI_segment B2C&amp;B2B'!$A$1:$T$38</definedName>
    <definedName name="Z_B87BD74C_18F3_4393_BF03_31B25889E08F_.wvu.PrintArea" localSheetId="5" hidden="1">'new KPI_segment B2C&amp;B2B'!$A$1:$B$31</definedName>
    <definedName name="Z_B87BD74C_18F3_4393_BF03_31B25889E08F_.wvu.PrintArea" localSheetId="0" hidden="1">'P&amp;L'!$A$4:$T$45</definedName>
    <definedName name="Z_B87BD74C_18F3_4393_BF03_31B25889E08F_.wvu.Rows" localSheetId="8" hidden="1">'KPI_segment B2C&amp;B2B'!$14:$14</definedName>
    <definedName name="Z_B87BD74C_18F3_4393_BF03_31B25889E08F_.wvu.Rows" localSheetId="5" hidden="1">'new KPI_segment B2C&amp;B2B'!#REF!</definedName>
    <definedName name="Z_ED9E521F_BC9B_4E88_8A9F_5288A046401B_.wvu.Cols" localSheetId="6" hidden="1">'KPI TV &amp; online'!$D:$AF</definedName>
    <definedName name="Z_ED9E521F_BC9B_4E88_8A9F_5288A046401B_.wvu.Cols" localSheetId="1" hidden="1">Segments!$C:$AL,Segments!$AR:$AV</definedName>
    <definedName name="Z_ED9E521F_BC9B_4E88_8A9F_5288A046401B_.wvu.PrintArea" localSheetId="2" hidden="1">'Balance sheet'!$A$1:$R$84</definedName>
    <definedName name="Z_ED9E521F_BC9B_4E88_8A9F_5288A046401B_.wvu.PrintArea" localSheetId="3" hidden="1">'Cash Flow'!$A$1:$R$78</definedName>
    <definedName name="Z_ED9E521F_BC9B_4E88_8A9F_5288A046401B_.wvu.PrintArea" localSheetId="8" hidden="1">'KPI_segment B2C&amp;B2B'!$A$1:$T$38</definedName>
    <definedName name="Z_ED9E521F_BC9B_4E88_8A9F_5288A046401B_.wvu.PrintArea" localSheetId="5" hidden="1">'new KPI_segment B2C&amp;B2B'!$A$1:$B$31</definedName>
    <definedName name="Z_ED9E521F_BC9B_4E88_8A9F_5288A046401B_.wvu.PrintArea" localSheetId="0" hidden="1">'P&amp;L'!$A$4:$T$45</definedName>
    <definedName name="Z_ED9E521F_BC9B_4E88_8A9F_5288A046401B_.wvu.Rows" localSheetId="8" hidden="1">'KPI_segment B2C&amp;B2B'!$14:$14</definedName>
    <definedName name="Z_ED9E521F_BC9B_4E88_8A9F_5288A046401B_.wvu.Rows" localSheetId="5" hidden="1">'new KPI_segment B2C&amp;B2B'!#REF!</definedName>
  </definedNames>
  <calcPr calcId="162913"/>
  <customWorkbookViews>
    <customWorkbookView name="Agata Wiktorow-Sobczuk - Widok osobisty" guid="{ED9E521F-BC9B-4E88-8A9F-5288A046401B}" mergeInterval="0" personalView="1" maximized="1" xWindow="1912" yWindow="2" windowWidth="1936" windowHeight="1056" tabRatio="597" activeSheetId="1"/>
    <customWorkbookView name="Grzegorz Para - Widok osobisty" guid="{634BFE77-A2AA-4FA6-8ED5-F02244B9F10C}" mergeInterval="0" personalView="1" maximized="1" xWindow="-8" yWindow="-8" windowWidth="1936" windowHeight="1056" activeSheetId="1"/>
    <customWorkbookView name="Anna Kuchnio - Widok osobisty" guid="{0581D693-F741-454A-848A-FCD54BC91A66}" mergeInterval="0" personalView="1" xWindow="-2295" yWindow="-56" windowWidth="1251" windowHeight="1134" activeSheetId="4"/>
    <customWorkbookView name="egieniusz - Widok osobisty" guid="{B87BD74C-18F3-4393-BF03-31B25889E08F}" mergeInterval="0" personalView="1" maximized="1" xWindow="-8" yWindow="-8" windowWidth="1936" windowHeight="1056" activeSheetId="6"/>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9" i="12" l="1"/>
  <c r="BJ8" i="12"/>
  <c r="BJ7" i="12"/>
  <c r="BJ6" i="12"/>
  <c r="BJ5" i="12"/>
  <c r="BJ34" i="12" l="1"/>
  <c r="BJ33" i="12"/>
  <c r="BJ32" i="12"/>
  <c r="BJ31" i="12"/>
  <c r="BJ30" i="12"/>
  <c r="BF28" i="12"/>
  <c r="BJ25" i="12"/>
  <c r="BJ24" i="12"/>
  <c r="BJ23" i="12"/>
  <c r="BJ22" i="12"/>
  <c r="BJ21" i="12"/>
  <c r="BF19" i="12"/>
  <c r="BI13" i="12"/>
  <c r="BH13" i="12"/>
  <c r="BG13" i="12"/>
  <c r="BF13" i="12"/>
  <c r="BJ12" i="12"/>
  <c r="BJ11" i="12"/>
  <c r="BJ13" i="12" l="1"/>
  <c r="BR18" i="2" l="1"/>
  <c r="BS18" i="2"/>
  <c r="BT18" i="2"/>
  <c r="BQ18" i="2"/>
  <c r="BR23" i="2"/>
  <c r="BS23" i="2"/>
  <c r="BT23" i="2"/>
  <c r="BQ23" i="2"/>
  <c r="AY53" i="4" l="1"/>
  <c r="AY6" i="4" l="1"/>
  <c r="BB6" i="4" l="1"/>
  <c r="BB32" i="4" s="1"/>
  <c r="BB35" i="4" s="1"/>
  <c r="BA6" i="4"/>
  <c r="BA32" i="4" s="1"/>
  <c r="BA35" i="4" s="1"/>
  <c r="AZ6" i="4"/>
  <c r="AZ32" i="4" s="1"/>
  <c r="AZ35" i="4" s="1"/>
  <c r="AY3" i="4"/>
  <c r="BB68" i="4"/>
  <c r="BA68" i="4"/>
  <c r="AZ68" i="4"/>
  <c r="AY68" i="4"/>
  <c r="BB53" i="4"/>
  <c r="BA53" i="4"/>
  <c r="AZ53" i="4"/>
  <c r="BA69" i="4" l="1"/>
  <c r="BB69" i="4"/>
  <c r="AZ69" i="4"/>
  <c r="AU62" i="3" l="1"/>
  <c r="BT10" i="1"/>
  <c r="BS10" i="1"/>
  <c r="BQ10" i="1"/>
  <c r="BS5" i="1"/>
  <c r="BR5" i="1"/>
  <c r="BQ5" i="1"/>
  <c r="BQ21" i="1" l="1"/>
  <c r="BQ26" i="1" s="1"/>
  <c r="BT5" i="1"/>
  <c r="BT32" i="1" s="1"/>
  <c r="BS32" i="1"/>
  <c r="BS26" i="1"/>
  <c r="BS28" i="1" s="1"/>
  <c r="BR10" i="1"/>
  <c r="AX75" i="3"/>
  <c r="AW75" i="3"/>
  <c r="AV75" i="3"/>
  <c r="AX62" i="3"/>
  <c r="AX78" i="3" s="1"/>
  <c r="AW62" i="3"/>
  <c r="AV62" i="3"/>
  <c r="AV78" i="3" s="1"/>
  <c r="AX51" i="3"/>
  <c r="AX53" i="3" s="1"/>
  <c r="AW51" i="3"/>
  <c r="AW53" i="3" s="1"/>
  <c r="AV51" i="3"/>
  <c r="AV53" i="3" s="1"/>
  <c r="AX36" i="3"/>
  <c r="AW36" i="3"/>
  <c r="AV36" i="3"/>
  <c r="AX23" i="3"/>
  <c r="AX39" i="3" s="1"/>
  <c r="AW23" i="3"/>
  <c r="AV23" i="3"/>
  <c r="BS28" i="2"/>
  <c r="BR28" i="2"/>
  <c r="BQ28" i="2"/>
  <c r="BU27" i="2"/>
  <c r="BU21" i="2"/>
  <c r="BU20" i="2"/>
  <c r="BU17" i="2"/>
  <c r="BU16" i="2"/>
  <c r="BU15" i="2"/>
  <c r="BU14" i="2"/>
  <c r="BU13" i="2"/>
  <c r="BQ10" i="2"/>
  <c r="BU9" i="2"/>
  <c r="BU7" i="2"/>
  <c r="BQ5" i="2"/>
  <c r="AV79" i="3" l="1"/>
  <c r="AW78" i="3"/>
  <c r="BQ32" i="2"/>
  <c r="BQ28" i="1"/>
  <c r="BQ32" i="1"/>
  <c r="BT26" i="1"/>
  <c r="BT28" i="1" s="1"/>
  <c r="BR26" i="1"/>
  <c r="BR28" i="1" s="1"/>
  <c r="BR32" i="1"/>
  <c r="BS33" i="1"/>
  <c r="BS36" i="1"/>
  <c r="BS37" i="1" s="1"/>
  <c r="BT33" i="1"/>
  <c r="BT36" i="1"/>
  <c r="BT37" i="1" s="1"/>
  <c r="AX79" i="3"/>
  <c r="AV39" i="3"/>
  <c r="AW39" i="3"/>
  <c r="AW79" i="3"/>
  <c r="BS5" i="2"/>
  <c r="BT5" i="2"/>
  <c r="BU11" i="2"/>
  <c r="BU12" i="2"/>
  <c r="BS10" i="2"/>
  <c r="BS32" i="2"/>
  <c r="BU30" i="2"/>
  <c r="BU31" i="2"/>
  <c r="BU24" i="2"/>
  <c r="BR10" i="2"/>
  <c r="BU8" i="2"/>
  <c r="BT28" i="2"/>
  <c r="BU6" i="2"/>
  <c r="BR5" i="2"/>
  <c r="BR32" i="2" s="1"/>
  <c r="BU22" i="2"/>
  <c r="BU26" i="2"/>
  <c r="BT5" i="7" l="1"/>
  <c r="BQ31" i="1"/>
  <c r="BU5" i="2"/>
  <c r="BT32" i="2"/>
  <c r="AY5" i="4"/>
  <c r="AY32" i="4" s="1"/>
  <c r="AY35" i="4" s="1"/>
  <c r="BQ33" i="1"/>
  <c r="BT4" i="7" s="1"/>
  <c r="BQ36" i="1"/>
  <c r="BR36" i="1"/>
  <c r="BR37" i="1" s="1"/>
  <c r="BR33" i="1"/>
  <c r="BU29" i="2"/>
  <c r="BU28" i="2" s="1"/>
  <c r="BT10" i="2"/>
  <c r="BU25" i="2"/>
  <c r="BU23" i="2" s="1"/>
  <c r="BU10" i="2"/>
  <c r="BU32" i="2" l="1"/>
  <c r="AY69" i="4"/>
  <c r="BQ37" i="1"/>
  <c r="BU19" i="2"/>
  <c r="BU18" i="2" s="1"/>
  <c r="AU36" i="3" l="1"/>
  <c r="AU51" i="3"/>
  <c r="AU23" i="3"/>
  <c r="AU75" i="3"/>
  <c r="BT8" i="7" l="1"/>
  <c r="AU53" i="3"/>
  <c r="BT7" i="7" s="1"/>
  <c r="AU39" i="3"/>
  <c r="BT6" i="7" s="1"/>
  <c r="AU78" i="3"/>
  <c r="BT9" i="7" s="1"/>
  <c r="AU79" i="3" l="1"/>
  <c r="Z16" i="9"/>
  <c r="Y16" i="9"/>
  <c r="X16" i="9"/>
  <c r="Z6" i="9"/>
  <c r="Y6" i="9"/>
  <c r="X6" i="9"/>
  <c r="W16" i="9" l="1"/>
  <c r="W6" i="9"/>
  <c r="BE25" i="12" l="1"/>
  <c r="BE24" i="12"/>
  <c r="BE23" i="12"/>
  <c r="BE22" i="12"/>
  <c r="BE21" i="12"/>
  <c r="BE34" i="12"/>
  <c r="BE33" i="12"/>
  <c r="BE32" i="12"/>
  <c r="BE31" i="12"/>
  <c r="BE30" i="12"/>
  <c r="AT36" i="3" l="1"/>
  <c r="K27" i="3"/>
  <c r="J27" i="3"/>
  <c r="I27" i="3"/>
  <c r="H27" i="3"/>
  <c r="G27" i="3"/>
  <c r="F27" i="3"/>
  <c r="E27" i="3"/>
  <c r="D27" i="3"/>
  <c r="C27" i="3"/>
  <c r="BO25" i="1" l="1"/>
  <c r="BO29" i="1" l="1"/>
  <c r="BO20" i="1"/>
  <c r="BO30" i="1" l="1"/>
  <c r="BO27" i="1"/>
  <c r="BO22" i="1"/>
  <c r="AP75" i="3" l="1"/>
  <c r="V6" i="9" l="1"/>
  <c r="BO16" i="1" l="1"/>
  <c r="BO7" i="1"/>
  <c r="BO23" i="1" l="1"/>
  <c r="BO19" i="1"/>
  <c r="BO18" i="1"/>
  <c r="BO17" i="1"/>
  <c r="BO15" i="1"/>
  <c r="BO14" i="1"/>
  <c r="BO13" i="1"/>
  <c r="BO12" i="1"/>
  <c r="BO9" i="1"/>
  <c r="BO8" i="1"/>
  <c r="BO6" i="1"/>
  <c r="BD13" i="12" l="1"/>
  <c r="BN26" i="2" l="1"/>
  <c r="BO26" i="2" s="1"/>
  <c r="BE11" i="12" l="1"/>
  <c r="BE12" i="12"/>
  <c r="AZ34" i="12"/>
  <c r="AU34" i="12"/>
  <c r="AZ33" i="12"/>
  <c r="AU33" i="12"/>
  <c r="AZ32" i="12"/>
  <c r="AU32" i="12"/>
  <c r="AZ31" i="12"/>
  <c r="AU31" i="12"/>
  <c r="AZ30" i="12"/>
  <c r="AU30" i="12"/>
  <c r="BA28" i="12"/>
  <c r="AV28" i="12"/>
  <c r="AZ25" i="12"/>
  <c r="AU25" i="12"/>
  <c r="AZ24" i="12"/>
  <c r="AU24" i="12"/>
  <c r="AZ23" i="12"/>
  <c r="AU23" i="12"/>
  <c r="AZ22" i="12"/>
  <c r="AU22" i="12"/>
  <c r="AZ21" i="12"/>
  <c r="AU21" i="12"/>
  <c r="BA19" i="12"/>
  <c r="AV19" i="12"/>
  <c r="BC13" i="12"/>
  <c r="BB13" i="12"/>
  <c r="BA13" i="12"/>
  <c r="AY13" i="12"/>
  <c r="AX13" i="12"/>
  <c r="AW13" i="12"/>
  <c r="AV13" i="12"/>
  <c r="AT13" i="12"/>
  <c r="AS13" i="12"/>
  <c r="AR13" i="12"/>
  <c r="AQ13" i="12"/>
  <c r="AP13" i="12"/>
  <c r="AO13" i="12"/>
  <c r="AN13" i="12"/>
  <c r="AM13" i="12"/>
  <c r="AL13" i="12"/>
  <c r="AK13" i="12"/>
  <c r="AJ13" i="12"/>
  <c r="AI13" i="12"/>
  <c r="AH13" i="12"/>
  <c r="AG13" i="12"/>
  <c r="AZ12" i="12"/>
  <c r="AZ11" i="12"/>
  <c r="AU11" i="12"/>
  <c r="AU13" i="12" s="1"/>
  <c r="AZ13" i="12" l="1"/>
  <c r="BE13" i="12"/>
  <c r="BN5" i="1" l="1"/>
  <c r="BN31" i="2" l="1"/>
  <c r="BO31" i="2" s="1"/>
  <c r="BN27" i="2"/>
  <c r="BO27" i="2" s="1"/>
  <c r="BN22" i="2"/>
  <c r="BO22" i="2" s="1"/>
  <c r="BN21" i="2"/>
  <c r="BO21" i="2" s="1"/>
  <c r="BM19" i="2"/>
  <c r="BN19" i="2" s="1"/>
  <c r="BL18" i="2"/>
  <c r="BN14" i="2"/>
  <c r="BO14" i="2" s="1"/>
  <c r="BN13" i="2"/>
  <c r="BO13" i="2" s="1"/>
  <c r="BN8" i="2"/>
  <c r="BO8" i="2" s="1"/>
  <c r="BO19" i="2" l="1"/>
  <c r="AS23" i="3"/>
  <c r="AS51" i="3" l="1"/>
  <c r="BM24" i="2" l="1"/>
  <c r="BN24" i="2" s="1"/>
  <c r="BM11" i="2"/>
  <c r="BN11" i="2" s="1"/>
  <c r="BO11" i="2" s="1"/>
  <c r="BO24" i="2" l="1"/>
  <c r="BP31" i="2"/>
  <c r="BM29" i="2"/>
  <c r="BN29" i="2" s="1"/>
  <c r="BO29" i="2" s="1"/>
  <c r="BM6" i="2" l="1"/>
  <c r="BN6" i="2" s="1"/>
  <c r="BO6" i="2" s="1"/>
  <c r="BM7" i="2"/>
  <c r="BN7" i="2" s="1"/>
  <c r="BO7" i="2" s="1"/>
  <c r="BM30" i="2" l="1"/>
  <c r="BN30" i="2" s="1"/>
  <c r="BO30" i="2" s="1"/>
  <c r="BL10" i="2"/>
  <c r="BP14" i="2"/>
  <c r="BP22" i="2"/>
  <c r="BP21" i="2"/>
  <c r="BP26" i="2"/>
  <c r="BP27" i="2"/>
  <c r="BM25" i="2"/>
  <c r="BM20" i="2"/>
  <c r="BM12" i="2"/>
  <c r="BP13" i="2"/>
  <c r="BP8" i="2"/>
  <c r="BM9" i="2"/>
  <c r="BO28" i="2"/>
  <c r="BN28" i="2"/>
  <c r="BL28" i="2"/>
  <c r="BL23" i="2"/>
  <c r="BL5" i="2"/>
  <c r="BM5" i="2" l="1"/>
  <c r="BN9" i="2"/>
  <c r="BO9" i="2" s="1"/>
  <c r="BM10" i="2"/>
  <c r="BN12" i="2"/>
  <c r="BM18" i="2"/>
  <c r="BN20" i="2"/>
  <c r="BM23" i="2"/>
  <c r="BN25" i="2"/>
  <c r="BN23" i="2" s="1"/>
  <c r="BM28" i="2"/>
  <c r="BM32" i="2" s="1"/>
  <c r="BO20" i="2" l="1"/>
  <c r="BO18" i="2" s="1"/>
  <c r="BN18" i="2"/>
  <c r="BN10" i="2"/>
  <c r="BO12" i="2"/>
  <c r="BO10" i="2" s="1"/>
  <c r="BO25" i="2"/>
  <c r="BO23" i="2" s="1"/>
  <c r="BP35" i="1"/>
  <c r="AR75" i="3" l="1"/>
  <c r="AR51" i="3" l="1"/>
  <c r="BM11" i="1"/>
  <c r="BO11" i="1" s="1"/>
  <c r="BP17" i="2" l="1"/>
  <c r="AQ51" i="3" l="1"/>
  <c r="AX68" i="4" l="1"/>
  <c r="AW68" i="4"/>
  <c r="AV68" i="4"/>
  <c r="AU68" i="4"/>
  <c r="AX53" i="4"/>
  <c r="AW53" i="4"/>
  <c r="AV53" i="4"/>
  <c r="AU53" i="4"/>
  <c r="AX6" i="4"/>
  <c r="AW6" i="4"/>
  <c r="AV6" i="4"/>
  <c r="AU6" i="4"/>
  <c r="BP30" i="2"/>
  <c r="BP25" i="2"/>
  <c r="BP24" i="2"/>
  <c r="BP20" i="2"/>
  <c r="BP19" i="2"/>
  <c r="BP16" i="2"/>
  <c r="BP15" i="2"/>
  <c r="BP12" i="2"/>
  <c r="BP11" i="2"/>
  <c r="BP9" i="2"/>
  <c r="BP7" i="2"/>
  <c r="BP6" i="2"/>
  <c r="BO5" i="2"/>
  <c r="BO32" i="2" s="1"/>
  <c r="BN5" i="2"/>
  <c r="BN32" i="2" s="1"/>
  <c r="AT75" i="3"/>
  <c r="BS8" i="7" s="1"/>
  <c r="AS75" i="3"/>
  <c r="AQ75" i="3"/>
  <c r="AT62" i="3"/>
  <c r="AS62" i="3"/>
  <c r="AR62" i="3"/>
  <c r="AQ62" i="3"/>
  <c r="AT51" i="3"/>
  <c r="AS53" i="3"/>
  <c r="AR53" i="3"/>
  <c r="AQ53" i="3"/>
  <c r="AS36" i="3"/>
  <c r="AR36" i="3"/>
  <c r="AQ36" i="3"/>
  <c r="AT23" i="3"/>
  <c r="AT39" i="3" s="1"/>
  <c r="AR23" i="3"/>
  <c r="AQ23" i="3"/>
  <c r="BP27" i="1"/>
  <c r="BP23" i="1"/>
  <c r="BP22" i="1"/>
  <c r="BP20" i="1"/>
  <c r="BP18" i="1"/>
  <c r="BP16" i="1"/>
  <c r="BP15" i="1"/>
  <c r="BP14" i="1"/>
  <c r="BP13" i="1"/>
  <c r="BP12" i="1"/>
  <c r="BP11" i="1"/>
  <c r="BP9" i="1"/>
  <c r="BP8" i="1"/>
  <c r="BP7" i="1"/>
  <c r="BP34" i="1"/>
  <c r="BP30" i="1"/>
  <c r="BP29" i="1"/>
  <c r="BP24" i="1"/>
  <c r="BP19" i="1"/>
  <c r="BP17" i="1"/>
  <c r="BO10" i="1"/>
  <c r="BN10" i="1"/>
  <c r="BM10" i="1"/>
  <c r="BO5" i="1"/>
  <c r="BO21" i="1" s="1"/>
  <c r="BM5" i="1"/>
  <c r="BQ8" i="7" l="1"/>
  <c r="BR8" i="7"/>
  <c r="AT53" i="3"/>
  <c r="BP18" i="2"/>
  <c r="BO8" i="7"/>
  <c r="BP10" i="2"/>
  <c r="AS39" i="3"/>
  <c r="BP8" i="7"/>
  <c r="BP10" i="1"/>
  <c r="BP23" i="2"/>
  <c r="BP5" i="2"/>
  <c r="AR78" i="3"/>
  <c r="AR39" i="3"/>
  <c r="BM21" i="1"/>
  <c r="BL32" i="2"/>
  <c r="AQ39" i="3"/>
  <c r="BP29" i="2"/>
  <c r="BP28" i="2" s="1"/>
  <c r="AQ78" i="3"/>
  <c r="AS78" i="3"/>
  <c r="AT78" i="3"/>
  <c r="BL10" i="1"/>
  <c r="BL5" i="1"/>
  <c r="BS9" i="7" l="1"/>
  <c r="BR9" i="7"/>
  <c r="BP32" i="2"/>
  <c r="BO32" i="1"/>
  <c r="BO33" i="1" s="1"/>
  <c r="BR4" i="7" s="1"/>
  <c r="AT79" i="3"/>
  <c r="AS79" i="3"/>
  <c r="BQ9" i="7"/>
  <c r="BO9" i="7"/>
  <c r="BM32" i="1"/>
  <c r="BM36" i="1" s="1"/>
  <c r="AR79" i="3"/>
  <c r="BP9" i="7"/>
  <c r="BO26" i="1"/>
  <c r="BM26" i="1"/>
  <c r="AQ79" i="3"/>
  <c r="BL21" i="1"/>
  <c r="BL32" i="1" s="1"/>
  <c r="BL36" i="1" s="1"/>
  <c r="V16" i="9"/>
  <c r="T16" i="9"/>
  <c r="T6" i="9"/>
  <c r="BO36" i="1" l="1"/>
  <c r="BO28" i="1"/>
  <c r="BM28" i="1"/>
  <c r="BP5" i="7" s="1"/>
  <c r="BM33" i="1"/>
  <c r="BL33" i="1"/>
  <c r="BO4" i="7" s="1"/>
  <c r="BL26" i="1"/>
  <c r="S16" i="9"/>
  <c r="S6" i="9"/>
  <c r="BR6" i="7" l="1"/>
  <c r="BR5" i="7"/>
  <c r="BR7" i="7"/>
  <c r="BO37" i="1"/>
  <c r="BP7" i="7"/>
  <c r="BM31" i="1"/>
  <c r="BP6" i="7"/>
  <c r="BM37" i="1"/>
  <c r="BP4" i="7"/>
  <c r="BL28" i="1"/>
  <c r="BL37" i="1"/>
  <c r="AU5" i="4" l="1"/>
  <c r="AV5" i="4"/>
  <c r="BL31" i="1"/>
  <c r="BO7" i="7"/>
  <c r="BO6" i="7"/>
  <c r="BO5" i="7"/>
  <c r="AT6" i="4"/>
  <c r="BJ29" i="2" l="1"/>
  <c r="BK29" i="1" l="1"/>
  <c r="BJ30" i="2" l="1"/>
  <c r="BJ28" i="2" s="1"/>
  <c r="BJ25" i="2"/>
  <c r="BJ24" i="2"/>
  <c r="BJ20" i="2"/>
  <c r="BJ19" i="2"/>
  <c r="BJ16" i="2"/>
  <c r="BJ12" i="2"/>
  <c r="BJ11" i="2"/>
  <c r="BJ7" i="2"/>
  <c r="BJ6" i="2"/>
  <c r="BJ9" i="2"/>
  <c r="BI10" i="2"/>
  <c r="BJ10" i="2" l="1"/>
  <c r="BJ5" i="2"/>
  <c r="BK22" i="1" l="1"/>
  <c r="AP23" i="3" l="1"/>
  <c r="BK20" i="1" l="1"/>
  <c r="AP51" i="3" l="1"/>
  <c r="R16" i="9"/>
  <c r="Q16" i="9"/>
  <c r="P16" i="9"/>
  <c r="O16" i="9"/>
  <c r="N16" i="9"/>
  <c r="M16" i="9"/>
  <c r="L16" i="9"/>
  <c r="K16" i="9"/>
  <c r="J16" i="9"/>
  <c r="I16" i="9"/>
  <c r="H16" i="9"/>
  <c r="G16" i="9"/>
  <c r="F16" i="9"/>
  <c r="E16" i="9"/>
  <c r="D16" i="9"/>
  <c r="C16" i="9"/>
  <c r="R6" i="9"/>
  <c r="Q6" i="9"/>
  <c r="P6" i="9"/>
  <c r="O6" i="9"/>
  <c r="N6" i="9"/>
  <c r="M6" i="9"/>
  <c r="L6" i="9"/>
  <c r="K6" i="9"/>
  <c r="J6" i="9"/>
  <c r="I6" i="9"/>
  <c r="H6" i="9"/>
  <c r="G6" i="9"/>
  <c r="F6" i="9"/>
  <c r="E6" i="9"/>
  <c r="D6" i="9"/>
  <c r="C6" i="9"/>
  <c r="J4" i="9"/>
  <c r="N4" i="9" s="1"/>
  <c r="R4" i="9" s="1"/>
  <c r="V4" i="9" s="1"/>
  <c r="Z4" i="9" s="1"/>
  <c r="I4" i="9"/>
  <c r="M4" i="9" s="1"/>
  <c r="Q4" i="9" s="1"/>
  <c r="U4" i="9" s="1"/>
  <c r="Y4" i="9" s="1"/>
  <c r="H4" i="9"/>
  <c r="L4" i="9" s="1"/>
  <c r="P4" i="9" s="1"/>
  <c r="T4" i="9" s="1"/>
  <c r="X4" i="9" s="1"/>
  <c r="G4" i="9"/>
  <c r="K4" i="9" s="1"/>
  <c r="O4" i="9" s="1"/>
  <c r="S4" i="9" s="1"/>
  <c r="W4" i="9" s="1"/>
  <c r="AP53" i="3" l="1"/>
  <c r="BG10" i="2"/>
  <c r="BH10" i="2" l="1"/>
  <c r="BK15" i="2" l="1"/>
  <c r="BF15" i="2"/>
  <c r="AZ25" i="5" l="1"/>
  <c r="AZ17" i="5"/>
  <c r="AZ16" i="5"/>
  <c r="AZ15" i="5"/>
  <c r="AZ12" i="5"/>
  <c r="AZ27" i="5"/>
  <c r="AZ26" i="5"/>
  <c r="AZ8" i="5"/>
  <c r="AZ11" i="5"/>
  <c r="AZ10" i="5"/>
  <c r="AZ9" i="5"/>
  <c r="AZ7" i="5" l="1"/>
  <c r="AZ24" i="5"/>
  <c r="AZ29" i="5"/>
  <c r="BK19" i="1" l="1"/>
  <c r="BC10" i="1" l="1"/>
  <c r="BG10" i="1"/>
  <c r="BH10" i="1"/>
  <c r="AN36" i="3" l="1"/>
  <c r="AM36" i="3" l="1"/>
  <c r="BG18" i="2" l="1"/>
  <c r="BH5" i="2"/>
  <c r="BI5" i="2"/>
  <c r="BG5" i="2"/>
  <c r="AM51" i="3" l="1"/>
  <c r="AV7" i="5" l="1"/>
  <c r="AY29" i="5" l="1"/>
  <c r="AX29" i="5"/>
  <c r="AW29" i="5"/>
  <c r="AV29" i="5"/>
  <c r="AY24" i="5"/>
  <c r="AX24" i="5"/>
  <c r="AV24" i="5"/>
  <c r="AY17" i="5"/>
  <c r="AX17" i="5"/>
  <c r="AW17" i="5"/>
  <c r="AV17" i="5"/>
  <c r="AY7" i="5"/>
  <c r="AX7" i="5"/>
  <c r="AW7" i="5"/>
  <c r="AS68" i="4"/>
  <c r="AS53" i="4"/>
  <c r="AT68" i="4"/>
  <c r="AR68" i="4"/>
  <c r="AQ68" i="4"/>
  <c r="AT53" i="4"/>
  <c r="AR53" i="4"/>
  <c r="AQ53" i="4"/>
  <c r="AS6" i="4"/>
  <c r="AR6" i="4"/>
  <c r="AQ6" i="4"/>
  <c r="AO75" i="3"/>
  <c r="AN75" i="3"/>
  <c r="AM75" i="3"/>
  <c r="AP62" i="3"/>
  <c r="AO62" i="3"/>
  <c r="AN62" i="3"/>
  <c r="AM62" i="3"/>
  <c r="AO51" i="3"/>
  <c r="AO53" i="3" s="1"/>
  <c r="AN51" i="3"/>
  <c r="AN53" i="3" s="1"/>
  <c r="AM53" i="3"/>
  <c r="AP36" i="3"/>
  <c r="AO36" i="3"/>
  <c r="AO23" i="3"/>
  <c r="AN23" i="3"/>
  <c r="AM23" i="3"/>
  <c r="BK34" i="1"/>
  <c r="BK30" i="1"/>
  <c r="BK27" i="1"/>
  <c r="BK25" i="1"/>
  <c r="BK24" i="1"/>
  <c r="BK23" i="1"/>
  <c r="BK18" i="1"/>
  <c r="BK17" i="1"/>
  <c r="BK16" i="1"/>
  <c r="BK15" i="1"/>
  <c r="BK14" i="1"/>
  <c r="BK13" i="1"/>
  <c r="BK12" i="1"/>
  <c r="BK11" i="1"/>
  <c r="BJ10" i="1"/>
  <c r="BI10" i="1"/>
  <c r="BK9" i="1"/>
  <c r="BK8" i="1"/>
  <c r="BK7" i="1"/>
  <c r="BK6" i="1"/>
  <c r="BJ5" i="1"/>
  <c r="BI5" i="1"/>
  <c r="BH5" i="1"/>
  <c r="BH21" i="1" s="1"/>
  <c r="BH26" i="1" s="1"/>
  <c r="BG5" i="1"/>
  <c r="BK30" i="2"/>
  <c r="BK29" i="2"/>
  <c r="BJ32" i="2"/>
  <c r="BI28" i="2"/>
  <c r="BI32" i="2" s="1"/>
  <c r="BH28" i="2"/>
  <c r="BH32" i="2" s="1"/>
  <c r="BG28" i="2"/>
  <c r="BG32" i="2" s="1"/>
  <c r="BK25" i="2"/>
  <c r="BK24" i="2"/>
  <c r="BJ23" i="2"/>
  <c r="BI23" i="2"/>
  <c r="BH23" i="2"/>
  <c r="BG23" i="2"/>
  <c r="BK20" i="2"/>
  <c r="BK19" i="2"/>
  <c r="BJ18" i="2"/>
  <c r="BI18" i="2"/>
  <c r="BH18" i="2"/>
  <c r="BK16" i="2"/>
  <c r="BK12" i="2"/>
  <c r="BK11" i="2"/>
  <c r="BK9" i="2"/>
  <c r="BK7" i="2"/>
  <c r="BK6" i="2"/>
  <c r="BJ8" i="7" l="1"/>
  <c r="AM39" i="3"/>
  <c r="BK8" i="7"/>
  <c r="AN39" i="3"/>
  <c r="BI21" i="1"/>
  <c r="BI32" i="1" s="1"/>
  <c r="BI36" i="1" s="1"/>
  <c r="BJ21" i="1"/>
  <c r="BN8" i="7"/>
  <c r="BM8" i="7"/>
  <c r="BK10" i="2"/>
  <c r="BL8" i="7"/>
  <c r="AN78" i="3"/>
  <c r="AM78" i="3"/>
  <c r="AO78" i="3"/>
  <c r="AO79" i="3" s="1"/>
  <c r="AP78" i="3"/>
  <c r="AO39" i="3"/>
  <c r="AP39" i="3"/>
  <c r="AX5" i="5"/>
  <c r="BK18" i="2"/>
  <c r="BG21" i="1"/>
  <c r="BG32" i="1" s="1"/>
  <c r="BG36" i="1" s="1"/>
  <c r="BG37" i="1" s="1"/>
  <c r="BK5" i="1"/>
  <c r="BK28" i="2"/>
  <c r="AY5" i="5"/>
  <c r="AV5" i="5"/>
  <c r="BK10" i="1"/>
  <c r="BH28" i="1"/>
  <c r="BH32" i="1"/>
  <c r="BK23" i="2"/>
  <c r="BK5" i="2"/>
  <c r="AM28" i="2"/>
  <c r="BJ32" i="1" l="1"/>
  <c r="BJ33" i="1" s="1"/>
  <c r="BM4" i="7" s="1"/>
  <c r="BI26" i="1"/>
  <c r="BI28" i="1" s="1"/>
  <c r="BL5" i="7" s="1"/>
  <c r="BH33" i="1"/>
  <c r="BK4" i="7" s="1"/>
  <c r="BH36" i="1"/>
  <c r="BH37" i="1" s="1"/>
  <c r="AP79" i="3"/>
  <c r="BN9" i="7"/>
  <c r="BM9" i="7"/>
  <c r="BK21" i="1"/>
  <c r="AN79" i="3"/>
  <c r="BK9" i="7"/>
  <c r="AM79" i="3"/>
  <c r="BJ9" i="7"/>
  <c r="BL9" i="7"/>
  <c r="BH31" i="1"/>
  <c r="BK7" i="7"/>
  <c r="BK6" i="7"/>
  <c r="BK5" i="7"/>
  <c r="BI37" i="1"/>
  <c r="BK32" i="2"/>
  <c r="BG33" i="1"/>
  <c r="BJ4" i="7" s="1"/>
  <c r="BG26" i="1"/>
  <c r="BG28" i="1" s="1"/>
  <c r="BJ26" i="1"/>
  <c r="BJ36" i="1" l="1"/>
  <c r="BJ28" i="1"/>
  <c r="BM5" i="7" s="1"/>
  <c r="BL6" i="7"/>
  <c r="BI31" i="1"/>
  <c r="BL7" i="7"/>
  <c r="BJ5" i="7"/>
  <c r="BJ6" i="7"/>
  <c r="BJ7" i="7"/>
  <c r="BM6" i="7"/>
  <c r="BK26" i="1"/>
  <c r="BK28" i="1" s="1"/>
  <c r="BJ37" i="1"/>
  <c r="BK36" i="1"/>
  <c r="BK37" i="1" s="1"/>
  <c r="BI33" i="1"/>
  <c r="BL4" i="7" s="1"/>
  <c r="BG31" i="1"/>
  <c r="AQ5" i="4"/>
  <c r="BK32" i="1"/>
  <c r="AV32" i="2"/>
  <c r="AU32" i="2"/>
  <c r="AT32" i="2"/>
  <c r="AS32" i="2"/>
  <c r="AR32" i="2"/>
  <c r="BF30" i="2"/>
  <c r="BA30" i="2"/>
  <c r="AQ30" i="2"/>
  <c r="BF29" i="2"/>
  <c r="BA29" i="2"/>
  <c r="AQ29" i="2"/>
  <c r="BE28" i="2"/>
  <c r="BD28" i="2"/>
  <c r="BC28" i="2"/>
  <c r="BB28" i="2"/>
  <c r="AZ28" i="2"/>
  <c r="AY28" i="2"/>
  <c r="AX28" i="2"/>
  <c r="AW28" i="2"/>
  <c r="AP28" i="2"/>
  <c r="AO28" i="2"/>
  <c r="AN28" i="2"/>
  <c r="BF25" i="2"/>
  <c r="BA25" i="2"/>
  <c r="AQ25" i="2"/>
  <c r="BF24" i="2"/>
  <c r="BA24" i="2"/>
  <c r="AQ24" i="2"/>
  <c r="BE23" i="2"/>
  <c r="BD23" i="2"/>
  <c r="BC23" i="2"/>
  <c r="BB23" i="2"/>
  <c r="AZ23" i="2"/>
  <c r="AY23" i="2"/>
  <c r="AX23" i="2"/>
  <c r="AW23" i="2"/>
  <c r="AV23" i="2"/>
  <c r="AU23" i="2"/>
  <c r="AT23" i="2"/>
  <c r="AS23" i="2"/>
  <c r="AR23" i="2"/>
  <c r="AP23" i="2"/>
  <c r="AO23" i="2"/>
  <c r="AN23" i="2"/>
  <c r="AM23" i="2"/>
  <c r="BF20" i="2"/>
  <c r="BA20" i="2"/>
  <c r="AQ20" i="2"/>
  <c r="BF19" i="2"/>
  <c r="BA19" i="2"/>
  <c r="AQ19" i="2"/>
  <c r="BE18" i="2"/>
  <c r="BD18" i="2"/>
  <c r="BC18" i="2"/>
  <c r="BB18" i="2"/>
  <c r="BB10" i="2" s="1"/>
  <c r="AZ18" i="2"/>
  <c r="AY18" i="2"/>
  <c r="AX18" i="2"/>
  <c r="AW18" i="2"/>
  <c r="AP18" i="2"/>
  <c r="AO18" i="2"/>
  <c r="AN18" i="2"/>
  <c r="AM18" i="2"/>
  <c r="BF12" i="2"/>
  <c r="BF11" i="2"/>
  <c r="BE10" i="2"/>
  <c r="BD10" i="2"/>
  <c r="BC10" i="2"/>
  <c r="BF9" i="2"/>
  <c r="BA9" i="2"/>
  <c r="AQ9" i="2"/>
  <c r="BF7" i="2"/>
  <c r="BA7" i="2"/>
  <c r="AQ7" i="2"/>
  <c r="BF6" i="2"/>
  <c r="BA6" i="2"/>
  <c r="AQ6" i="2"/>
  <c r="BD5" i="2"/>
  <c r="BC5" i="2"/>
  <c r="BB5" i="2"/>
  <c r="AZ5" i="2"/>
  <c r="AY5" i="2"/>
  <c r="AX5" i="2"/>
  <c r="AW5" i="2"/>
  <c r="AP5" i="2"/>
  <c r="AO5" i="2"/>
  <c r="AN5" i="2"/>
  <c r="AM5" i="2"/>
  <c r="BM7" i="7" l="1"/>
  <c r="BJ31" i="1"/>
  <c r="BK31" i="1"/>
  <c r="BN7" i="7"/>
  <c r="BN5" i="7"/>
  <c r="BN6" i="7"/>
  <c r="AT5" i="4"/>
  <c r="AT32" i="4" s="1"/>
  <c r="AQ32" i="4"/>
  <c r="AQ35" i="4" s="1"/>
  <c r="AR5" i="4"/>
  <c r="AQ23" i="2"/>
  <c r="BA5" i="2"/>
  <c r="BK33" i="1"/>
  <c r="BN4" i="7" s="1"/>
  <c r="BA23" i="2"/>
  <c r="AP32" i="2"/>
  <c r="BA18" i="2"/>
  <c r="BF18" i="2"/>
  <c r="BF28" i="2"/>
  <c r="BD32" i="2"/>
  <c r="AX32" i="2"/>
  <c r="AQ5" i="2"/>
  <c r="BB32" i="2"/>
  <c r="BF10" i="2"/>
  <c r="AY32" i="2"/>
  <c r="BF23" i="2"/>
  <c r="AZ32" i="2"/>
  <c r="AW32" i="2"/>
  <c r="BF5" i="2"/>
  <c r="AQ28" i="2"/>
  <c r="AN32" i="2"/>
  <c r="BC32" i="2"/>
  <c r="AQ18" i="2"/>
  <c r="AO32" i="2"/>
  <c r="BE5" i="2"/>
  <c r="BE32" i="2" s="1"/>
  <c r="AM32" i="2"/>
  <c r="BA28" i="2"/>
  <c r="AS5" i="4" l="1"/>
  <c r="AS32" i="4" s="1"/>
  <c r="AS35" i="4" s="1"/>
  <c r="AQ69" i="4"/>
  <c r="AR32" i="4"/>
  <c r="BA32" i="2"/>
  <c r="AQ32" i="2"/>
  <c r="BF32" i="2"/>
  <c r="AR35" i="4" l="1"/>
  <c r="AT35" i="4"/>
  <c r="AS69" i="4"/>
  <c r="AL75" i="3"/>
  <c r="AR69" i="4" l="1"/>
  <c r="AT69" i="4"/>
  <c r="AL36" i="3"/>
  <c r="BF25" i="1"/>
  <c r="BF22" i="1"/>
  <c r="BE10" i="1" l="1"/>
  <c r="AU27" i="5" l="1"/>
  <c r="AU26" i="5"/>
  <c r="AU25" i="5"/>
  <c r="AU16" i="5"/>
  <c r="AU15" i="5"/>
  <c r="AU12" i="5"/>
  <c r="AU11" i="5"/>
  <c r="AU10" i="5"/>
  <c r="AU9" i="5"/>
  <c r="AU8" i="5"/>
  <c r="L32" i="5"/>
  <c r="L31" i="5"/>
  <c r="L30" i="5"/>
  <c r="AU29" i="5"/>
  <c r="AT29" i="5"/>
  <c r="AS29" i="5"/>
  <c r="AR29" i="5"/>
  <c r="AQ29" i="5"/>
  <c r="AP29" i="5"/>
  <c r="AO29" i="5"/>
  <c r="AN29" i="5"/>
  <c r="AM29" i="5"/>
  <c r="AL29" i="5"/>
  <c r="AK29" i="5"/>
  <c r="AJ29" i="5"/>
  <c r="AI29" i="5"/>
  <c r="AH29" i="5"/>
  <c r="AG29" i="5"/>
  <c r="AF29" i="5"/>
  <c r="AE29" i="5"/>
  <c r="AD29" i="5"/>
  <c r="AC29" i="5"/>
  <c r="AB29" i="5"/>
  <c r="AA29" i="5"/>
  <c r="Z29" i="5"/>
  <c r="Y29" i="5"/>
  <c r="X29" i="5"/>
  <c r="W29" i="5"/>
  <c r="V29" i="5"/>
  <c r="U29" i="5"/>
  <c r="T29" i="5"/>
  <c r="S29" i="5"/>
  <c r="R29" i="5"/>
  <c r="Q29" i="5"/>
  <c r="P29" i="5"/>
  <c r="O29" i="5"/>
  <c r="N29" i="5"/>
  <c r="M29" i="5"/>
  <c r="K29" i="5"/>
  <c r="J29" i="5"/>
  <c r="I29" i="5"/>
  <c r="H29" i="5"/>
  <c r="AF27" i="5"/>
  <c r="AA27" i="5"/>
  <c r="V27" i="5"/>
  <c r="L27" i="5"/>
  <c r="AF26" i="5"/>
  <c r="AA26" i="5"/>
  <c r="V26" i="5"/>
  <c r="L26" i="5"/>
  <c r="AF25" i="5"/>
  <c r="AA25" i="5"/>
  <c r="V25" i="5"/>
  <c r="L25" i="5"/>
  <c r="AT24" i="5"/>
  <c r="AS24" i="5"/>
  <c r="AR24" i="5"/>
  <c r="AQ24" i="5"/>
  <c r="AP24" i="5"/>
  <c r="AO24" i="5"/>
  <c r="AN24" i="5"/>
  <c r="AM24" i="5"/>
  <c r="AL24" i="5"/>
  <c r="AK24" i="5"/>
  <c r="AJ24" i="5"/>
  <c r="AI24" i="5"/>
  <c r="AI5" i="5" s="1"/>
  <c r="AH24" i="5"/>
  <c r="AH5" i="5" s="1"/>
  <c r="AG24" i="5"/>
  <c r="AE24" i="5"/>
  <c r="AD24" i="5"/>
  <c r="AC24" i="5"/>
  <c r="AB24" i="5"/>
  <c r="Z24" i="5"/>
  <c r="Y24" i="5"/>
  <c r="X24" i="5"/>
  <c r="W24" i="5"/>
  <c r="U24" i="5"/>
  <c r="T24" i="5"/>
  <c r="S24" i="5"/>
  <c r="R24" i="5"/>
  <c r="Q24" i="5"/>
  <c r="P24" i="5"/>
  <c r="O24" i="5"/>
  <c r="N24" i="5"/>
  <c r="M24" i="5"/>
  <c r="K24" i="5"/>
  <c r="J24" i="5"/>
  <c r="I24" i="5"/>
  <c r="H24" i="5"/>
  <c r="L22" i="5"/>
  <c r="G22" i="5"/>
  <c r="L21" i="5"/>
  <c r="G21" i="5"/>
  <c r="L20" i="5"/>
  <c r="G20" i="5"/>
  <c r="L19" i="5"/>
  <c r="G19" i="5"/>
  <c r="L18" i="5"/>
  <c r="G18" i="5"/>
  <c r="AU17" i="5"/>
  <c r="AT17" i="5"/>
  <c r="AS17" i="5"/>
  <c r="AR17" i="5"/>
  <c r="AQ17" i="5"/>
  <c r="AP17" i="5"/>
  <c r="AO17" i="5"/>
  <c r="AN17" i="5"/>
  <c r="AM17" i="5"/>
  <c r="AL17" i="5"/>
  <c r="AK17" i="5"/>
  <c r="AJ17" i="5"/>
  <c r="AI17" i="5"/>
  <c r="AH17" i="5"/>
  <c r="AG17" i="5"/>
  <c r="AF17" i="5"/>
  <c r="AE17" i="5"/>
  <c r="AD17" i="5"/>
  <c r="AC17" i="5"/>
  <c r="AB17" i="5"/>
  <c r="AA17" i="5"/>
  <c r="Z17" i="5"/>
  <c r="Y17" i="5"/>
  <c r="X17" i="5"/>
  <c r="W17" i="5"/>
  <c r="V17" i="5"/>
  <c r="U17" i="5"/>
  <c r="T17" i="5"/>
  <c r="S17" i="5"/>
  <c r="R17" i="5"/>
  <c r="Q17" i="5"/>
  <c r="P17" i="5"/>
  <c r="O17" i="5"/>
  <c r="N17" i="5"/>
  <c r="M17" i="5"/>
  <c r="K17" i="5"/>
  <c r="J17" i="5"/>
  <c r="I17" i="5"/>
  <c r="H17" i="5"/>
  <c r="F17" i="5"/>
  <c r="E17" i="5"/>
  <c r="D17" i="5"/>
  <c r="C17" i="5"/>
  <c r="AP16" i="5"/>
  <c r="AA16" i="5"/>
  <c r="AP15" i="5"/>
  <c r="O15" i="5"/>
  <c r="L15" i="5"/>
  <c r="G15" i="5"/>
  <c r="AP12" i="5"/>
  <c r="AF12" i="5"/>
  <c r="AA12" i="5"/>
  <c r="V12" i="5"/>
  <c r="L12" i="5"/>
  <c r="G12" i="5"/>
  <c r="AP11" i="5"/>
  <c r="AF11" i="5"/>
  <c r="AA11" i="5"/>
  <c r="V11" i="5"/>
  <c r="L11" i="5"/>
  <c r="G11" i="5"/>
  <c r="AP10" i="5"/>
  <c r="AF10" i="5"/>
  <c r="AA10" i="5"/>
  <c r="V10" i="5"/>
  <c r="L10" i="5"/>
  <c r="G10" i="5"/>
  <c r="AP9" i="5"/>
  <c r="AF9" i="5"/>
  <c r="AA9" i="5"/>
  <c r="V9" i="5"/>
  <c r="L9" i="5"/>
  <c r="G9" i="5"/>
  <c r="AP8" i="5"/>
  <c r="AF8" i="5"/>
  <c r="AA8" i="5"/>
  <c r="V8" i="5"/>
  <c r="L8" i="5"/>
  <c r="G8" i="5"/>
  <c r="AT7" i="5"/>
  <c r="AS7" i="5"/>
  <c r="AR7" i="5"/>
  <c r="AQ7" i="5"/>
  <c r="AO7" i="5"/>
  <c r="AN7" i="5"/>
  <c r="AM7" i="5"/>
  <c r="AL7" i="5"/>
  <c r="AK7" i="5"/>
  <c r="AJ7" i="5"/>
  <c r="AG7" i="5"/>
  <c r="AE7" i="5"/>
  <c r="AD7" i="5"/>
  <c r="AC7" i="5"/>
  <c r="AB7" i="5"/>
  <c r="Z7" i="5"/>
  <c r="Y7" i="5"/>
  <c r="X7" i="5"/>
  <c r="W7" i="5"/>
  <c r="U7" i="5"/>
  <c r="T7" i="5"/>
  <c r="S7" i="5"/>
  <c r="R7" i="5"/>
  <c r="R16" i="5" s="1"/>
  <c r="Q7" i="5"/>
  <c r="P7" i="5"/>
  <c r="O7" i="5"/>
  <c r="N7" i="5"/>
  <c r="N16" i="5" s="1"/>
  <c r="M7" i="5"/>
  <c r="K7" i="5"/>
  <c r="K16" i="5" s="1"/>
  <c r="J7" i="5"/>
  <c r="J16" i="5" s="1"/>
  <c r="I7" i="5"/>
  <c r="I16" i="5" s="1"/>
  <c r="H7" i="5"/>
  <c r="H16" i="5" s="1"/>
  <c r="F7" i="5"/>
  <c r="F16" i="5" s="1"/>
  <c r="E7" i="5"/>
  <c r="E16" i="5" s="1"/>
  <c r="D7" i="5"/>
  <c r="D16" i="5" s="1"/>
  <c r="C7" i="5"/>
  <c r="C16" i="5" s="1"/>
  <c r="AB5" i="5" l="1"/>
  <c r="AK5" i="5"/>
  <c r="Q5" i="5"/>
  <c r="AM5" i="5"/>
  <c r="K5" i="5"/>
  <c r="Y5" i="5"/>
  <c r="AU24" i="5"/>
  <c r="AL5" i="5"/>
  <c r="S5" i="5"/>
  <c r="AC5" i="5"/>
  <c r="AR5" i="5"/>
  <c r="AJ5" i="5"/>
  <c r="AS5" i="5"/>
  <c r="AA24" i="5"/>
  <c r="L29" i="5"/>
  <c r="AN5" i="5"/>
  <c r="L17" i="5"/>
  <c r="AP7" i="5"/>
  <c r="AP5" i="5" s="1"/>
  <c r="G17" i="5"/>
  <c r="AO5" i="5"/>
  <c r="M5" i="5"/>
  <c r="U5" i="5"/>
  <c r="AE5" i="5"/>
  <c r="AQ5" i="5"/>
  <c r="T5" i="5"/>
  <c r="P5" i="5"/>
  <c r="AD5" i="5"/>
  <c r="V7" i="5"/>
  <c r="G7" i="5"/>
  <c r="G16" i="5" s="1"/>
  <c r="AG5" i="5"/>
  <c r="L24" i="5"/>
  <c r="V24" i="5"/>
  <c r="AU7" i="5"/>
  <c r="AF24" i="5"/>
  <c r="O5" i="5"/>
  <c r="W5" i="5"/>
  <c r="M16" i="5"/>
  <c r="X5" i="5"/>
  <c r="Z5" i="5"/>
  <c r="I5" i="5"/>
  <c r="AF7" i="5"/>
  <c r="R5" i="5"/>
  <c r="AA7" i="5"/>
  <c r="J5" i="5"/>
  <c r="AT5" i="5"/>
  <c r="L7" i="5"/>
  <c r="L16" i="5" s="1"/>
  <c r="N5" i="5"/>
  <c r="H5" i="5"/>
  <c r="BF29" i="1"/>
  <c r="AU5" i="5" l="1"/>
  <c r="V5" i="5"/>
  <c r="AA5" i="5"/>
  <c r="AF5" i="5"/>
  <c r="L5" i="5"/>
  <c r="AN59" i="4"/>
  <c r="BF34" i="1" l="1"/>
  <c r="BF23" i="1" l="1"/>
  <c r="AN6" i="4"/>
  <c r="AN32" i="4" s="1"/>
  <c r="AN35" i="4" s="1"/>
  <c r="AO6" i="4"/>
  <c r="AO32" i="4" s="1"/>
  <c r="AP6" i="4"/>
  <c r="AP32" i="4" s="1"/>
  <c r="AP35" i="4" s="1"/>
  <c r="AN53" i="4"/>
  <c r="AP53" i="4"/>
  <c r="AN68" i="4"/>
  <c r="AP68" i="4"/>
  <c r="AM68" i="4"/>
  <c r="AM53" i="4"/>
  <c r="AM6" i="4"/>
  <c r="AK75" i="3"/>
  <c r="AJ75" i="3"/>
  <c r="AI75" i="3"/>
  <c r="AL62" i="3"/>
  <c r="AK62" i="3"/>
  <c r="AJ62" i="3"/>
  <c r="AI62" i="3"/>
  <c r="AL51" i="3"/>
  <c r="AK51" i="3"/>
  <c r="AK53" i="3" s="1"/>
  <c r="AJ51" i="3"/>
  <c r="AJ53" i="3" s="1"/>
  <c r="AI51" i="3"/>
  <c r="AI53" i="3" s="1"/>
  <c r="AK36" i="3"/>
  <c r="AJ36" i="3"/>
  <c r="AI36" i="3"/>
  <c r="AL23" i="3"/>
  <c r="AK23" i="3"/>
  <c r="AJ23" i="3"/>
  <c r="AI23" i="3"/>
  <c r="BF30" i="1"/>
  <c r="BF27" i="1"/>
  <c r="BF24" i="1"/>
  <c r="BF20" i="1"/>
  <c r="BF18" i="1"/>
  <c r="BF17" i="1"/>
  <c r="BF16" i="1"/>
  <c r="BF15" i="1"/>
  <c r="BF14" i="1"/>
  <c r="BF13" i="1"/>
  <c r="BF12" i="1"/>
  <c r="BF11" i="1"/>
  <c r="BD10" i="1"/>
  <c r="BB10" i="1"/>
  <c r="BF9" i="1"/>
  <c r="BF8" i="1"/>
  <c r="BF7" i="1"/>
  <c r="BF6" i="1"/>
  <c r="BE5" i="1"/>
  <c r="BD5" i="1"/>
  <c r="BC5" i="1"/>
  <c r="BB5" i="1"/>
  <c r="AL53" i="3" l="1"/>
  <c r="AL39" i="3"/>
  <c r="BE21" i="1"/>
  <c r="BE26" i="1" s="1"/>
  <c r="BE28" i="1" s="1"/>
  <c r="BE31" i="1" s="1"/>
  <c r="AK39" i="3"/>
  <c r="BD21" i="1"/>
  <c r="BD26" i="1" s="1"/>
  <c r="BD28" i="1" s="1"/>
  <c r="BD31" i="1" s="1"/>
  <c r="AK78" i="3"/>
  <c r="AK79" i="3" s="1"/>
  <c r="AJ78" i="3"/>
  <c r="AJ79" i="3" s="1"/>
  <c r="BC21" i="1"/>
  <c r="BC32" i="1" s="1"/>
  <c r="BF5" i="1"/>
  <c r="AP69" i="4"/>
  <c r="AO73" i="4"/>
  <c r="AN69" i="4"/>
  <c r="AN73" i="4" s="1"/>
  <c r="AI39" i="3"/>
  <c r="AJ39" i="3"/>
  <c r="AL78" i="3"/>
  <c r="AI78" i="3"/>
  <c r="AI79" i="3" s="1"/>
  <c r="BF10" i="1"/>
  <c r="BB21" i="1"/>
  <c r="BB26" i="1" s="1"/>
  <c r="BB28" i="1" s="1"/>
  <c r="BB31" i="1" s="1"/>
  <c r="AL68" i="4"/>
  <c r="AZ5" i="1"/>
  <c r="AZ10" i="1"/>
  <c r="AU10" i="1"/>
  <c r="AU5" i="1"/>
  <c r="AL79" i="3" l="1"/>
  <c r="AP73" i="4"/>
  <c r="BC33" i="1"/>
  <c r="BC36" i="1"/>
  <c r="BC37" i="1" s="1"/>
  <c r="BE32" i="1"/>
  <c r="BE36" i="1" s="1"/>
  <c r="BD32" i="1"/>
  <c r="BC26" i="1"/>
  <c r="BC28" i="1" s="1"/>
  <c r="BC31" i="1" s="1"/>
  <c r="AM5" i="4"/>
  <c r="AM32" i="4" s="1"/>
  <c r="AM35" i="4" s="1"/>
  <c r="BF21" i="1"/>
  <c r="BF26" i="1" s="1"/>
  <c r="BF28" i="1" s="1"/>
  <c r="BF31" i="1" s="1"/>
  <c r="BB32" i="1"/>
  <c r="BB33" i="1" s="1"/>
  <c r="AU21" i="1"/>
  <c r="AU32" i="1" s="1"/>
  <c r="AU33" i="1" s="1"/>
  <c r="AZ21" i="1"/>
  <c r="AZ26" i="1" s="1"/>
  <c r="AZ28" i="1" s="1"/>
  <c r="AQ70" i="4" l="1"/>
  <c r="AQ73" i="4" s="1"/>
  <c r="AT70" i="4"/>
  <c r="AT73" i="4" s="1"/>
  <c r="AS70" i="4"/>
  <c r="AS73" i="4" s="1"/>
  <c r="AR70" i="4"/>
  <c r="AR73" i="4" s="1"/>
  <c r="AM69" i="4"/>
  <c r="BE33" i="1"/>
  <c r="BE37" i="1"/>
  <c r="BD33" i="1"/>
  <c r="BD36" i="1"/>
  <c r="BD37" i="1" s="1"/>
  <c r="BF32" i="1"/>
  <c r="AU26" i="1"/>
  <c r="AU28" i="1" s="1"/>
  <c r="AZ32" i="1"/>
  <c r="AZ33" i="1" s="1"/>
  <c r="AZ73" i="4" l="1"/>
  <c r="BA73" i="4"/>
  <c r="BB73" i="4"/>
  <c r="AV70" i="4"/>
  <c r="AW70" i="4"/>
  <c r="AX70" i="4"/>
  <c r="AU70" i="4"/>
  <c r="BF33" i="1"/>
  <c r="BF36" i="1"/>
  <c r="BF37" i="1" s="1"/>
  <c r="AG45" i="4"/>
  <c r="AY10" i="1"/>
  <c r="AY5" i="1"/>
  <c r="AT10" i="1"/>
  <c r="AT5" i="1"/>
  <c r="AY21" i="1" l="1"/>
  <c r="AY26" i="1" s="1"/>
  <c r="AY28" i="1" s="1"/>
  <c r="AT21" i="1"/>
  <c r="AT26" i="1" s="1"/>
  <c r="AT28" i="1" s="1"/>
  <c r="AJ68" i="4"/>
  <c r="AJ53" i="4"/>
  <c r="AJ6" i="4"/>
  <c r="AJ32" i="4" s="1"/>
  <c r="AJ35" i="4" s="1"/>
  <c r="AF68" i="4"/>
  <c r="AF53" i="4"/>
  <c r="AF6" i="4"/>
  <c r="AF32" i="4" s="1"/>
  <c r="AF35" i="4" s="1"/>
  <c r="AT32" i="1" l="1"/>
  <c r="AT33" i="1" s="1"/>
  <c r="AY32" i="1"/>
  <c r="AY33" i="1" s="1"/>
  <c r="AJ69" i="4"/>
  <c r="AF69" i="4"/>
  <c r="AX10" i="1" l="1"/>
  <c r="AX5" i="1"/>
  <c r="AX21" i="1" l="1"/>
  <c r="AX26" i="1" s="1"/>
  <c r="AX28" i="1" s="1"/>
  <c r="AS10" i="1"/>
  <c r="AS5" i="1"/>
  <c r="AX32" i="1" l="1"/>
  <c r="AX33" i="1" s="1"/>
  <c r="AS21" i="1"/>
  <c r="AS26" i="1" s="1"/>
  <c r="AS28" i="1" s="1"/>
  <c r="AK68" i="4"/>
  <c r="AI68" i="4"/>
  <c r="AL53" i="4"/>
  <c r="AK53" i="4"/>
  <c r="AI53" i="4"/>
  <c r="AL6" i="4"/>
  <c r="AL32" i="4" s="1"/>
  <c r="AL35" i="4" s="1"/>
  <c r="AK6" i="4"/>
  <c r="AK32" i="4" s="1"/>
  <c r="AK35" i="4" s="1"/>
  <c r="AI6" i="4"/>
  <c r="AI32" i="4" s="1"/>
  <c r="AI35" i="4" s="1"/>
  <c r="AL69" i="4" l="1"/>
  <c r="AK69" i="4"/>
  <c r="AS32" i="1"/>
  <c r="AS33" i="1" s="1"/>
  <c r="AI69" i="4"/>
  <c r="AI73" i="4" s="1"/>
  <c r="AW10" i="1"/>
  <c r="AE23" i="3" l="1"/>
  <c r="AC23" i="3"/>
  <c r="Z23" i="3"/>
  <c r="AA23" i="3"/>
  <c r="AR10" i="1" l="1"/>
  <c r="AQ27" i="1"/>
  <c r="AE62" i="3"/>
  <c r="AE51" i="3"/>
  <c r="AD51" i="3"/>
  <c r="AE36" i="3"/>
  <c r="AC36" i="3"/>
  <c r="AD36" i="3"/>
  <c r="AD23" i="3"/>
  <c r="AE53" i="4" l="1"/>
  <c r="AG68" i="4"/>
  <c r="AE6" i="4"/>
  <c r="AG53" i="4"/>
  <c r="AH53" i="4"/>
  <c r="AE68" i="4"/>
  <c r="AH68" i="4"/>
  <c r="AG6" i="4"/>
  <c r="AG32" i="4" s="1"/>
  <c r="AG35" i="4" s="1"/>
  <c r="AH6" i="4"/>
  <c r="AH32" i="4" s="1"/>
  <c r="AH35" i="4" s="1"/>
  <c r="AD6" i="4"/>
  <c r="AH69" i="4" l="1"/>
  <c r="AG69" i="4"/>
  <c r="AE32" i="4"/>
  <c r="AE35" i="4" l="1"/>
  <c r="AE69" i="4" l="1"/>
  <c r="AE73" i="4" l="1"/>
  <c r="AH75" i="3" l="1"/>
  <c r="AG75" i="3"/>
  <c r="AF75" i="3"/>
  <c r="AE75" i="3"/>
  <c r="AH62" i="3"/>
  <c r="AG62" i="3"/>
  <c r="AF62" i="3"/>
  <c r="AH51" i="3"/>
  <c r="AH53" i="3" s="1"/>
  <c r="AG51" i="3"/>
  <c r="AG53" i="3" s="1"/>
  <c r="AF51" i="3"/>
  <c r="AF53" i="3" s="1"/>
  <c r="AE53" i="3"/>
  <c r="AH36" i="3"/>
  <c r="AG36" i="3"/>
  <c r="AF36" i="3"/>
  <c r="AH23" i="3"/>
  <c r="AG23" i="3"/>
  <c r="AF23" i="3"/>
  <c r="BA30" i="1"/>
  <c r="BA29" i="1"/>
  <c r="BA27" i="1"/>
  <c r="BA25" i="1"/>
  <c r="BA24" i="1"/>
  <c r="BA23" i="1"/>
  <c r="BA22" i="1"/>
  <c r="BA20" i="1"/>
  <c r="BA18" i="1"/>
  <c r="BA17" i="1"/>
  <c r="BA16" i="1"/>
  <c r="BA15" i="1"/>
  <c r="BA14" i="1"/>
  <c r="BA13" i="1"/>
  <c r="BA12" i="1"/>
  <c r="BA11" i="1"/>
  <c r="BA9" i="1"/>
  <c r="BA8" i="1"/>
  <c r="BA7" i="1"/>
  <c r="BA6" i="1"/>
  <c r="AW5" i="1"/>
  <c r="AW21" i="1" s="1"/>
  <c r="AW26" i="1" s="1"/>
  <c r="AV27" i="1"/>
  <c r="AV25" i="1"/>
  <c r="AV24" i="1"/>
  <c r="AV23" i="1"/>
  <c r="AV22" i="1"/>
  <c r="AV20" i="1"/>
  <c r="AV18" i="1"/>
  <c r="AV17" i="1"/>
  <c r="AV16" i="1"/>
  <c r="AV15" i="1"/>
  <c r="AV14" i="1"/>
  <c r="AV13" i="1"/>
  <c r="AV12" i="1"/>
  <c r="AV11" i="1"/>
  <c r="AV9" i="1"/>
  <c r="AV8" i="1"/>
  <c r="AV7" i="1"/>
  <c r="AV6" i="1"/>
  <c r="AR5" i="1"/>
  <c r="AR21" i="1" s="1"/>
  <c r="AR26" i="1" s="1"/>
  <c r="BA10" i="1" l="1"/>
  <c r="AR28" i="1"/>
  <c r="AW28" i="1"/>
  <c r="AW31" i="1" s="1"/>
  <c r="BA5" i="1"/>
  <c r="AE78" i="3"/>
  <c r="AE79" i="3" s="1"/>
  <c r="AF78" i="3"/>
  <c r="AF79" i="3" s="1"/>
  <c r="AG78" i="3"/>
  <c r="AG79" i="3" s="1"/>
  <c r="AH78" i="3"/>
  <c r="AH79" i="3" s="1"/>
  <c r="AE39" i="3"/>
  <c r="AF39" i="3"/>
  <c r="AG39" i="3"/>
  <c r="AH39" i="3"/>
  <c r="AV5" i="1"/>
  <c r="AV10" i="1"/>
  <c r="BA21" i="1" l="1"/>
  <c r="AW32" i="1"/>
  <c r="AW33" i="1" s="1"/>
  <c r="AV21" i="1"/>
  <c r="AV26" i="1" s="1"/>
  <c r="AV28" i="1" s="1"/>
  <c r="AR32" i="1"/>
  <c r="AD75" i="3"/>
  <c r="BA26" i="1" l="1"/>
  <c r="BA28" i="1" s="1"/>
  <c r="BA31" i="1" s="1"/>
  <c r="BA32" i="1"/>
  <c r="BA33" i="1" s="1"/>
  <c r="AV32" i="1"/>
  <c r="AV33" i="1" s="1"/>
  <c r="AR33" i="1"/>
  <c r="AD45" i="4"/>
  <c r="AC45" i="4" l="1"/>
  <c r="AC35" i="4" l="1"/>
  <c r="AC53" i="4"/>
  <c r="AC68" i="4"/>
  <c r="AC75" i="3"/>
  <c r="AO10" i="1"/>
  <c r="AO5" i="1"/>
  <c r="AI10" i="1"/>
  <c r="AI5" i="1"/>
  <c r="AI21" i="1" l="1"/>
  <c r="AI32" i="1" s="1"/>
  <c r="AI33" i="1" s="1"/>
  <c r="AO21" i="1"/>
  <c r="AC69" i="4"/>
  <c r="AI26" i="1" l="1"/>
  <c r="AI28" i="1" s="1"/>
  <c r="AI31" i="1" s="1"/>
  <c r="AO32" i="1"/>
  <c r="AO26" i="1"/>
  <c r="AH9" i="1"/>
  <c r="AO28" i="1" l="1"/>
  <c r="AO33" i="1"/>
  <c r="AK24" i="1"/>
  <c r="AB45" i="4" l="1"/>
  <c r="AB75" i="3"/>
  <c r="AB36" i="3"/>
  <c r="AB23" i="3"/>
  <c r="AQ24" i="1" l="1"/>
  <c r="AA36" i="3" l="1"/>
  <c r="AD68" i="4" l="1"/>
  <c r="AB68" i="4"/>
  <c r="AA68" i="4"/>
  <c r="AD53" i="4"/>
  <c r="AB53" i="4"/>
  <c r="AA53" i="4"/>
  <c r="AB6" i="4"/>
  <c r="AA6" i="4"/>
  <c r="AA32" i="4" s="1"/>
  <c r="AA35" i="4" s="1"/>
  <c r="AA75" i="3"/>
  <c r="AD62" i="3"/>
  <c r="AC62" i="3"/>
  <c r="AB62" i="3"/>
  <c r="AA62" i="3"/>
  <c r="AD53" i="3"/>
  <c r="AC51" i="3"/>
  <c r="AB51" i="3"/>
  <c r="AB53" i="3" s="1"/>
  <c r="AA51" i="3"/>
  <c r="AA53" i="3" s="1"/>
  <c r="AB39" i="3"/>
  <c r="AC53" i="3" l="1"/>
  <c r="AC39" i="3"/>
  <c r="AA69" i="4"/>
  <c r="AA39" i="3"/>
  <c r="AD78" i="3"/>
  <c r="AD79" i="3" s="1"/>
  <c r="AD39" i="3"/>
  <c r="AA78" i="3"/>
  <c r="AA79" i="3" s="1"/>
  <c r="AB78" i="3"/>
  <c r="AB79" i="3" s="1"/>
  <c r="AC78" i="3"/>
  <c r="AC79" i="3" l="1"/>
  <c r="AK30" i="1"/>
  <c r="AK29" i="1"/>
  <c r="AK25" i="1"/>
  <c r="AK23" i="1"/>
  <c r="AK22" i="1"/>
  <c r="AK20" i="1"/>
  <c r="AK18" i="1"/>
  <c r="AK17" i="1"/>
  <c r="AK16" i="1"/>
  <c r="AK15" i="1"/>
  <c r="AK14" i="1"/>
  <c r="AK13" i="1"/>
  <c r="AK12" i="1"/>
  <c r="AK11" i="1"/>
  <c r="AJ10" i="1"/>
  <c r="AH10" i="1"/>
  <c r="AG10" i="1"/>
  <c r="AK9" i="1"/>
  <c r="AK8" i="1"/>
  <c r="AK7" i="1"/>
  <c r="AK6" i="1"/>
  <c r="AJ5" i="1"/>
  <c r="AH5" i="1"/>
  <c r="AG5" i="1"/>
  <c r="AQ30" i="1"/>
  <c r="AQ29" i="1"/>
  <c r="AQ25" i="1"/>
  <c r="AQ23" i="1"/>
  <c r="AQ22" i="1"/>
  <c r="AQ20" i="1"/>
  <c r="AQ18" i="1"/>
  <c r="AQ17" i="1"/>
  <c r="AQ16" i="1"/>
  <c r="AQ15" i="1"/>
  <c r="AQ14" i="1"/>
  <c r="AQ13" i="1"/>
  <c r="AQ12" i="1"/>
  <c r="AQ11" i="1"/>
  <c r="AP10" i="1"/>
  <c r="AN10" i="1"/>
  <c r="AM10" i="1"/>
  <c r="AQ9" i="1"/>
  <c r="AQ8" i="1"/>
  <c r="AQ7" i="1"/>
  <c r="AQ6" i="1"/>
  <c r="AP5" i="1"/>
  <c r="AN5" i="1"/>
  <c r="AM5" i="1"/>
  <c r="AG21" i="1" l="1"/>
  <c r="AG32" i="1" s="1"/>
  <c r="AP21" i="1"/>
  <c r="AJ21" i="1"/>
  <c r="AJ26" i="1" s="1"/>
  <c r="AN21" i="1"/>
  <c r="AQ10" i="1"/>
  <c r="AH21" i="1"/>
  <c r="AH32" i="1" s="1"/>
  <c r="AH33" i="1" s="1"/>
  <c r="AK10" i="1"/>
  <c r="AK5" i="1"/>
  <c r="AQ5" i="1"/>
  <c r="AM21" i="1"/>
  <c r="AG26" i="1" l="1"/>
  <c r="AG28" i="1" s="1"/>
  <c r="AG31" i="1" s="1"/>
  <c r="AN32" i="1"/>
  <c r="AN33" i="1" s="1"/>
  <c r="AN26" i="1"/>
  <c r="AN28" i="1" s="1"/>
  <c r="AN31" i="1" s="1"/>
  <c r="AP32" i="1"/>
  <c r="AP33" i="1" s="1"/>
  <c r="AP26" i="1"/>
  <c r="AP28" i="1" s="1"/>
  <c r="AG33" i="1"/>
  <c r="AJ32" i="1"/>
  <c r="AJ33" i="1" s="1"/>
  <c r="AQ21" i="1"/>
  <c r="AQ26" i="1" s="1"/>
  <c r="AQ28" i="1" s="1"/>
  <c r="AH26" i="1"/>
  <c r="AH28" i="1" s="1"/>
  <c r="AH31" i="1" s="1"/>
  <c r="AK21" i="1"/>
  <c r="AK32" i="1" s="1"/>
  <c r="AK33" i="1" s="1"/>
  <c r="AM32" i="1"/>
  <c r="AM26" i="1"/>
  <c r="AM28" i="1" l="1"/>
  <c r="AM33" i="1"/>
  <c r="AQ31" i="1"/>
  <c r="AB32" i="4"/>
  <c r="AB35" i="4" s="1"/>
  <c r="AB69" i="4" s="1"/>
  <c r="AQ32" i="1"/>
  <c r="AK26" i="1"/>
  <c r="AF25" i="1"/>
  <c r="AM31" i="1" l="1"/>
  <c r="AQ33" i="1"/>
  <c r="AF24" i="1"/>
  <c r="AA24" i="1"/>
  <c r="Q24" i="1"/>
  <c r="L24" i="1"/>
  <c r="G24" i="1"/>
  <c r="AD10" i="1" l="1"/>
  <c r="Z6" i="4" l="1"/>
  <c r="Z32" i="4" s="1"/>
  <c r="Z35" i="4" s="1"/>
  <c r="Z68" i="4"/>
  <c r="Z53" i="4"/>
  <c r="Z36" i="3"/>
  <c r="Z75" i="3"/>
  <c r="Z62" i="3"/>
  <c r="Z51" i="3"/>
  <c r="Z53" i="3" s="1"/>
  <c r="AF30" i="1"/>
  <c r="AF29" i="1"/>
  <c r="AF27" i="1"/>
  <c r="AF23" i="1"/>
  <c r="AF22" i="1"/>
  <c r="AF20" i="1"/>
  <c r="AF18" i="1"/>
  <c r="AF17" i="1"/>
  <c r="AF16" i="1"/>
  <c r="AF15" i="1"/>
  <c r="AF14" i="1"/>
  <c r="AF13" i="1"/>
  <c r="AF12" i="1"/>
  <c r="AF11" i="1"/>
  <c r="AF7" i="1"/>
  <c r="AF8" i="1"/>
  <c r="AF9" i="1"/>
  <c r="AF6" i="1"/>
  <c r="AE5" i="1"/>
  <c r="AE10" i="1"/>
  <c r="Z69" i="4" l="1"/>
  <c r="Z78" i="3"/>
  <c r="Z79" i="3" s="1"/>
  <c r="Z39" i="3"/>
  <c r="AF10" i="1"/>
  <c r="AE21" i="1"/>
  <c r="AE26" i="1" s="1"/>
  <c r="AF5" i="1"/>
  <c r="Y68" i="4"/>
  <c r="Y53" i="4"/>
  <c r="Y6" i="4"/>
  <c r="Y32" i="4" s="1"/>
  <c r="Y35" i="4" s="1"/>
  <c r="Y75" i="3"/>
  <c r="Y62" i="3"/>
  <c r="Y51" i="3"/>
  <c r="Y53" i="3" s="1"/>
  <c r="Y36" i="3"/>
  <c r="Y23" i="3"/>
  <c r="AD5" i="1"/>
  <c r="Y39" i="3" l="1"/>
  <c r="AE32" i="1"/>
  <c r="AE33" i="1" s="1"/>
  <c r="AE28" i="1"/>
  <c r="AE31" i="1" s="1"/>
  <c r="Y69" i="4"/>
  <c r="Y78" i="3"/>
  <c r="Y79" i="3" s="1"/>
  <c r="AF21" i="1"/>
  <c r="AF26" i="1" s="1"/>
  <c r="AD21" i="1"/>
  <c r="AD26" i="1" s="1"/>
  <c r="AF28" i="1" l="1"/>
  <c r="AD28" i="1"/>
  <c r="AD31" i="1" s="1"/>
  <c r="AD32" i="1"/>
  <c r="AD33" i="1" s="1"/>
  <c r="AF32" i="1"/>
  <c r="AF33" i="1" s="1"/>
  <c r="AF31" i="1" l="1"/>
  <c r="X68" i="4"/>
  <c r="X53" i="4"/>
  <c r="X6" i="4"/>
  <c r="X75" i="3"/>
  <c r="X62" i="3"/>
  <c r="X51" i="3"/>
  <c r="X53" i="3" s="1"/>
  <c r="X36" i="3"/>
  <c r="X23" i="3"/>
  <c r="AC10" i="1"/>
  <c r="AC5" i="1"/>
  <c r="AC21" i="1" l="1"/>
  <c r="AC26" i="1" s="1"/>
  <c r="AC28" i="1" s="1"/>
  <c r="AC31" i="1" s="1"/>
  <c r="X39" i="3"/>
  <c r="X78" i="3"/>
  <c r="X79" i="3" s="1"/>
  <c r="AC32" i="1" l="1"/>
  <c r="AC33" i="1" s="1"/>
  <c r="W65" i="4"/>
  <c r="Z10" i="1" l="1"/>
  <c r="Y10" i="1"/>
  <c r="X10" i="1"/>
  <c r="W10" i="1"/>
  <c r="V10" i="1"/>
  <c r="U10" i="1"/>
  <c r="T10" i="1"/>
  <c r="S10" i="1"/>
  <c r="R10" i="1"/>
  <c r="P10" i="1"/>
  <c r="O10" i="1"/>
  <c r="N10" i="1"/>
  <c r="M10" i="1"/>
  <c r="K10" i="1"/>
  <c r="J10" i="1"/>
  <c r="I10" i="1"/>
  <c r="H10" i="1"/>
  <c r="F10" i="1"/>
  <c r="E10" i="1"/>
  <c r="D10" i="1"/>
  <c r="C10" i="1"/>
  <c r="AB10" i="1"/>
  <c r="AA11" i="1"/>
  <c r="W68" i="4"/>
  <c r="W53" i="4"/>
  <c r="W6" i="4"/>
  <c r="W75" i="3"/>
  <c r="W62" i="3"/>
  <c r="W51" i="3"/>
  <c r="W53" i="3" s="1"/>
  <c r="W36" i="3"/>
  <c r="W23" i="3"/>
  <c r="AB5" i="1"/>
  <c r="W78" i="3" l="1"/>
  <c r="W79" i="3" s="1"/>
  <c r="W39" i="3"/>
  <c r="AB21" i="1"/>
  <c r="AB26" i="1" s="1"/>
  <c r="AB28" i="1" l="1"/>
  <c r="AB32" i="1"/>
  <c r="AB33" i="1" s="1"/>
  <c r="X32" i="4" l="1"/>
  <c r="X35" i="4" s="1"/>
  <c r="X69" i="4" s="1"/>
  <c r="AB31" i="1"/>
  <c r="W32" i="4"/>
  <c r="W35" i="4" s="1"/>
  <c r="W69" i="4" s="1"/>
  <c r="AA30" i="1"/>
  <c r="AA29" i="1"/>
  <c r="AA27" i="1"/>
  <c r="Q27" i="1"/>
  <c r="L27" i="1"/>
  <c r="G27" i="1"/>
  <c r="AA23" i="1"/>
  <c r="Q23" i="1"/>
  <c r="L23" i="1"/>
  <c r="G23" i="1"/>
  <c r="AA22" i="1"/>
  <c r="Q22" i="1"/>
  <c r="L22" i="1"/>
  <c r="G22" i="1"/>
  <c r="AA20" i="1"/>
  <c r="Q20" i="1"/>
  <c r="L20" i="1"/>
  <c r="G20" i="1"/>
  <c r="AA18" i="1"/>
  <c r="Q18" i="1"/>
  <c r="L18" i="1"/>
  <c r="G18" i="1"/>
  <c r="AA17" i="1"/>
  <c r="Q17" i="1"/>
  <c r="L17" i="1"/>
  <c r="G17" i="1"/>
  <c r="AA13" i="1"/>
  <c r="Q13" i="1"/>
  <c r="L13" i="1"/>
  <c r="G13" i="1"/>
  <c r="AA16" i="1"/>
  <c r="Q16" i="1"/>
  <c r="L16" i="1"/>
  <c r="G16" i="1"/>
  <c r="Q11" i="1"/>
  <c r="L11" i="1"/>
  <c r="G11" i="1"/>
  <c r="AA12" i="1"/>
  <c r="Q12" i="1"/>
  <c r="L12" i="1"/>
  <c r="G12" i="1"/>
  <c r="AA15" i="1"/>
  <c r="Q15" i="1"/>
  <c r="L15" i="1"/>
  <c r="G15" i="1"/>
  <c r="AA14" i="1"/>
  <c r="Q14" i="1"/>
  <c r="L14" i="1"/>
  <c r="G14" i="1"/>
  <c r="AA9" i="1"/>
  <c r="Q9" i="1"/>
  <c r="L9" i="1"/>
  <c r="G9" i="1"/>
  <c r="AA8" i="1"/>
  <c r="Q8" i="1"/>
  <c r="L8" i="1"/>
  <c r="G8" i="1"/>
  <c r="AA7" i="1"/>
  <c r="Q7" i="1"/>
  <c r="L7" i="1"/>
  <c r="G7" i="1"/>
  <c r="AA6" i="1"/>
  <c r="Q6" i="1"/>
  <c r="L6" i="1"/>
  <c r="G6" i="1"/>
  <c r="Z5" i="1"/>
  <c r="Y5" i="1"/>
  <c r="X5" i="1"/>
  <c r="W5" i="1"/>
  <c r="V5" i="1"/>
  <c r="U5" i="1"/>
  <c r="T5" i="1"/>
  <c r="S5" i="1"/>
  <c r="R5" i="1"/>
  <c r="P5" i="1"/>
  <c r="O5" i="1"/>
  <c r="N5" i="1"/>
  <c r="M5" i="1"/>
  <c r="K5" i="1"/>
  <c r="J5" i="1"/>
  <c r="I5" i="1"/>
  <c r="H5" i="1"/>
  <c r="F5" i="1"/>
  <c r="E5" i="1"/>
  <c r="D5" i="1"/>
  <c r="C5" i="1"/>
  <c r="G5" i="1" l="1"/>
  <c r="L5" i="1"/>
  <c r="Q5" i="1"/>
  <c r="AA5" i="1"/>
  <c r="L10" i="1"/>
  <c r="AA10" i="1"/>
  <c r="Q10" i="1"/>
  <c r="Q21" i="1" s="1"/>
  <c r="Q26" i="1" s="1"/>
  <c r="G10" i="1"/>
  <c r="C21" i="1"/>
  <c r="C26" i="1" s="1"/>
  <c r="M21" i="1"/>
  <c r="M26" i="1" s="1"/>
  <c r="U21" i="1"/>
  <c r="U26" i="1" s="1"/>
  <c r="Z21" i="1"/>
  <c r="Z26" i="1" s="1"/>
  <c r="D21" i="1"/>
  <c r="D26" i="1" s="1"/>
  <c r="E21" i="1"/>
  <c r="E26" i="1" s="1"/>
  <c r="O21" i="1"/>
  <c r="O26" i="1" s="1"/>
  <c r="F21" i="1"/>
  <c r="F26" i="1" s="1"/>
  <c r="P21" i="1"/>
  <c r="P26" i="1" s="1"/>
  <c r="N21" i="1"/>
  <c r="N26" i="1" s="1"/>
  <c r="I21" i="1"/>
  <c r="I26" i="1" s="1"/>
  <c r="R21" i="1"/>
  <c r="R26" i="1" s="1"/>
  <c r="V21" i="1"/>
  <c r="V26" i="1" s="1"/>
  <c r="S21" i="1"/>
  <c r="S26" i="1" s="1"/>
  <c r="W21" i="1"/>
  <c r="W26" i="1" s="1"/>
  <c r="K21" i="1"/>
  <c r="K26" i="1" s="1"/>
  <c r="T21" i="1"/>
  <c r="T26" i="1" s="1"/>
  <c r="X21" i="1"/>
  <c r="X26" i="1" s="1"/>
  <c r="Y21" i="1"/>
  <c r="Y26" i="1" s="1"/>
  <c r="J21" i="1"/>
  <c r="J26" i="1" s="1"/>
  <c r="H21" i="1"/>
  <c r="H26" i="1" s="1"/>
  <c r="L21" i="1" l="1"/>
  <c r="L26" i="1" s="1"/>
  <c r="L28" i="1" s="1"/>
  <c r="G21" i="1"/>
  <c r="G26" i="1" s="1"/>
  <c r="G28" i="1" s="1"/>
  <c r="G29" i="1" s="1"/>
  <c r="AA21" i="1"/>
  <c r="AA26" i="1" s="1"/>
  <c r="AA28" i="1" s="1"/>
  <c r="AA31" i="1" s="1"/>
  <c r="P32" i="1"/>
  <c r="P33" i="1" s="1"/>
  <c r="S32" i="1"/>
  <c r="S33" i="1" s="1"/>
  <c r="S28" i="1"/>
  <c r="S31" i="1" s="1"/>
  <c r="O32" i="1"/>
  <c r="O33" i="1" s="1"/>
  <c r="U28" i="1"/>
  <c r="K28" i="1"/>
  <c r="K31" i="1" s="1"/>
  <c r="V28" i="1"/>
  <c r="E32" i="1"/>
  <c r="E33" i="1" s="1"/>
  <c r="M32" i="1"/>
  <c r="M33" i="1" s="1"/>
  <c r="Q28" i="1"/>
  <c r="Y32" i="1"/>
  <c r="Y33" i="1" s="1"/>
  <c r="Y28" i="1"/>
  <c r="Y31" i="1" s="1"/>
  <c r="R28" i="1"/>
  <c r="P28" i="1"/>
  <c r="P31" i="1" s="1"/>
  <c r="D32" i="1"/>
  <c r="D33" i="1" s="1"/>
  <c r="D28" i="1"/>
  <c r="C28" i="1"/>
  <c r="C29" i="1" s="1"/>
  <c r="T28" i="1"/>
  <c r="N32" i="1"/>
  <c r="N33" i="1" s="1"/>
  <c r="X32" i="1"/>
  <c r="X33" i="1" s="1"/>
  <c r="W32" i="1"/>
  <c r="W33" i="1" s="1"/>
  <c r="I32" i="1"/>
  <c r="I33" i="1" s="1"/>
  <c r="F28" i="1"/>
  <c r="Z32" i="1"/>
  <c r="Z33" i="1" s="1"/>
  <c r="Z28" i="1"/>
  <c r="Z31" i="1" s="1"/>
  <c r="V32" i="1"/>
  <c r="V33" i="1" s="1"/>
  <c r="N28" i="1"/>
  <c r="N29" i="1" s="1"/>
  <c r="C32" i="1"/>
  <c r="C33" i="1" s="1"/>
  <c r="E28" i="1"/>
  <c r="E29" i="1" s="1"/>
  <c r="Q32" i="1"/>
  <c r="Q33" i="1" s="1"/>
  <c r="M28" i="1"/>
  <c r="M29" i="1" s="1"/>
  <c r="O28" i="1"/>
  <c r="O29" i="1" s="1"/>
  <c r="U32" i="1"/>
  <c r="U33" i="1" s="1"/>
  <c r="F32" i="1"/>
  <c r="F33" i="1" s="1"/>
  <c r="T32" i="1"/>
  <c r="T33" i="1" s="1"/>
  <c r="X28" i="1"/>
  <c r="X31" i="1" s="1"/>
  <c r="R32" i="1"/>
  <c r="R33" i="1" s="1"/>
  <c r="K32" i="1"/>
  <c r="K33" i="1" s="1"/>
  <c r="I28" i="1"/>
  <c r="I31" i="1" s="1"/>
  <c r="W28" i="1"/>
  <c r="J32" i="1"/>
  <c r="J33" i="1" s="1"/>
  <c r="J28" i="1"/>
  <c r="H32" i="1"/>
  <c r="H33" i="1" s="1"/>
  <c r="H28" i="1"/>
  <c r="L32" i="1" l="1"/>
  <c r="L33" i="1" s="1"/>
  <c r="AA32" i="1"/>
  <c r="AA33" i="1" s="1"/>
  <c r="G32" i="1"/>
  <c r="G33" i="1" s="1"/>
  <c r="P29" i="1"/>
  <c r="K29" i="1"/>
  <c r="Q29" i="1"/>
  <c r="Q31" i="1"/>
  <c r="D29" i="1"/>
  <c r="D31" i="1"/>
  <c r="R5" i="4"/>
  <c r="V29" i="1"/>
  <c r="V31" i="1"/>
  <c r="R29" i="1"/>
  <c r="R31" i="1"/>
  <c r="T29" i="1"/>
  <c r="T31" i="1"/>
  <c r="F31" i="1"/>
  <c r="F29" i="1"/>
  <c r="U31" i="1"/>
  <c r="U29" i="1"/>
  <c r="C31" i="1"/>
  <c r="G31" i="1"/>
  <c r="E31" i="1"/>
  <c r="N31" i="1"/>
  <c r="M31" i="1"/>
  <c r="L5" i="4"/>
  <c r="O31" i="1"/>
  <c r="V5" i="4"/>
  <c r="S29" i="1"/>
  <c r="W31" i="1"/>
  <c r="T5" i="4"/>
  <c r="U5" i="4" s="1"/>
  <c r="S5" i="4"/>
  <c r="I29" i="1"/>
  <c r="Q5" i="4"/>
  <c r="H31" i="1"/>
  <c r="H29" i="1"/>
  <c r="J29" i="1"/>
  <c r="J31" i="1"/>
  <c r="L31" i="1"/>
  <c r="L29" i="1"/>
  <c r="V68" i="4" l="1"/>
  <c r="V53" i="4"/>
  <c r="V6" i="4"/>
  <c r="V75" i="3"/>
  <c r="V62" i="3"/>
  <c r="V51" i="3"/>
  <c r="V53" i="3" s="1"/>
  <c r="V36" i="3"/>
  <c r="V23" i="3"/>
  <c r="V32" i="4" l="1"/>
  <c r="V35" i="4" s="1"/>
  <c r="V69" i="4" s="1"/>
  <c r="V78" i="3"/>
  <c r="V79" i="3" s="1"/>
  <c r="V39" i="3"/>
  <c r="U68" i="4" l="1"/>
  <c r="U53" i="4"/>
  <c r="U6" i="4"/>
  <c r="U75" i="3"/>
  <c r="U62" i="3"/>
  <c r="U51" i="3"/>
  <c r="U53" i="3" s="1"/>
  <c r="U36" i="3"/>
  <c r="U23" i="3"/>
  <c r="U78" i="3" l="1"/>
  <c r="U79" i="3" s="1"/>
  <c r="U39" i="3"/>
  <c r="U32" i="4"/>
  <c r="U35" i="4" s="1"/>
  <c r="U69" i="4" s="1"/>
  <c r="T68" i="4" l="1"/>
  <c r="T53" i="4"/>
  <c r="T6" i="4"/>
  <c r="T75" i="3"/>
  <c r="T62" i="3"/>
  <c r="T51" i="3"/>
  <c r="T53" i="3" s="1"/>
  <c r="T36" i="3"/>
  <c r="T23" i="3"/>
  <c r="T78" i="3" l="1"/>
  <c r="T79" i="3" s="1"/>
  <c r="T39" i="3"/>
  <c r="C6" i="3"/>
  <c r="S68" i="4" l="1"/>
  <c r="S53" i="4"/>
  <c r="S6" i="4"/>
  <c r="S75" i="3"/>
  <c r="S62" i="3"/>
  <c r="S51" i="3"/>
  <c r="S53" i="3" s="1"/>
  <c r="S36" i="3"/>
  <c r="S23" i="3"/>
  <c r="S78" i="3" l="1"/>
  <c r="S79" i="3" s="1"/>
  <c r="S39" i="3"/>
  <c r="R68" i="4" l="1"/>
  <c r="R53" i="4"/>
  <c r="R6" i="4"/>
  <c r="R75" i="3"/>
  <c r="R62" i="3"/>
  <c r="R51" i="3"/>
  <c r="R53" i="3" s="1"/>
  <c r="R36" i="3"/>
  <c r="R23" i="3"/>
  <c r="T32" i="4" l="1"/>
  <c r="T35" i="4" s="1"/>
  <c r="T69" i="4" s="1"/>
  <c r="S32" i="4"/>
  <c r="S35" i="4" s="1"/>
  <c r="S69" i="4" s="1"/>
  <c r="R78" i="3"/>
  <c r="R79" i="3" s="1"/>
  <c r="R39" i="3"/>
  <c r="R32" i="4" l="1"/>
  <c r="R35" i="4" s="1"/>
  <c r="R69" i="4" s="1"/>
  <c r="R73" i="4" s="1"/>
  <c r="V70" i="4" l="1"/>
  <c r="V73" i="4" s="1"/>
  <c r="Y70" i="4" s="1"/>
  <c r="Z70" i="4" s="1"/>
  <c r="U70" i="4"/>
  <c r="U73" i="4" s="1"/>
  <c r="T70" i="4"/>
  <c r="T73" i="4" s="1"/>
  <c r="S70" i="4"/>
  <c r="S73" i="4" s="1"/>
  <c r="H31" i="4"/>
  <c r="I31" i="4"/>
  <c r="Z73" i="4" l="1"/>
  <c r="Y73" i="4"/>
  <c r="W70" i="4"/>
  <c r="W73" i="4" s="1"/>
  <c r="X70" i="4"/>
  <c r="X73" i="4" s="1"/>
  <c r="AA70" i="4" l="1"/>
  <c r="AA73" i="4" s="1"/>
  <c r="AC70" i="4"/>
  <c r="AD70" i="4" s="1"/>
  <c r="AB70" i="4"/>
  <c r="AC73" i="4" l="1"/>
  <c r="AB73" i="4"/>
  <c r="C68" i="4"/>
  <c r="J68" i="4"/>
  <c r="K68" i="4"/>
  <c r="L68" i="4"/>
  <c r="M68" i="4"/>
  <c r="N68" i="4"/>
  <c r="O68" i="4"/>
  <c r="P68" i="4"/>
  <c r="Q68" i="4"/>
  <c r="K74" i="3"/>
  <c r="J74" i="3"/>
  <c r="I74" i="3"/>
  <c r="H74" i="3"/>
  <c r="G74" i="3"/>
  <c r="F74" i="3"/>
  <c r="E74" i="3"/>
  <c r="D74" i="3"/>
  <c r="K73" i="3"/>
  <c r="J73" i="3"/>
  <c r="I73" i="3"/>
  <c r="H73" i="3"/>
  <c r="G73" i="3"/>
  <c r="F73" i="3"/>
  <c r="E73" i="3"/>
  <c r="D73" i="3"/>
  <c r="K72" i="3"/>
  <c r="J72" i="3"/>
  <c r="I72" i="3"/>
  <c r="H72" i="3"/>
  <c r="G72" i="3"/>
  <c r="F72" i="3"/>
  <c r="E72" i="3"/>
  <c r="D72" i="3"/>
  <c r="K68" i="3"/>
  <c r="J68" i="3"/>
  <c r="I68" i="3"/>
  <c r="H68" i="3"/>
  <c r="G68" i="3"/>
  <c r="F68" i="3"/>
  <c r="E68" i="3"/>
  <c r="D68" i="3"/>
  <c r="K65" i="3"/>
  <c r="J65" i="3"/>
  <c r="I65" i="3"/>
  <c r="H65" i="3"/>
  <c r="G65" i="3"/>
  <c r="F65" i="3"/>
  <c r="E65" i="3"/>
  <c r="D65" i="3"/>
  <c r="K64" i="3"/>
  <c r="J64" i="3"/>
  <c r="I64" i="3"/>
  <c r="H64" i="3"/>
  <c r="G64" i="3"/>
  <c r="F64" i="3"/>
  <c r="E64" i="3"/>
  <c r="D64" i="3"/>
  <c r="K63" i="3"/>
  <c r="J63" i="3"/>
  <c r="I63" i="3"/>
  <c r="H63" i="3"/>
  <c r="G63" i="3"/>
  <c r="F63" i="3"/>
  <c r="E63" i="3"/>
  <c r="D63" i="3"/>
  <c r="K60" i="3"/>
  <c r="J60" i="3"/>
  <c r="I60" i="3"/>
  <c r="H60" i="3"/>
  <c r="G60" i="3"/>
  <c r="F60" i="3"/>
  <c r="E60" i="3"/>
  <c r="D60" i="3"/>
  <c r="K59" i="3"/>
  <c r="J59" i="3"/>
  <c r="I59" i="3"/>
  <c r="H59" i="3"/>
  <c r="G59" i="3"/>
  <c r="F59" i="3"/>
  <c r="E59" i="3"/>
  <c r="D59" i="3"/>
  <c r="K58" i="3"/>
  <c r="J58" i="3"/>
  <c r="I58" i="3"/>
  <c r="H58" i="3"/>
  <c r="G58" i="3"/>
  <c r="F58" i="3"/>
  <c r="E58" i="3"/>
  <c r="D58" i="3"/>
  <c r="K56" i="3"/>
  <c r="J56" i="3"/>
  <c r="I56" i="3"/>
  <c r="H56" i="3"/>
  <c r="G56" i="3"/>
  <c r="F56" i="3"/>
  <c r="E56" i="3"/>
  <c r="D56" i="3"/>
  <c r="K55" i="3"/>
  <c r="J55" i="3"/>
  <c r="I55" i="3"/>
  <c r="H55" i="3"/>
  <c r="G55" i="3"/>
  <c r="F55" i="3"/>
  <c r="E55" i="3"/>
  <c r="D55" i="3"/>
  <c r="K54" i="3"/>
  <c r="J54" i="3"/>
  <c r="I54" i="3"/>
  <c r="H54" i="3"/>
  <c r="G54" i="3"/>
  <c r="F54" i="3"/>
  <c r="E54" i="3"/>
  <c r="D54" i="3"/>
  <c r="K49" i="3"/>
  <c r="J49" i="3"/>
  <c r="I49" i="3"/>
  <c r="H49" i="3"/>
  <c r="G49" i="3"/>
  <c r="F49" i="3"/>
  <c r="E49" i="3"/>
  <c r="D49" i="3"/>
  <c r="J48" i="3"/>
  <c r="I48" i="3"/>
  <c r="H48" i="3"/>
  <c r="G48" i="3"/>
  <c r="F48" i="3"/>
  <c r="E48" i="3"/>
  <c r="D48" i="3"/>
  <c r="K44" i="3"/>
  <c r="J44" i="3"/>
  <c r="I44" i="3"/>
  <c r="H44" i="3"/>
  <c r="G44" i="3"/>
  <c r="F44" i="3"/>
  <c r="E44" i="3"/>
  <c r="D44" i="3"/>
  <c r="K41" i="3"/>
  <c r="J41" i="3"/>
  <c r="I41" i="3"/>
  <c r="H41" i="3"/>
  <c r="G41" i="3"/>
  <c r="F41" i="3"/>
  <c r="E41" i="3"/>
  <c r="D41" i="3"/>
  <c r="K34" i="3"/>
  <c r="J34" i="3"/>
  <c r="I34" i="3"/>
  <c r="H34" i="3"/>
  <c r="G34" i="3"/>
  <c r="F34" i="3"/>
  <c r="E34" i="3"/>
  <c r="D34" i="3"/>
  <c r="K31" i="3"/>
  <c r="J31" i="3"/>
  <c r="I31" i="3"/>
  <c r="H31" i="3"/>
  <c r="G31" i="3"/>
  <c r="F31" i="3"/>
  <c r="E31" i="3"/>
  <c r="D31" i="3"/>
  <c r="K30" i="3"/>
  <c r="J30" i="3"/>
  <c r="I30" i="3"/>
  <c r="H30" i="3"/>
  <c r="G30" i="3"/>
  <c r="F30" i="3"/>
  <c r="E30" i="3"/>
  <c r="D30" i="3"/>
  <c r="K29" i="3"/>
  <c r="J29" i="3"/>
  <c r="I29" i="3"/>
  <c r="H29" i="3"/>
  <c r="G29" i="3"/>
  <c r="F29" i="3"/>
  <c r="E29" i="3"/>
  <c r="D29" i="3"/>
  <c r="K26" i="3"/>
  <c r="J26" i="3"/>
  <c r="I26" i="3"/>
  <c r="H26" i="3"/>
  <c r="G26" i="3"/>
  <c r="F26" i="3"/>
  <c r="E26" i="3"/>
  <c r="D26" i="3"/>
  <c r="K24" i="3"/>
  <c r="J24" i="3"/>
  <c r="I24" i="3"/>
  <c r="H24" i="3"/>
  <c r="G24" i="3"/>
  <c r="F24" i="3"/>
  <c r="E24" i="3"/>
  <c r="D24" i="3"/>
  <c r="K22" i="3"/>
  <c r="J22" i="3"/>
  <c r="I22" i="3"/>
  <c r="H22" i="3"/>
  <c r="G22" i="3"/>
  <c r="F22" i="3"/>
  <c r="E22" i="3"/>
  <c r="D22" i="3"/>
  <c r="K19" i="3"/>
  <c r="J19" i="3"/>
  <c r="I19" i="3"/>
  <c r="H19" i="3"/>
  <c r="G19" i="3"/>
  <c r="F19" i="3"/>
  <c r="E19" i="3"/>
  <c r="D19" i="3"/>
  <c r="K15" i="3"/>
  <c r="J15" i="3"/>
  <c r="I15" i="3"/>
  <c r="H15" i="3"/>
  <c r="G15" i="3"/>
  <c r="F15" i="3"/>
  <c r="E15" i="3"/>
  <c r="D15" i="3"/>
  <c r="K14" i="3"/>
  <c r="J14" i="3"/>
  <c r="I14" i="3"/>
  <c r="H14" i="3"/>
  <c r="G14" i="3"/>
  <c r="F14" i="3"/>
  <c r="E14" i="3"/>
  <c r="D14" i="3"/>
  <c r="K13" i="3"/>
  <c r="J13" i="3"/>
  <c r="I13" i="3"/>
  <c r="H13" i="3"/>
  <c r="G13" i="3"/>
  <c r="F13" i="3"/>
  <c r="E13" i="3"/>
  <c r="D13" i="3"/>
  <c r="K11" i="3"/>
  <c r="J11" i="3"/>
  <c r="I11" i="3"/>
  <c r="H11" i="3"/>
  <c r="G11" i="3"/>
  <c r="F11" i="3"/>
  <c r="E11" i="3"/>
  <c r="D11" i="3"/>
  <c r="K10" i="3"/>
  <c r="J10" i="3"/>
  <c r="I10" i="3"/>
  <c r="H10" i="3"/>
  <c r="G10" i="3"/>
  <c r="F10" i="3"/>
  <c r="E10" i="3"/>
  <c r="D10" i="3"/>
  <c r="K8" i="3"/>
  <c r="J8" i="3"/>
  <c r="I8" i="3"/>
  <c r="H8" i="3"/>
  <c r="G8" i="3"/>
  <c r="F8" i="3"/>
  <c r="E8" i="3"/>
  <c r="K7" i="3"/>
  <c r="J7" i="3"/>
  <c r="I7" i="3"/>
  <c r="H7" i="3"/>
  <c r="G7" i="3"/>
  <c r="F7" i="3"/>
  <c r="E7" i="3"/>
  <c r="K6" i="3"/>
  <c r="J6" i="3"/>
  <c r="I6" i="3"/>
  <c r="H6" i="3"/>
  <c r="G6" i="3"/>
  <c r="F6" i="3"/>
  <c r="E6" i="3"/>
  <c r="D8" i="3"/>
  <c r="D7" i="3"/>
  <c r="D6" i="3"/>
  <c r="E9" i="3"/>
  <c r="G9" i="3"/>
  <c r="H9" i="3"/>
  <c r="I9" i="3"/>
  <c r="J9" i="3"/>
  <c r="I35" i="3"/>
  <c r="I33" i="3"/>
  <c r="I32" i="3"/>
  <c r="I28" i="3"/>
  <c r="H61" i="3"/>
  <c r="H57" i="3"/>
  <c r="H28" i="3"/>
  <c r="G35" i="3"/>
  <c r="G33" i="3"/>
  <c r="G32" i="3"/>
  <c r="G28" i="3"/>
  <c r="F32" i="3"/>
  <c r="F28" i="3"/>
  <c r="E61" i="3"/>
  <c r="E57" i="3"/>
  <c r="E35" i="3"/>
  <c r="E28" i="3"/>
  <c r="D61" i="3"/>
  <c r="D57" i="3"/>
  <c r="D35" i="3"/>
  <c r="D33" i="3"/>
  <c r="D32" i="3"/>
  <c r="D28" i="3"/>
  <c r="C74" i="3"/>
  <c r="C73" i="3"/>
  <c r="C72" i="3"/>
  <c r="C68" i="3"/>
  <c r="C65" i="3"/>
  <c r="C64" i="3"/>
  <c r="C63" i="3"/>
  <c r="M61" i="3"/>
  <c r="L61" i="3"/>
  <c r="C61" i="3"/>
  <c r="C60" i="3"/>
  <c r="C58" i="3"/>
  <c r="C57" i="3"/>
  <c r="C56" i="3"/>
  <c r="C55" i="3"/>
  <c r="C54" i="3"/>
  <c r="C49" i="3"/>
  <c r="C46" i="3"/>
  <c r="C45" i="3"/>
  <c r="C43" i="3"/>
  <c r="C42" i="3"/>
  <c r="C41" i="3"/>
  <c r="C34" i="3"/>
  <c r="C31" i="3"/>
  <c r="C29" i="3"/>
  <c r="C28" i="3"/>
  <c r="C26" i="3"/>
  <c r="C24" i="3"/>
  <c r="C22" i="3"/>
  <c r="C19" i="3"/>
  <c r="C14" i="3"/>
  <c r="C13" i="3"/>
  <c r="C11" i="3"/>
  <c r="C10" i="3"/>
  <c r="C9" i="3"/>
  <c r="C8" i="3"/>
  <c r="C7" i="3"/>
  <c r="P36" i="3"/>
  <c r="Q36" i="3"/>
  <c r="M32" i="3"/>
  <c r="M36" i="3" s="1"/>
  <c r="L32" i="3"/>
  <c r="L36" i="3" s="1"/>
  <c r="H36" i="3" l="1"/>
  <c r="C36" i="3"/>
  <c r="C62" i="3"/>
  <c r="K36" i="3"/>
  <c r="J36" i="3"/>
  <c r="I36" i="3"/>
  <c r="G36" i="3"/>
  <c r="F36" i="3"/>
  <c r="E36" i="3"/>
  <c r="D36" i="3"/>
  <c r="Q53" i="4" l="1"/>
  <c r="Q6" i="4"/>
  <c r="Q75" i="3"/>
  <c r="Q62" i="3"/>
  <c r="Q51" i="3"/>
  <c r="Q53" i="3" s="1"/>
  <c r="Q23" i="3"/>
  <c r="Q78" i="3" l="1"/>
  <c r="Q79" i="3" s="1"/>
  <c r="Q39" i="3"/>
  <c r="P53" i="4" l="1"/>
  <c r="P6" i="4"/>
  <c r="P32" i="4" s="1"/>
  <c r="P35" i="4" s="1"/>
  <c r="P62" i="3"/>
  <c r="P75" i="3"/>
  <c r="P51" i="3"/>
  <c r="P53" i="3" s="1"/>
  <c r="P23" i="3"/>
  <c r="O75" i="3"/>
  <c r="N75" i="3"/>
  <c r="O62" i="3"/>
  <c r="N62" i="3"/>
  <c r="O23" i="3"/>
  <c r="N23" i="3"/>
  <c r="O53" i="4"/>
  <c r="O6" i="4"/>
  <c r="O32" i="4" s="1"/>
  <c r="O35" i="4" s="1"/>
  <c r="O51" i="3"/>
  <c r="O53" i="3" s="1"/>
  <c r="P78" i="3" l="1"/>
  <c r="P69" i="4"/>
  <c r="P73" i="4" s="1"/>
  <c r="P39" i="3"/>
  <c r="O69" i="4"/>
  <c r="O73" i="4" s="1"/>
  <c r="O78" i="3"/>
  <c r="N53" i="4"/>
  <c r="N6" i="4"/>
  <c r="N51" i="3"/>
  <c r="N53" i="3" s="1"/>
  <c r="P79" i="3" l="1"/>
  <c r="Q32" i="4"/>
  <c r="Q35" i="4" s="1"/>
  <c r="Q69" i="4" s="1"/>
  <c r="Q73" i="4" s="1"/>
  <c r="O79" i="3"/>
  <c r="N78" i="3"/>
  <c r="M53" i="4"/>
  <c r="M6" i="4"/>
  <c r="M75" i="3"/>
  <c r="M62" i="3"/>
  <c r="M51" i="3"/>
  <c r="M53" i="3" s="1"/>
  <c r="M23" i="3"/>
  <c r="N79" i="3" l="1"/>
  <c r="M32" i="4"/>
  <c r="M35" i="4" s="1"/>
  <c r="M69" i="4" s="1"/>
  <c r="M73" i="4" s="1"/>
  <c r="M78" i="3"/>
  <c r="M39" i="3"/>
  <c r="M79" i="3" l="1"/>
  <c r="N32" i="4" l="1"/>
  <c r="E6" i="4"/>
  <c r="D6" i="4"/>
  <c r="C6" i="4"/>
  <c r="I59" i="4"/>
  <c r="I68" i="4" s="1"/>
  <c r="H59" i="4"/>
  <c r="H68" i="4" s="1"/>
  <c r="G59" i="4"/>
  <c r="G68" i="4" s="1"/>
  <c r="F59" i="4"/>
  <c r="F68" i="4" s="1"/>
  <c r="E59" i="4"/>
  <c r="E68" i="4" s="1"/>
  <c r="D59" i="4"/>
  <c r="D68" i="4" s="1"/>
  <c r="N35" i="4" l="1"/>
  <c r="J52" i="3"/>
  <c r="K52" i="3"/>
  <c r="I52" i="3"/>
  <c r="C53" i="4"/>
  <c r="D53" i="4"/>
  <c r="E53" i="4"/>
  <c r="F53" i="4"/>
  <c r="G53" i="4"/>
  <c r="H53" i="4"/>
  <c r="I53" i="4"/>
  <c r="J53" i="4"/>
  <c r="K53" i="4"/>
  <c r="L53" i="4"/>
  <c r="O28" i="3" l="1"/>
  <c r="O36" i="3" s="1"/>
  <c r="N28" i="3"/>
  <c r="N33" i="3"/>
  <c r="N69" i="4"/>
  <c r="L6" i="4"/>
  <c r="L75" i="3"/>
  <c r="L62" i="3"/>
  <c r="L51" i="3"/>
  <c r="L53" i="3" s="1"/>
  <c r="L23" i="3"/>
  <c r="N36" i="3" l="1"/>
  <c r="I51" i="3"/>
  <c r="I53" i="3" s="1"/>
  <c r="E75" i="3"/>
  <c r="D62" i="3"/>
  <c r="J75" i="3"/>
  <c r="H51" i="3"/>
  <c r="H53" i="3" s="1"/>
  <c r="I62" i="3"/>
  <c r="J51" i="3"/>
  <c r="J53" i="3" s="1"/>
  <c r="D75" i="3"/>
  <c r="F75" i="3"/>
  <c r="J62" i="3"/>
  <c r="G51" i="3"/>
  <c r="G53" i="3" s="1"/>
  <c r="E51" i="3"/>
  <c r="E53" i="3" s="1"/>
  <c r="K75" i="3"/>
  <c r="F62" i="3"/>
  <c r="C51" i="3"/>
  <c r="C53" i="3" s="1"/>
  <c r="E62" i="3"/>
  <c r="H75" i="3"/>
  <c r="G75" i="3"/>
  <c r="K62" i="3"/>
  <c r="H62" i="3"/>
  <c r="C75" i="3"/>
  <c r="F51" i="3"/>
  <c r="F53" i="3" s="1"/>
  <c r="K23" i="3"/>
  <c r="I75" i="3"/>
  <c r="G62" i="3"/>
  <c r="D51" i="3"/>
  <c r="D53" i="3" s="1"/>
  <c r="K51" i="3"/>
  <c r="K53" i="3" s="1"/>
  <c r="N73" i="4"/>
  <c r="G23" i="3"/>
  <c r="F23" i="3"/>
  <c r="H23" i="3"/>
  <c r="C23" i="3"/>
  <c r="I23" i="3"/>
  <c r="J23" i="3"/>
  <c r="E23" i="3"/>
  <c r="D23" i="3"/>
  <c r="L39" i="3"/>
  <c r="L78" i="3"/>
  <c r="E78" i="3" l="1"/>
  <c r="E79" i="3" s="1"/>
  <c r="I78" i="3"/>
  <c r="I79" i="3" s="1"/>
  <c r="C78" i="3"/>
  <c r="C79" i="3" s="1"/>
  <c r="K78" i="3"/>
  <c r="K79" i="3" s="1"/>
  <c r="J78" i="3"/>
  <c r="J79" i="3" s="1"/>
  <c r="G39" i="3"/>
  <c r="F78" i="3"/>
  <c r="F79" i="3" s="1"/>
  <c r="D78" i="3"/>
  <c r="D79" i="3" s="1"/>
  <c r="H78" i="3"/>
  <c r="H79" i="3" s="1"/>
  <c r="J39" i="3"/>
  <c r="O39" i="3"/>
  <c r="G78" i="3"/>
  <c r="G79" i="3" s="1"/>
  <c r="H39" i="3"/>
  <c r="N39" i="3"/>
  <c r="E39" i="3"/>
  <c r="D39" i="3"/>
  <c r="L79" i="3"/>
  <c r="C39" i="3"/>
  <c r="F39" i="3"/>
  <c r="K39" i="3"/>
  <c r="I39" i="3"/>
  <c r="L32" i="4" l="1"/>
  <c r="L35" i="4" s="1"/>
  <c r="L69" i="4" s="1"/>
  <c r="L73" i="4" s="1"/>
  <c r="D32" i="4" l="1"/>
  <c r="D35" i="4" s="1"/>
  <c r="D69" i="4" l="1"/>
  <c r="D73" i="4" s="1"/>
  <c r="F6" i="4" l="1"/>
  <c r="F32" i="4" s="1"/>
  <c r="F35" i="4" s="1"/>
  <c r="F69" i="4" s="1"/>
  <c r="F73" i="4" s="1"/>
  <c r="K6" i="4"/>
  <c r="K32" i="4" s="1"/>
  <c r="K35" i="4" s="1"/>
  <c r="K69" i="4" s="1"/>
  <c r="K73" i="4" s="1"/>
  <c r="C32" i="4"/>
  <c r="C35" i="4" s="1"/>
  <c r="C69" i="4" s="1"/>
  <c r="C73" i="4" s="1"/>
  <c r="G6" i="4"/>
  <c r="G32" i="4" s="1"/>
  <c r="G35" i="4" s="1"/>
  <c r="G69" i="4" s="1"/>
  <c r="G73" i="4" s="1"/>
  <c r="H6" i="4"/>
  <c r="H32" i="4" s="1"/>
  <c r="H35" i="4" s="1"/>
  <c r="H69" i="4" s="1"/>
  <c r="H73" i="4" s="1"/>
  <c r="E32" i="4"/>
  <c r="E35" i="4" s="1"/>
  <c r="E69" i="4" s="1"/>
  <c r="E73" i="4" s="1"/>
  <c r="J6" i="4"/>
  <c r="J32" i="4" s="1"/>
  <c r="J35" i="4" s="1"/>
  <c r="J69" i="4" s="1"/>
  <c r="J73" i="4" s="1"/>
  <c r="I6" i="4"/>
  <c r="I32" i="4" s="1"/>
  <c r="I35" i="4" s="1"/>
  <c r="I69" i="4" s="1"/>
  <c r="I73" i="4" s="1"/>
  <c r="AD32" i="4" l="1"/>
  <c r="AD35" i="4" l="1"/>
  <c r="AD69" i="4" l="1"/>
  <c r="AD73" i="4" l="1"/>
  <c r="AL70" i="4" l="1"/>
  <c r="AH70" i="4"/>
  <c r="AK70" i="4"/>
  <c r="AK73" i="4" s="1"/>
  <c r="AJ70" i="4"/>
  <c r="AJ73" i="4" s="1"/>
  <c r="AG70" i="4"/>
  <c r="AG73" i="4" s="1"/>
  <c r="AF70" i="4"/>
  <c r="AF73" i="4" s="1"/>
  <c r="AK27" i="1"/>
  <c r="AK28" i="1" s="1"/>
  <c r="AK31" i="1" s="1"/>
  <c r="AJ28" i="1"/>
  <c r="AJ31" i="1" s="1"/>
  <c r="AH73" i="4" l="1"/>
  <c r="AL73" i="4"/>
  <c r="AM70" i="4" s="1"/>
  <c r="AM73" i="4" s="1"/>
  <c r="AW24" i="5" l="1"/>
  <c r="AW5" i="5" s="1"/>
  <c r="AZ5" i="5" l="1"/>
  <c r="AU32" i="4"/>
  <c r="AU35" i="4" s="1"/>
  <c r="AU69" i="4" l="1"/>
  <c r="AU73" i="4" s="1"/>
  <c r="U16" i="9"/>
  <c r="U6" i="9" l="1"/>
  <c r="BN21" i="1" l="1"/>
  <c r="BP6" i="1"/>
  <c r="BP5" i="1" l="1"/>
  <c r="BP21" i="1" s="1"/>
  <c r="BN26" i="1"/>
  <c r="BN28" i="1" s="1"/>
  <c r="BN31" i="1" s="1"/>
  <c r="BO31" i="1" s="1"/>
  <c r="BN32" i="1"/>
  <c r="BN36" i="1" l="1"/>
  <c r="BP36" i="1" s="1"/>
  <c r="BQ5" i="7"/>
  <c r="BQ6" i="7"/>
  <c r="BQ7" i="7"/>
  <c r="AW5" i="4"/>
  <c r="AW32" i="4" s="1"/>
  <c r="AW35" i="4" s="1"/>
  <c r="AW69" i="4" s="1"/>
  <c r="AW73" i="4" s="1"/>
  <c r="BN33" i="1"/>
  <c r="BQ4" i="7" s="1"/>
  <c r="AV32" i="4"/>
  <c r="AV35" i="4" s="1"/>
  <c r="AV69" i="4" l="1"/>
  <c r="AV73" i="4" s="1"/>
  <c r="BP32" i="1"/>
  <c r="BP26" i="1"/>
  <c r="BN37" i="1"/>
  <c r="BP37" i="1"/>
  <c r="BP28" i="1" l="1"/>
  <c r="BP33" i="1"/>
  <c r="BS4" i="7" s="1"/>
  <c r="BS7" i="7" l="1"/>
  <c r="BS6" i="7"/>
  <c r="BS5" i="7"/>
  <c r="AX5" i="4"/>
  <c r="AX32" i="4" l="1"/>
  <c r="AX35" i="4" l="1"/>
  <c r="AX69" i="4" l="1"/>
  <c r="AX73" i="4" l="1"/>
  <c r="AY70" i="4" s="1"/>
  <c r="AY73" i="4" s="1"/>
</calcChain>
</file>

<file path=xl/sharedStrings.xml><?xml version="1.0" encoding="utf-8"?>
<sst xmlns="http://schemas.openxmlformats.org/spreadsheetml/2006/main" count="1544" uniqueCount="743">
  <si>
    <t>SKONSOLIDOWANY RACHUNEK ZYSKÓW I STRAT</t>
  </si>
  <si>
    <t>CONSOLIDATED INCOME STATEMENT</t>
  </si>
  <si>
    <r>
      <t xml:space="preserve">2018 </t>
    </r>
    <r>
      <rPr>
        <b/>
        <vertAlign val="superscript"/>
        <sz val="11"/>
        <color theme="0"/>
        <rFont val="Calibri"/>
        <family val="2"/>
        <charset val="238"/>
      </rPr>
      <t>2)</t>
    </r>
    <r>
      <rPr>
        <b/>
        <sz val="11"/>
        <color theme="0"/>
        <rFont val="Calibri"/>
        <family val="2"/>
        <charset val="238"/>
      </rPr>
      <t xml:space="preserve">
(dane wg MSR 18, bez konsolidacji Grupy Netia)  </t>
    </r>
  </si>
  <si>
    <r>
      <t xml:space="preserve">2018 </t>
    </r>
    <r>
      <rPr>
        <b/>
        <vertAlign val="superscript"/>
        <sz val="11"/>
        <color theme="0"/>
        <rFont val="Calibri"/>
        <family val="2"/>
        <charset val="238"/>
      </rPr>
      <t>3)</t>
    </r>
    <r>
      <rPr>
        <b/>
        <sz val="11"/>
        <color theme="0"/>
        <rFont val="Calibri"/>
        <family val="2"/>
        <charset val="238"/>
      </rPr>
      <t xml:space="preserve"> (dane wg MSSF 15 i MSR 17,
Grupa Netia konsolidowana od 22 maja 2018 r.)</t>
    </r>
  </si>
  <si>
    <r>
      <t xml:space="preserve">2019 </t>
    </r>
    <r>
      <rPr>
        <b/>
        <vertAlign val="superscript"/>
        <sz val="11"/>
        <color theme="0"/>
        <rFont val="Calibri"/>
        <family val="2"/>
        <charset val="238"/>
      </rPr>
      <t>4)</t>
    </r>
    <r>
      <rPr>
        <b/>
        <sz val="11"/>
        <color theme="0"/>
        <rFont val="Calibri"/>
        <family val="2"/>
        <charset val="238"/>
      </rPr>
      <t xml:space="preserve"> (dane według MSSF 15 i MSR 17)</t>
    </r>
  </si>
  <si>
    <t>2019 (dane wg MSSF 15 i MSSF 16)</t>
  </si>
  <si>
    <t>2020 (dane wg MSSF 16)</t>
  </si>
  <si>
    <t>2021 (dane wg MSSF 16)</t>
  </si>
  <si>
    <t>2022 (dane wg MSSF 16)</t>
  </si>
  <si>
    <t>2023 (dane wg MSSF 16)</t>
  </si>
  <si>
    <r>
      <t xml:space="preserve">2018 </t>
    </r>
    <r>
      <rPr>
        <b/>
        <vertAlign val="superscript"/>
        <sz val="11"/>
        <color theme="0"/>
        <rFont val="Calibri"/>
        <family val="2"/>
        <charset val="238"/>
      </rPr>
      <t>2)</t>
    </r>
    <r>
      <rPr>
        <b/>
        <sz val="11"/>
        <color theme="0"/>
        <rFont val="Calibri"/>
        <family val="2"/>
        <charset val="238"/>
      </rPr>
      <t xml:space="preserve">
(IAS 18 basis, excl. consolidation of Netia Group)</t>
    </r>
  </si>
  <si>
    <r>
      <t xml:space="preserve">2018 </t>
    </r>
    <r>
      <rPr>
        <b/>
        <vertAlign val="superscript"/>
        <sz val="11"/>
        <color theme="0"/>
        <rFont val="Calibri"/>
        <family val="2"/>
        <charset val="238"/>
      </rPr>
      <t>3)</t>
    </r>
    <r>
      <rPr>
        <b/>
        <sz val="11"/>
        <color theme="0"/>
        <rFont val="Calibri"/>
        <family val="2"/>
        <charset val="238"/>
      </rPr>
      <t xml:space="preserve"> (IFRS 15 and IAS 17 basis,
Netia Group consolidated as of May 22, 2018)</t>
    </r>
  </si>
  <si>
    <r>
      <t>2019</t>
    </r>
    <r>
      <rPr>
        <b/>
        <vertAlign val="superscript"/>
        <sz val="11"/>
        <color theme="0"/>
        <rFont val="Calibri"/>
        <family val="2"/>
        <charset val="238"/>
      </rPr>
      <t>4)</t>
    </r>
    <r>
      <rPr>
        <b/>
        <sz val="11"/>
        <color theme="0"/>
        <rFont val="Calibri"/>
        <family val="2"/>
        <charset val="238"/>
      </rPr>
      <t xml:space="preserve"> (IFRS 15 and IAS 17 basis)</t>
    </r>
  </si>
  <si>
    <t>2019 (IFRS 15 and IFRS 16 basis)</t>
  </si>
  <si>
    <t>2020 (IFRS 16 basis)</t>
  </si>
  <si>
    <t>2021 (IFRS 16 basis)</t>
  </si>
  <si>
    <t>2022 (IFRS 16 basis)</t>
  </si>
  <si>
    <t>2023 (IFRS 16 basis)</t>
  </si>
  <si>
    <t>teraz</t>
  </si>
  <si>
    <t>mPLN</t>
  </si>
  <si>
    <t>Q1</t>
  </si>
  <si>
    <t>Q2</t>
  </si>
  <si>
    <t>Q3</t>
  </si>
  <si>
    <t>Q4</t>
  </si>
  <si>
    <r>
      <t xml:space="preserve">Q1 </t>
    </r>
    <r>
      <rPr>
        <b/>
        <vertAlign val="superscript"/>
        <sz val="10"/>
        <color theme="0"/>
        <rFont val="Calibri"/>
        <family val="2"/>
        <charset val="238"/>
      </rPr>
      <t>1)</t>
    </r>
  </si>
  <si>
    <r>
      <t xml:space="preserve">2016 </t>
    </r>
    <r>
      <rPr>
        <b/>
        <vertAlign val="superscript"/>
        <sz val="10"/>
        <color theme="0"/>
        <rFont val="Calibri"/>
        <family val="2"/>
        <charset val="238"/>
      </rPr>
      <t>1)</t>
    </r>
  </si>
  <si>
    <t>FY2019</t>
  </si>
  <si>
    <t>FY2020</t>
  </si>
  <si>
    <t>YTD2021</t>
  </si>
  <si>
    <t>YTD2022</t>
  </si>
  <si>
    <t>Przychody ze sprzedaży usług, produktów, towarów i materiałów</t>
  </si>
  <si>
    <t>Revenue</t>
  </si>
  <si>
    <t>Przychody detaliczne od klientów indywidualnych i biznesowych</t>
  </si>
  <si>
    <t>Retail revenue</t>
  </si>
  <si>
    <t>Przychody hurtowe</t>
  </si>
  <si>
    <t>Wholesale revenue</t>
  </si>
  <si>
    <t>Przychody ze sprzedaży sprzętu</t>
  </si>
  <si>
    <t xml:space="preserve">Sale of equipment </t>
  </si>
  <si>
    <t>Pozostałe przychody ze sprzedaży</t>
  </si>
  <si>
    <t>Other revenue</t>
  </si>
  <si>
    <t>Koszty operacyjne</t>
  </si>
  <si>
    <t>Operating costs</t>
  </si>
  <si>
    <t>Koszty techniczne i rozliczeń międzyoperatorskich</t>
  </si>
  <si>
    <t>Technical costs and cost of settlements with telecommunication operators</t>
  </si>
  <si>
    <t>Amortyzacja, utrata wartości i likwidacja</t>
  </si>
  <si>
    <t>Depreciation, amortization, impairment and liquidation</t>
  </si>
  <si>
    <t>Koszt własny sprzedanego sprzętu</t>
  </si>
  <si>
    <t>Cost of equipment sold</t>
  </si>
  <si>
    <t>Koszty kontentu</t>
  </si>
  <si>
    <t>Content costs</t>
  </si>
  <si>
    <t>Koszty dystrybucji, marketingu, obsługi i utrzymania klienta</t>
  </si>
  <si>
    <t>Distribution, marketing, customer relation management and retention costs</t>
  </si>
  <si>
    <t>Wynagrodzenia i świadczenia na rzecz pracowników</t>
  </si>
  <si>
    <t>Salaries and employee-related costs</t>
  </si>
  <si>
    <t>Koszty windykacji, odpisów aktualizujących wartość należności i koszt spisanych należności</t>
  </si>
  <si>
    <t>Cost of debt collection services, bad debt allowance and receivables written off</t>
  </si>
  <si>
    <t>Inne koszty</t>
  </si>
  <si>
    <t>Other costs</t>
  </si>
  <si>
    <t>Zysk ze sprzedaży jednostki zależnej i stowarzyszonej</t>
  </si>
  <si>
    <t>Gain on disposal of a subsidiary and an associate</t>
  </si>
  <si>
    <t>Pozostałe przychody / (koszty) operacyjne, netto</t>
  </si>
  <si>
    <t>Other operating income / (cost), net</t>
  </si>
  <si>
    <t>Zysk z działalności operacyjnej</t>
  </si>
  <si>
    <t>Profit from operating activities</t>
  </si>
  <si>
    <r>
      <t>Zyski i straty z działalności inwestycyjnej, netto</t>
    </r>
    <r>
      <rPr>
        <vertAlign val="superscript"/>
        <sz val="10"/>
        <color indexed="8"/>
        <rFont val="Calibri"/>
        <family val="2"/>
        <charset val="238"/>
      </rPr>
      <t xml:space="preserve"> </t>
    </r>
  </si>
  <si>
    <t>Gain/(loss) on investment activities, net</t>
  </si>
  <si>
    <t xml:space="preserve">Koszty finansowe, netto </t>
  </si>
  <si>
    <t>Finance costs, net</t>
  </si>
  <si>
    <t>Udział w zysku jednostki współkontrolowanej wycenianej metodą praw własności</t>
  </si>
  <si>
    <t>Share of the profit/(loss) of jointly controlled entity accounted for using the equity method</t>
  </si>
  <si>
    <t>Udział w zysku/(stracie) jednostek stowarzyszonych wycenianych metodą praw własności</t>
  </si>
  <si>
    <t>Share of the profit/(loss) of associates accounted for using the equity method</t>
  </si>
  <si>
    <t>Zysk brutto za okres</t>
  </si>
  <si>
    <t>Gross profit for the period</t>
  </si>
  <si>
    <t>Podatek dochodowy</t>
  </si>
  <si>
    <t>Income tax</t>
  </si>
  <si>
    <t>Zysk netto za okres</t>
  </si>
  <si>
    <t>Net profit for the period</t>
  </si>
  <si>
    <t>Zysk netto przypadający na akcjonariuszy Jednostki Dominującej</t>
  </si>
  <si>
    <t>Net profit attributable to equity holders of the Parent</t>
  </si>
  <si>
    <t>Zysk/ (strata) netto przypadający na akcjonariuszy niekontrolujących</t>
  </si>
  <si>
    <t>Net profit/(loss) attributable to non-controlling interest</t>
  </si>
  <si>
    <t>Podstawowy i rozwodniony zysk na jedną akcję w złotych</t>
  </si>
  <si>
    <t>Basic and diluted earnings per share (in PLN)</t>
  </si>
  <si>
    <t>EBITDA</t>
  </si>
  <si>
    <t>marża EBITDA</t>
  </si>
  <si>
    <t>EBITDA margin</t>
  </si>
  <si>
    <t>Koszty związane z COVID (w tym darowizny)</t>
  </si>
  <si>
    <t>Costs related to COVID (including donations)</t>
  </si>
  <si>
    <t>Koszty wsparcia Ukrainy</t>
  </si>
  <si>
    <t>Costs of support for Ukraine</t>
  </si>
  <si>
    <t>EBITDA skorygowana</t>
  </si>
  <si>
    <t>EBITDA adjusted</t>
  </si>
  <si>
    <t>marża EBITDA skorygowana</t>
  </si>
  <si>
    <t>EBITDA adjusted margin</t>
  </si>
  <si>
    <t>1) Wyniki Grupy Aero2 konsolidowane od 29 lutego 2016.</t>
  </si>
  <si>
    <t>1) Results of Aero2 Group consolidated from February 29, 2016</t>
  </si>
  <si>
    <r>
      <t xml:space="preserve">2) Dane zgodne ze standardem MSR 18 - nie uwzględniają wpływu standardów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Przychody z umów z klientami</t>
    </r>
    <r>
      <rPr>
        <sz val="10"/>
        <color indexed="8"/>
        <rFont val="Calibri"/>
        <family val="2"/>
        <charset val="238"/>
      </rPr>
      <t xml:space="preserve">, obowiązujących od 1 stycznia 2018 roku. </t>
    </r>
  </si>
  <si>
    <r>
      <t xml:space="preserve">2) Data presented in accordance with IAS 18 standard - they do not include the impact of the standards IFRS 9 </t>
    </r>
    <r>
      <rPr>
        <i/>
        <sz val="10"/>
        <color indexed="8"/>
        <rFont val="Calibri"/>
        <family val="2"/>
        <charset val="238"/>
      </rPr>
      <t>Financial Instruments</t>
    </r>
    <r>
      <rPr>
        <sz val="10"/>
        <color indexed="8"/>
        <rFont val="Calibri"/>
        <family val="2"/>
        <charset val="238"/>
      </rPr>
      <t xml:space="preserve"> and IFRS 15 </t>
    </r>
    <r>
      <rPr>
        <i/>
        <sz val="10"/>
        <color indexed="8"/>
        <rFont val="Calibri"/>
        <family val="2"/>
        <charset val="238"/>
      </rPr>
      <t>Revenue from Contracts with Customers</t>
    </r>
    <r>
      <rPr>
        <sz val="10"/>
        <color indexed="8"/>
        <rFont val="Calibri"/>
        <family val="2"/>
        <charset val="238"/>
      </rPr>
      <t xml:space="preserve">, applicable from January 1, 2018.  </t>
    </r>
  </si>
  <si>
    <r>
      <t xml:space="preserve">3) Dane zgodne ze standardami MSSF 9 </t>
    </r>
    <r>
      <rPr>
        <i/>
        <sz val="10"/>
        <color indexed="8"/>
        <rFont val="Calibri"/>
        <family val="2"/>
        <charset val="238"/>
      </rPr>
      <t>Instrumenty Finansowe</t>
    </r>
    <r>
      <rPr>
        <sz val="10"/>
        <color indexed="8"/>
        <rFont val="Calibri"/>
        <family val="2"/>
        <charset val="238"/>
      </rPr>
      <t xml:space="preserve"> oraz MSSF 15 </t>
    </r>
    <r>
      <rPr>
        <i/>
        <sz val="10"/>
        <color indexed="8"/>
        <rFont val="Calibri"/>
        <family val="2"/>
        <charset val="238"/>
      </rPr>
      <t xml:space="preserve">Przychody z umów z klientami. </t>
    </r>
    <r>
      <rPr>
        <sz val="10"/>
        <color indexed="8"/>
        <rFont val="Calibri"/>
        <family val="2"/>
        <charset val="238"/>
      </rPr>
      <t xml:space="preserve">Dane nie sa porównywalne z danymi za okresy wcześniejsze. </t>
    </r>
  </si>
  <si>
    <t xml:space="preserve">3) Data presented in accordance with standards IFRS 9 Financial Instruments and IFRS 15 Revenue from Contracts with Customers. Data is not comparable to data for previous periods. </t>
  </si>
  <si>
    <t>4) Dane bez ujęcia efektu MSSF 16</t>
  </si>
  <si>
    <t>4) Data excluding the impact of IFRS 16</t>
  </si>
  <si>
    <t>2018 (dane wg MSR 17,
Grupa Netia konsolidowana od 22 maja 2018 r.)</t>
  </si>
  <si>
    <t>2019 (dane MSSF 16)</t>
  </si>
  <si>
    <t>2018 (IAS 17 basis,
Netia Group consolidated as of May 22, 2018)</t>
  </si>
  <si>
    <t>2019 (IFRS 16 basis)</t>
  </si>
  <si>
    <t>YTD2018</t>
  </si>
  <si>
    <t>YTD2019</t>
  </si>
  <si>
    <t>YTD2020</t>
  </si>
  <si>
    <t>FY2021</t>
  </si>
  <si>
    <t>Przychody ze sprzedaży</t>
  </si>
  <si>
    <t>Revenues</t>
  </si>
  <si>
    <t>Segment usług B2C i B2B</t>
  </si>
  <si>
    <t>B2C &amp; B2B services segment</t>
  </si>
  <si>
    <t>Segment mediowy: TV i online</t>
  </si>
  <si>
    <t>Media segment: TV &amp; online</t>
  </si>
  <si>
    <t xml:space="preserve">Segment nieruchomości </t>
  </si>
  <si>
    <t>Real estate segment</t>
  </si>
  <si>
    <t>wyłączenia i korekty konsolidacyjne</t>
  </si>
  <si>
    <t>consolidation adjustments</t>
  </si>
  <si>
    <t>EBITDA skorygowana (niebadana)</t>
  </si>
  <si>
    <t>EBITDA adjusted (unaudited)</t>
  </si>
  <si>
    <t>Segment nieruchomości</t>
  </si>
  <si>
    <r>
      <t xml:space="preserve">Koszty związane z COVID (w tym darowizny) </t>
    </r>
    <r>
      <rPr>
        <vertAlign val="superscript"/>
        <sz val="10"/>
        <color theme="1"/>
        <rFont val="Calibri"/>
        <family val="2"/>
        <charset val="238"/>
        <scheme val="minor"/>
      </rPr>
      <t>1)</t>
    </r>
  </si>
  <si>
    <r>
      <t xml:space="preserve">Costs related to COVID (including donations) </t>
    </r>
    <r>
      <rPr>
        <vertAlign val="superscript"/>
        <sz val="10"/>
        <color theme="1"/>
        <rFont val="Calibri"/>
        <family val="2"/>
        <charset val="238"/>
        <scheme val="minor"/>
      </rPr>
      <t>1)</t>
    </r>
  </si>
  <si>
    <r>
      <t xml:space="preserve">Zysk ze sprzedaży jednostki zależnej i stowarzyszonej </t>
    </r>
    <r>
      <rPr>
        <vertAlign val="superscript"/>
        <sz val="10"/>
        <color theme="1"/>
        <rFont val="Calibri"/>
        <family val="2"/>
        <charset val="238"/>
        <scheme val="minor"/>
      </rPr>
      <t>2)</t>
    </r>
  </si>
  <si>
    <r>
      <t xml:space="preserve">Gain on disposal of a subsidiary and an associate </t>
    </r>
    <r>
      <rPr>
        <vertAlign val="superscript"/>
        <sz val="10"/>
        <color theme="1"/>
        <rFont val="Calibri"/>
        <family val="2"/>
        <charset val="238"/>
        <scheme val="minor"/>
      </rPr>
      <t>2)</t>
    </r>
  </si>
  <si>
    <t>Costs of supporting Ukraine</t>
  </si>
  <si>
    <t>Zysk/(strata) z działalności operacyjnej</t>
  </si>
  <si>
    <t>Profit/(loss) from operating activities</t>
  </si>
  <si>
    <r>
      <t>Nabycie rzeczowych aktywów trwałych i innych wartości niematerialnych</t>
    </r>
    <r>
      <rPr>
        <b/>
        <vertAlign val="superscript"/>
        <sz val="11"/>
        <rFont val="Calibri"/>
        <family val="2"/>
        <charset val="238"/>
        <scheme val="minor"/>
      </rPr>
      <t xml:space="preserve"> 3)</t>
    </r>
  </si>
  <si>
    <r>
      <t xml:space="preserve">Acquisition of property, plant and equipment, and other intangible assets </t>
    </r>
    <r>
      <rPr>
        <b/>
        <vertAlign val="superscript"/>
        <sz val="11"/>
        <color theme="1"/>
        <rFont val="Calibri"/>
        <family val="2"/>
        <charset val="238"/>
        <scheme val="minor"/>
      </rPr>
      <t>3)</t>
    </r>
  </si>
  <si>
    <t xml:space="preserve">B2C and B2B services segment </t>
  </si>
  <si>
    <t>Relacja nabycia rzeczowych aktywów trwałych i innych wartości niematerialnych do przychodów</t>
  </si>
  <si>
    <t>Capex/Revenue ratio</t>
  </si>
  <si>
    <t>1) EBITDA skorygowana nie uwzględnia kosztów poniesionych w związku z epidemią COVID-19, w tym darowizn.</t>
  </si>
  <si>
    <t>1) Adjusted EBITDA excludes costs related to the COVID-19 epidemic, including donations.</t>
  </si>
  <si>
    <t>2) EBITDA skorygowana nie uwzględnia zysku ze sprzedaży jednostki zależnej i stowarzyszonej</t>
  </si>
  <si>
    <t>2) Adjusted EBITDA excludes the gain on the disposal of a subsidiary and an associate</t>
  </si>
  <si>
    <t>3) Pozycja ta do 2019 roku obejmowała także nabycie zestawów odbiorczych w leasingu operacyjnym, będące pozycją wykazywaną w ramach środków pieniężnych z działalności operacyjnej. Dla zachowania porównywalności, dane historyczne zostały odpowiednio skorygowane.</t>
  </si>
  <si>
    <t>3) Until 2019 this item also included the acquisition of reception equipment in operating leasing, an item recognized in cash flows from operating activites. To ensure comparability, historical data has been corrected accordingly.</t>
  </si>
  <si>
    <t>SKONSOLIDOWANY BILANS</t>
  </si>
  <si>
    <t>CONSOLIDATED BALANCE SHEET</t>
  </si>
  <si>
    <r>
      <t>2017</t>
    </r>
    <r>
      <rPr>
        <i/>
        <sz val="10"/>
        <color theme="0"/>
        <rFont val="Calibri"/>
        <family val="2"/>
        <charset val="238"/>
        <scheme val="minor"/>
      </rPr>
      <t xml:space="preserve"> (MSR 18/IAS 18 basis)</t>
    </r>
  </si>
  <si>
    <r>
      <t>2018</t>
    </r>
    <r>
      <rPr>
        <sz val="10"/>
        <color theme="0"/>
        <rFont val="Calibri"/>
        <family val="2"/>
        <charset val="238"/>
        <scheme val="minor"/>
      </rPr>
      <t xml:space="preserve"> </t>
    </r>
    <r>
      <rPr>
        <i/>
        <sz val="10"/>
        <color theme="0"/>
        <rFont val="Calibri"/>
        <family val="2"/>
        <charset val="238"/>
        <scheme val="minor"/>
      </rPr>
      <t>(MSSF 15 / IFRS 15 basis</t>
    </r>
    <r>
      <rPr>
        <b/>
        <i/>
        <sz val="10"/>
        <color theme="0"/>
        <rFont val="Calibri"/>
        <family val="2"/>
        <charset val="238"/>
        <scheme val="minor"/>
      </rPr>
      <t xml:space="preserve">
</t>
    </r>
    <r>
      <rPr>
        <i/>
        <sz val="10"/>
        <color theme="0"/>
        <rFont val="Calibri"/>
        <family val="2"/>
        <charset val="238"/>
        <scheme val="minor"/>
      </rPr>
      <t>Grupa Netia konsolidowana od 22 maja 2018 r. 
/ Netia Group consolidated since May 22, 2018)</t>
    </r>
  </si>
  <si>
    <r>
      <t xml:space="preserve">2019 </t>
    </r>
    <r>
      <rPr>
        <i/>
        <sz val="10"/>
        <color theme="0"/>
        <rFont val="Calibri"/>
        <family val="2"/>
        <charset val="238"/>
        <scheme val="minor"/>
      </rPr>
      <t>(MSSF 15 i MSSF 16 / IFRS 15 and IFRS 16 basis)</t>
    </r>
  </si>
  <si>
    <t xml:space="preserve">31 marca </t>
  </si>
  <si>
    <t xml:space="preserve">30 czerwca </t>
  </si>
  <si>
    <t xml:space="preserve">30 września </t>
  </si>
  <si>
    <t xml:space="preserve">31 grudnia </t>
  </si>
  <si>
    <r>
      <t xml:space="preserve">31 grudnia </t>
    </r>
    <r>
      <rPr>
        <b/>
        <vertAlign val="superscript"/>
        <sz val="10"/>
        <color theme="0"/>
        <rFont val="Calibri"/>
        <family val="2"/>
        <charset val="238"/>
      </rPr>
      <t>1)</t>
    </r>
  </si>
  <si>
    <t>31 March</t>
  </si>
  <si>
    <t>30 June</t>
  </si>
  <si>
    <t>30 September</t>
  </si>
  <si>
    <t>31 December</t>
  </si>
  <si>
    <r>
      <t xml:space="preserve">31 December </t>
    </r>
    <r>
      <rPr>
        <b/>
        <vertAlign val="superscript"/>
        <sz val="10"/>
        <color theme="0"/>
        <rFont val="Calibri"/>
        <family val="2"/>
        <charset val="238"/>
        <scheme val="minor"/>
      </rPr>
      <t>1)</t>
    </r>
  </si>
  <si>
    <t>AKTYWA</t>
  </si>
  <si>
    <t>ASSETS</t>
  </si>
  <si>
    <t>Zestawy odbiorcze</t>
  </si>
  <si>
    <t>Reception equipment</t>
  </si>
  <si>
    <t>Inne rzeczowe aktywa trwałe</t>
  </si>
  <si>
    <t>Other property, plant and equipment</t>
  </si>
  <si>
    <t>Wartość firmy</t>
  </si>
  <si>
    <t xml:space="preserve">Goodwill </t>
  </si>
  <si>
    <t>Relacje z klientami</t>
  </si>
  <si>
    <t>Customer relationships</t>
  </si>
  <si>
    <t>Marki</t>
  </si>
  <si>
    <t>Brands</t>
  </si>
  <si>
    <t xml:space="preserve">Inne wartości niematerialne </t>
  </si>
  <si>
    <t xml:space="preserve">Other intangible assets </t>
  </si>
  <si>
    <t>Prawa do użytkowania</t>
  </si>
  <si>
    <t>Right-of-use assets</t>
  </si>
  <si>
    <t>Długoterminowe aktywa programowe</t>
  </si>
  <si>
    <t>Non-current programming assets</t>
  </si>
  <si>
    <t>Nieruchomości inwestycyjne</t>
  </si>
  <si>
    <t>Investment property</t>
  </si>
  <si>
    <t>Długoterminowe prowizje dla dystrybutorów rozliczane w czasie</t>
  </si>
  <si>
    <t>Non-current deferred distribution fees</t>
  </si>
  <si>
    <t>Opcja wcześniejszej spłaty obligacji</t>
  </si>
  <si>
    <t>Early redemption option</t>
  </si>
  <si>
    <r>
      <t xml:space="preserve">Długoterminowe należności z tytułu dostaw i usług </t>
    </r>
    <r>
      <rPr>
        <vertAlign val="superscript"/>
        <sz val="10"/>
        <color indexed="8"/>
        <rFont val="Calibri"/>
        <family val="2"/>
        <charset val="238"/>
      </rPr>
      <t xml:space="preserve">3) </t>
    </r>
  </si>
  <si>
    <r>
      <t xml:space="preserve">Non-current trade receivables </t>
    </r>
    <r>
      <rPr>
        <vertAlign val="superscript"/>
        <sz val="10"/>
        <color theme="1"/>
        <rFont val="Calibri"/>
        <family val="2"/>
        <charset val="238"/>
        <scheme val="minor"/>
      </rPr>
      <t>3)</t>
    </r>
  </si>
  <si>
    <r>
      <t xml:space="preserve">Udzielone pożyczki długoterminowe </t>
    </r>
    <r>
      <rPr>
        <vertAlign val="superscript"/>
        <sz val="10"/>
        <color indexed="8"/>
        <rFont val="Calibri"/>
        <family val="2"/>
        <charset val="238"/>
      </rPr>
      <t>5)</t>
    </r>
  </si>
  <si>
    <r>
      <t xml:space="preserve">Non-current loans granted </t>
    </r>
    <r>
      <rPr>
        <vertAlign val="superscript"/>
        <sz val="10"/>
        <color theme="1"/>
        <rFont val="Calibri"/>
        <family val="2"/>
        <charset val="238"/>
        <scheme val="minor"/>
      </rPr>
      <t>5)</t>
    </r>
  </si>
  <si>
    <r>
      <t xml:space="preserve">Inne aktywa długoterminowe </t>
    </r>
    <r>
      <rPr>
        <vertAlign val="superscript"/>
        <sz val="10"/>
        <color indexed="8"/>
        <rFont val="Calibri"/>
        <family val="2"/>
        <charset val="238"/>
      </rPr>
      <t>3) 5)</t>
    </r>
  </si>
  <si>
    <r>
      <t xml:space="preserve">Other non-current assets </t>
    </r>
    <r>
      <rPr>
        <vertAlign val="superscript"/>
        <sz val="10"/>
        <color theme="1"/>
        <rFont val="Calibri"/>
        <family val="2"/>
        <charset val="238"/>
        <scheme val="minor"/>
      </rPr>
      <t>3) 5)</t>
    </r>
    <r>
      <rPr>
        <sz val="10"/>
        <color theme="1"/>
        <rFont val="Calibri"/>
        <family val="2"/>
        <charset val="238"/>
        <scheme val="minor"/>
      </rPr>
      <t>, includes:</t>
    </r>
  </si>
  <si>
    <t>w tym udziały w jednostkach stowarzyszonych i wspólnych przedsięwzięciach wycenianych metodą praw własności</t>
  </si>
  <si>
    <t>shares in associates accounted for using the equity method</t>
  </si>
  <si>
    <t>w tym aktywa z tytułu instrumentów pochodnych</t>
  </si>
  <si>
    <t xml:space="preserve">derivative instruments </t>
  </si>
  <si>
    <t>Aktywa z tytułu odroczonego podatku dochodowego</t>
  </si>
  <si>
    <t>Deferred tax assets</t>
  </si>
  <si>
    <t>Aktywa trwałe razem</t>
  </si>
  <si>
    <t>Total non-current assets</t>
  </si>
  <si>
    <t>Krótkoterminowe aktywa programowe</t>
  </si>
  <si>
    <t>Current programming assets</t>
  </si>
  <si>
    <t>Aktywa z tytułu kontraktów</t>
  </si>
  <si>
    <t>Contract assets</t>
  </si>
  <si>
    <t>Zapasy</t>
  </si>
  <si>
    <t>Inventories</t>
  </si>
  <si>
    <r>
      <t xml:space="preserve">Należności z tytułu dostaw i usług oraz pozostałe należności </t>
    </r>
    <r>
      <rPr>
        <vertAlign val="superscript"/>
        <sz val="10"/>
        <color indexed="8"/>
        <rFont val="Calibri"/>
        <family val="2"/>
        <charset val="238"/>
      </rPr>
      <t>6)</t>
    </r>
  </si>
  <si>
    <t>Trade and other receivables</t>
  </si>
  <si>
    <r>
      <t xml:space="preserve">Pożyczki udzielone </t>
    </r>
    <r>
      <rPr>
        <vertAlign val="superscript"/>
        <sz val="10"/>
        <color indexed="8"/>
        <rFont val="Calibri"/>
        <family val="2"/>
        <charset val="238"/>
      </rPr>
      <t>6)</t>
    </r>
  </si>
  <si>
    <r>
      <t xml:space="preserve">Current loans granted </t>
    </r>
    <r>
      <rPr>
        <vertAlign val="superscript"/>
        <sz val="10"/>
        <color theme="1"/>
        <rFont val="Calibri"/>
        <family val="2"/>
        <charset val="238"/>
        <scheme val="minor"/>
      </rPr>
      <t>6)</t>
    </r>
  </si>
  <si>
    <t>Należności z tytułu podatku dochodowego</t>
  </si>
  <si>
    <t>Income tax receivable</t>
  </si>
  <si>
    <t>Krótkoterminowe prowizje dla dystrybutorów rozliczane w czasie</t>
  </si>
  <si>
    <t>Current deferred distribution fees</t>
  </si>
  <si>
    <t>Pozostałe aktywa obrotowe</t>
  </si>
  <si>
    <t>Other current assets, includes:</t>
  </si>
  <si>
    <t>derivative instruments assets</t>
  </si>
  <si>
    <t>Lokaty krótkoterminowe</t>
  </si>
  <si>
    <t>Short-term deposits</t>
  </si>
  <si>
    <t>Środki pieniężne i ich ekwiwalenty</t>
  </si>
  <si>
    <t>Cash and cash equivalents</t>
  </si>
  <si>
    <t>Środki pieniężne o ograniczonej możliwości dysponowania</t>
  </si>
  <si>
    <t>Restricted cash</t>
  </si>
  <si>
    <t>Aktywa obrotowe razem</t>
  </si>
  <si>
    <t>Total current assets</t>
  </si>
  <si>
    <t>Aktywa przeznaczone do sprzedaży</t>
  </si>
  <si>
    <t>Assets held for sale</t>
  </si>
  <si>
    <t>w tym środki pieniężne i ich ekwiwalenty</t>
  </si>
  <si>
    <t xml:space="preserve">includes cash and cash equivalents </t>
  </si>
  <si>
    <t>AKTYWA RAZEM</t>
  </si>
  <si>
    <t>TOTAL ASSETS</t>
  </si>
  <si>
    <t>PASYWA</t>
  </si>
  <si>
    <t>EQUITY AND LIABILITIES</t>
  </si>
  <si>
    <t>Kapitał zakładowy</t>
  </si>
  <si>
    <t>Share capital</t>
  </si>
  <si>
    <t>Kapitał zapasowy</t>
  </si>
  <si>
    <t>Reserve capital</t>
  </si>
  <si>
    <t>Kapitał rezerwowy</t>
  </si>
  <si>
    <t>Other reserves</t>
  </si>
  <si>
    <t>Nadwyżka wartości emisyjnej akcji powyżej ich wartości nominalnej</t>
  </si>
  <si>
    <t>Share premium</t>
  </si>
  <si>
    <t>Kapitał z aktualizacji wyceny instrumentów zabezpieczających</t>
  </si>
  <si>
    <t>Hedge valuation reserve</t>
  </si>
  <si>
    <t>Różnice kursowe z przeliczenia jednostek działających za granicą</t>
  </si>
  <si>
    <t>Currency translation adjustment</t>
  </si>
  <si>
    <t>Udział w innych całkowitych dochodach jednostek stowarzyszonych</t>
  </si>
  <si>
    <t>Share of other comprehensive income of associates</t>
  </si>
  <si>
    <t>Pozostałe kapitały</t>
  </si>
  <si>
    <t>Zyski zatrzymane</t>
  </si>
  <si>
    <t>Retained earnings</t>
  </si>
  <si>
    <t>Akcje własne</t>
  </si>
  <si>
    <t>Treasury shares</t>
  </si>
  <si>
    <t>Kapitał przypadający na akcjonariuszy Jednostki Dominującej</t>
  </si>
  <si>
    <t>Equity attributable to equity holders of the Parent</t>
  </si>
  <si>
    <t>Udziały niekontrolujące</t>
  </si>
  <si>
    <t>Non-controlling interests</t>
  </si>
  <si>
    <t>Kapitał własny razem</t>
  </si>
  <si>
    <t>Total equity</t>
  </si>
  <si>
    <t>Zobowiązania z tytułu kredytów i pożyczek</t>
  </si>
  <si>
    <t>Loans and borrowings</t>
  </si>
  <si>
    <t xml:space="preserve">Zobowiązania z tytułu obligacji </t>
  </si>
  <si>
    <t>Issued bonds</t>
  </si>
  <si>
    <t>Zobowiązania z tytułu leasingu</t>
  </si>
  <si>
    <t>Lease liabilities</t>
  </si>
  <si>
    <t>Zobowiązania z tytułu koncesji UMTS</t>
  </si>
  <si>
    <t>UMTS license liabilities</t>
  </si>
  <si>
    <t>Zobowiązania z tytułu odroczonego podatku dochodowego</t>
  </si>
  <si>
    <t>Deferred tax liabilities</t>
  </si>
  <si>
    <t>Przychody przyszłych okresów</t>
  </si>
  <si>
    <t>Deferred income</t>
  </si>
  <si>
    <t>Inne długoterminowe zobowiązania i rezerwy</t>
  </si>
  <si>
    <t>Other non-current liabilities and provisions</t>
  </si>
  <si>
    <t>w tym zobowiązania z tytułu instrumentów pochodnych</t>
  </si>
  <si>
    <t>includes derivative instruments liabilities</t>
  </si>
  <si>
    <t>Zobowiązania długoterminowe razem</t>
  </si>
  <si>
    <t xml:space="preserve">Total non-current liabilities </t>
  </si>
  <si>
    <t xml:space="preserve">Zobowiązania z tytułu leasingu </t>
  </si>
  <si>
    <t>Zobowiązania z tytułu kontraktów</t>
  </si>
  <si>
    <t>Contract liabilities</t>
  </si>
  <si>
    <t xml:space="preserve">Zobowiązania z tytułu dostaw i usług oraz pozostałe zobowiązania </t>
  </si>
  <si>
    <t>Zobowiązanie wobec akcjonariuszy Jednostki Dominującej z tytułu dywidendy</t>
  </si>
  <si>
    <t>Liabilities to shareholders of the Parent Company related to dividend</t>
  </si>
  <si>
    <r>
      <t>Zobowiązanie z tytułu wezwania na akcje Netii S.A.</t>
    </r>
    <r>
      <rPr>
        <vertAlign val="superscript"/>
        <sz val="10"/>
        <color indexed="8"/>
        <rFont val="Calibri"/>
        <family val="2"/>
        <charset val="238"/>
      </rPr>
      <t>4)</t>
    </r>
  </si>
  <si>
    <r>
      <t xml:space="preserve">Liabilities due to tender offer for shares in Netia S.A. </t>
    </r>
    <r>
      <rPr>
        <vertAlign val="superscript"/>
        <sz val="10"/>
        <color theme="1"/>
        <rFont val="Calibri"/>
        <family val="2"/>
        <charset val="238"/>
        <scheme val="minor"/>
      </rPr>
      <t>4)</t>
    </r>
  </si>
  <si>
    <t>Zobowiązania z tytułu podatku dochodowego</t>
  </si>
  <si>
    <t>Income tax liability</t>
  </si>
  <si>
    <t>Kaucje otrzymane za wydany sprzęt</t>
  </si>
  <si>
    <t>Deposits for equipment</t>
  </si>
  <si>
    <t>2)</t>
  </si>
  <si>
    <t>Zobowiązania krótkoterminowe razem</t>
  </si>
  <si>
    <t>Total current liabilities</t>
  </si>
  <si>
    <t>Zobowiązania przeznaczone do sprzedaży</t>
  </si>
  <si>
    <t>Liabilities held for sale</t>
  </si>
  <si>
    <t>w tym zobowiązania z tytułu leasingu</t>
  </si>
  <si>
    <t>includes lease liabilities</t>
  </si>
  <si>
    <t>Zobowiązania razem</t>
  </si>
  <si>
    <t>Total liabilities</t>
  </si>
  <si>
    <t>PASYWA RAZEM</t>
  </si>
  <si>
    <t>1) Przekszatłcenie w wyniku finalizacji procesu alokacji ceny nabycia Metelem.</t>
  </si>
  <si>
    <t>1) Restatement due to final purchase price allocation of Metelem</t>
  </si>
  <si>
    <t>2) Od 30 czerwca 2015 roku pozycja "Kaucje otrzymane za wydany sprzęt" została ujęta w pozycji "Zobowiązania z tytułu dostaw i usług oraz pozostałe zobowiązania".</t>
  </si>
  <si>
    <t>2) From June 30, 2015 the item "Deposits for equipment" is accounted for in the item "Trade and other payables"</t>
  </si>
  <si>
    <t>3) Na 31 grudnia 2019 roku Spółka zmieniła prezentację pozycji Inne aktywa długoterminowe i wydzieliła i zaprezentowała osobno pozycję Długoterminowe należności z tytułu dostaw i usług. Dane na 31 grudnia 2018 roku zostały przekształcone w celu uzgodnienia prezentacji.</t>
  </si>
  <si>
    <t>3) As at December 31, 2019, the Group changed the presentation of the item Other non-current assets by reclassifying and separately presenting the item Non-current trade receivables. Data as of December 31, 2018 have been restated.</t>
  </si>
  <si>
    <t xml:space="preserve">4) Ogłoszenie wezwania w dniu 23 grudnia 2020 roku spowodowało powstanie po stronie Grupy zobowiązania finansowego wynikającego z wystawionej opcji sprzedaży, określonego jako iloczyn ceny z wezwania (4,80 zł (nie w milionach)) oraz ilości akcji Netia S.A. z wezwania (114.173.459 akcji (nie w milionach)).  Do dnia 26 lutego 2021 roku przyjęto zapisy na 84.868 akcji (nie w milionach) w ramach wezwania. W konsekwencji w dniu 8 marca 2021 roku zobowiązanie finansowe w wysokości 547,6 zł zostało wycofane z bilansu. </t>
  </si>
  <si>
    <t>4) The announcement of the tender offer for Netia’s shares dated 23 December 2020 resulted in a financial liability for the Group resulting from the put option, defined as the Netia’s share price in the tender offer (PLN 4.80 (not in millions)) and the number of shares in the tender offer (114,173,459 shares (not in millions). Subscriptions for 84,868 shares (not in millions) were accepted in the tender offer until 26 February 2021. As a result, on 8 March 2021, the financial liability in the amount of PLN 547.6 was derecognized from the balance sheet.</t>
  </si>
  <si>
    <t xml:space="preserve">5) Spółka wydzieliła na dzień 31 grudnia 2022 roku pozycję "Udzielone pożyczki długoterminowe" z pozycji "Inne aktywa długoterminowe". Dane na 31 grudnia 2021 zostały przekształcone w celu uzgodnienia prezentacji. </t>
  </si>
  <si>
    <t>5) As at December 31, 2022, the Company changed the presentation of the item "Other non-current assets" by reclassifying and separately presenting the item "Non-current loans granted". Data as of December 31, 2021 have been restated.</t>
  </si>
  <si>
    <t xml:space="preserve">6) Spółka wydzieliła na dzień 31 grudnia 2022 roku pozycję "Udzielone pożyczki" z pozycji "Należności z tytułu dostaw i usług oraz pozostałe należności". Dane na 31 grudnia 2021 zostały przekształcone w celu uzgodnienia prezentacji. </t>
  </si>
  <si>
    <t>SKONSOLIDOWANY RACHUNEK PRZEPŁYWÓW PIENIĘŻNYCH</t>
  </si>
  <si>
    <t>CONSOLIDATED CASH FLOW STATEMENT</t>
  </si>
  <si>
    <r>
      <t xml:space="preserve">2017 </t>
    </r>
    <r>
      <rPr>
        <i/>
        <sz val="10"/>
        <color theme="0"/>
        <rFont val="Calibri"/>
        <family val="2"/>
        <charset val="238"/>
        <scheme val="minor"/>
      </rPr>
      <t>(dane według MSR 18)</t>
    </r>
  </si>
  <si>
    <r>
      <t xml:space="preserve">2018 </t>
    </r>
    <r>
      <rPr>
        <i/>
        <sz val="10"/>
        <color theme="0"/>
        <rFont val="Calibri"/>
        <family val="2"/>
        <charset val="238"/>
        <scheme val="minor"/>
      </rPr>
      <t>(MSSF 15 / IFRS 15 basis
Grupa Netia konsolidowana od 22 maja 2018 r. 
/ Netia Group consolidated since May 22, 2018)</t>
    </r>
  </si>
  <si>
    <r>
      <t xml:space="preserve">2019 </t>
    </r>
    <r>
      <rPr>
        <i/>
        <sz val="10"/>
        <color theme="0"/>
        <rFont val="Calibri"/>
        <family val="2"/>
        <charset val="238"/>
        <scheme val="minor"/>
      </rPr>
      <t>(MSR 17 / IAS 17)</t>
    </r>
  </si>
  <si>
    <r>
      <t xml:space="preserve">2019 </t>
    </r>
    <r>
      <rPr>
        <i/>
        <sz val="10"/>
        <color theme="0"/>
        <rFont val="Calibri"/>
        <family val="2"/>
        <charset val="238"/>
        <scheme val="minor"/>
      </rPr>
      <t>(MSSF 16 / IFRS 16)</t>
    </r>
  </si>
  <si>
    <t>3 miesiące 
do 31 marca</t>
  </si>
  <si>
    <t>6 miesięcy 
do 30 czerwca</t>
  </si>
  <si>
    <t xml:space="preserve">9 miesięcy 
do 30 września </t>
  </si>
  <si>
    <t xml:space="preserve">12 miesięcy 
do 31 grudnia </t>
  </si>
  <si>
    <t>3 months ended
March 31</t>
  </si>
  <si>
    <t>6 months ended
June 30</t>
  </si>
  <si>
    <t>9 months ended
September 30</t>
  </si>
  <si>
    <t>12 months ended
December 31</t>
  </si>
  <si>
    <t>Zysk  netto za okres</t>
  </si>
  <si>
    <t>Net profit</t>
  </si>
  <si>
    <t>Korekty:</t>
  </si>
  <si>
    <t>Adjustments for:</t>
  </si>
  <si>
    <t>Płatności za licencje filmowe i sportowe</t>
  </si>
  <si>
    <t>Payments for film licenses and sports rights</t>
  </si>
  <si>
    <t>Amortyzacja licencji filmowych i sportowych</t>
  </si>
  <si>
    <t>Amortization of film licenses and sports rights</t>
  </si>
  <si>
    <t>(Zysk)/strata ze sprzedaży rzeczowych aktywów trwałych i wartości niematerialnych</t>
  </si>
  <si>
    <t>(Gain)/loss on the sale of property, plant and equipment and intangible assets</t>
  </si>
  <si>
    <t>Wartość sprzedanych aktywów programowych</t>
  </si>
  <si>
    <t>Cost of programming rights sold</t>
  </si>
  <si>
    <t xml:space="preserve">Odsetki </t>
  </si>
  <si>
    <t>Interest expense</t>
  </si>
  <si>
    <t>Zmiana stanu zapasów</t>
  </si>
  <si>
    <t>Change in inventories</t>
  </si>
  <si>
    <t>Zmiana stanu należności i innych aktywów</t>
  </si>
  <si>
    <t>Change in receivables and other assets</t>
  </si>
  <si>
    <t>Zmiana stanu zobowiązań i rezerw</t>
  </si>
  <si>
    <t>Change in liabilities and provisions</t>
  </si>
  <si>
    <t>Zmiana stanu aktywów z tytułu kontraktów</t>
  </si>
  <si>
    <t>Change in contract assets</t>
  </si>
  <si>
    <t>Zmiana stanu zobowiązania z tytułu kontraktów</t>
  </si>
  <si>
    <t>Change in contract liabilities</t>
  </si>
  <si>
    <t>Zmiana stanu produkcji własnej oraz zaliczek na produkcję własną</t>
  </si>
  <si>
    <t>Change in internal production and advance payments</t>
  </si>
  <si>
    <t>Wycena instrumentów zabezpieczających</t>
  </si>
  <si>
    <t>Valuation of hedging instruments</t>
  </si>
  <si>
    <t>Udział w zysku współnego przedsięwzięcia wycenianego metodą praw własności</t>
  </si>
  <si>
    <r>
      <t>Share of the profit of a joint venture</t>
    </r>
    <r>
      <rPr>
        <sz val="10"/>
        <color indexed="8"/>
        <rFont val="Calibri"/>
        <family val="2"/>
        <charset val="238"/>
      </rPr>
      <t xml:space="preserve"> accounted for using the equity method</t>
    </r>
  </si>
  <si>
    <t>Udział w (zysku) / stracie jednostek stowarzyszonych wycenianych metodą praw własności</t>
  </si>
  <si>
    <t>Share of the (profit)/loss of associates accounted for using the equity method</t>
  </si>
  <si>
    <t>(Zyski) / straty z tytułu różnic kursowych, netto</t>
  </si>
  <si>
    <t>Foreign exchange losses/(gains), net</t>
  </si>
  <si>
    <t xml:space="preserve">Podatek dochodowy </t>
  </si>
  <si>
    <t>Zwiększenie netto wartości zestawów odbiorczych</t>
  </si>
  <si>
    <t>Net additions of reception equipment</t>
  </si>
  <si>
    <t>Jednorazowe spisanie przeszacowania wartości obligacji na moment nabycia do wartości godziwej oraz koszt premii za wcześniejszy wykup obligacji</t>
  </si>
  <si>
    <t>Cumulative catch-up and early redemption costs</t>
  </si>
  <si>
    <t>Koszt premii za wcześniejszy wykup obligacji</t>
  </si>
  <si>
    <t>Jednorazowy przychód wynikający z modyfikacji przepływów pieniężnych w wyniku konwersji obligacji</t>
  </si>
  <si>
    <t>(Zysk) / strata na instrumentach pochodnych, netto</t>
  </si>
  <si>
    <t>Net (gain)/loss on derivatives</t>
  </si>
  <si>
    <t>Zysk ze sprzedaży udziałów/akcji w jednostce zależnej/stowarzyszonej</t>
  </si>
  <si>
    <t>Efekt przeliczenia wartości zobowiązań z tytułu modyfikacji umowy kredytowej</t>
  </si>
  <si>
    <t>Cumulative catch-up resulting from modification of the loan agreement</t>
  </si>
  <si>
    <t>Inne korekty</t>
  </si>
  <si>
    <t>Other adjustments</t>
  </si>
  <si>
    <t>Środki pieniężne z działalności operacyjnej</t>
  </si>
  <si>
    <t>Cash from/ (used in) operating activities</t>
  </si>
  <si>
    <t>Podatek dochodowy zapłacony</t>
  </si>
  <si>
    <t>Income tax paid</t>
  </si>
  <si>
    <t>Odsetki otrzymane dotyczące działalności operacyjnej</t>
  </si>
  <si>
    <t>Interest received from operating activities</t>
  </si>
  <si>
    <t>Środki pieniężne netto z działalności operacyjnej</t>
  </si>
  <si>
    <t>Net cash from/ (used in) operating activities</t>
  </si>
  <si>
    <t>Nabycie rzeczowych aktywów trwałych</t>
  </si>
  <si>
    <t>Acquisition of property, plant and equipment</t>
  </si>
  <si>
    <t>Nabycie wartości niematerialnych</t>
  </si>
  <si>
    <t>Acquisition of intangible assets</t>
  </si>
  <si>
    <t>Nabycie obligacji</t>
  </si>
  <si>
    <t>Acquisition of bonds</t>
  </si>
  <si>
    <t>Płatności z tytułu koncesji</t>
  </si>
  <si>
    <t>Concession payments</t>
  </si>
  <si>
    <t>Nabycie akcji/udziałów w jednostkach stowarzyszonych</t>
  </si>
  <si>
    <t>Acquisition of shares in associates</t>
  </si>
  <si>
    <t>Nabycie udziałów w jednostkach zależnych pomniejszone o przejęte środki pieniężne</t>
  </si>
  <si>
    <t>Acquisition of subsidiaries, net of cash acquired</t>
  </si>
  <si>
    <t>Podwyższenie kapitału w jednostce stowarzyszonej</t>
  </si>
  <si>
    <t>Capital increase in an associate</t>
  </si>
  <si>
    <t>Wpływy ze zbycia udziałów/akcji w jednostce zależnej/stowarzyszonej</t>
  </si>
  <si>
    <t>Proceeds from disposal of a subsidiary and an associate</t>
  </si>
  <si>
    <t>Wpływy ze zbycia niefinansowych aktywów trwałych</t>
  </si>
  <si>
    <t>Proceeds from sale of property, plant and equipment</t>
  </si>
  <si>
    <t>Wpływy/(Wypływy) z tytułu inwestycji w fundusze</t>
  </si>
  <si>
    <t>Investment funds inflows/(outflows)</t>
  </si>
  <si>
    <t xml:space="preserve">Lokaty krótkoterminowe </t>
  </si>
  <si>
    <t>Pożyczki udzielone</t>
  </si>
  <si>
    <t>Loans granted</t>
  </si>
  <si>
    <t>Spłata udzielonych pożyczek</t>
  </si>
  <si>
    <t>Repayment of loans granted</t>
  </si>
  <si>
    <t>Wpływy z tytułu realizacji instrumentów pochodnych</t>
  </si>
  <si>
    <t>Other investing activities - derivatives</t>
  </si>
  <si>
    <t>4)</t>
  </si>
  <si>
    <t>Otrzymane dywidendy od jednostek stowarzyszonych</t>
  </si>
  <si>
    <t>Dividends received from associates</t>
  </si>
  <si>
    <t>Wykup obligacji wraz z odsetkami</t>
  </si>
  <si>
    <t>Bonds redemption with interest</t>
  </si>
  <si>
    <t>Inne wpływy/(wypływy)</t>
  </si>
  <si>
    <t>Other inflows/(outflows)</t>
  </si>
  <si>
    <t>Środki pieniężne netto z działalności inwestycyjnej</t>
  </si>
  <si>
    <t>Net cash from/ (used in) investing activities</t>
  </si>
  <si>
    <t>Spłata otrzymanych kredytów i pożyczek</t>
  </si>
  <si>
    <t>Repayment of loans and borrowings</t>
  </si>
  <si>
    <t>Zaciągnięcie kredytów i pożyczek</t>
  </si>
  <si>
    <t>Loans and borrowings inflows</t>
  </si>
  <si>
    <t>Emisja obligacji/(Wykup obligacji)</t>
  </si>
  <si>
    <t>Bonds (redemption)/issue</t>
  </si>
  <si>
    <t>7)</t>
  </si>
  <si>
    <t>Prowizja za wcześniejszy wykup obligacji</t>
  </si>
  <si>
    <t>Early redemption fee</t>
  </si>
  <si>
    <t>Wpływy z tytułu realizacji instrumentów pochodnych - kapitał</t>
  </si>
  <si>
    <t>Hedging instrument effect – principal</t>
  </si>
  <si>
    <r>
      <t xml:space="preserve">Spłata odsetek od kredytów, pożyczek, obligacji i zapłacone prowizje </t>
    </r>
    <r>
      <rPr>
        <vertAlign val="superscript"/>
        <sz val="10"/>
        <rFont val="Calibri"/>
        <family val="2"/>
        <charset val="238"/>
      </rPr>
      <t>1)</t>
    </r>
  </si>
  <si>
    <r>
      <t xml:space="preserve">Payment of interest on loans, borrowings, bonds and commissions </t>
    </r>
    <r>
      <rPr>
        <vertAlign val="superscript"/>
        <sz val="9"/>
        <rFont val="Calibri"/>
        <family val="2"/>
        <charset val="238"/>
      </rPr>
      <t>1)</t>
    </r>
  </si>
  <si>
    <r>
      <t>Spłata odsetek od leasingu</t>
    </r>
    <r>
      <rPr>
        <vertAlign val="superscript"/>
        <sz val="10"/>
        <color indexed="8"/>
        <rFont val="Calibri"/>
        <family val="2"/>
        <charset val="238"/>
      </rPr>
      <t xml:space="preserve"> 5)</t>
    </r>
  </si>
  <si>
    <r>
      <t>Payment of interest on lease liabilities</t>
    </r>
    <r>
      <rPr>
        <vertAlign val="superscript"/>
        <sz val="10"/>
        <color indexed="8"/>
        <rFont val="Calibri"/>
        <family val="2"/>
        <charset val="238"/>
      </rPr>
      <t xml:space="preserve"> 5)</t>
    </r>
  </si>
  <si>
    <r>
      <t>Spłata zobowiązań z tytułu leasingu</t>
    </r>
    <r>
      <rPr>
        <vertAlign val="superscript"/>
        <sz val="10"/>
        <color indexed="8"/>
        <rFont val="Calibri"/>
        <family val="2"/>
        <charset val="238"/>
      </rPr>
      <t xml:space="preserve"> 6)</t>
    </r>
  </si>
  <si>
    <r>
      <t>Payment of lease liabilities</t>
    </r>
    <r>
      <rPr>
        <vertAlign val="superscript"/>
        <sz val="10"/>
        <color indexed="8"/>
        <rFont val="Calibri"/>
        <family val="2"/>
        <charset val="238"/>
      </rPr>
      <t xml:space="preserve"> 6)</t>
    </r>
  </si>
  <si>
    <t>Wypłacona dywidenda Jednostki Dominującej</t>
  </si>
  <si>
    <t>Dividend payment of the Parent Company</t>
  </si>
  <si>
    <t>Nabycie akcji własnych</t>
  </si>
  <si>
    <t>Acquisition of treasury shares</t>
  </si>
  <si>
    <t>Wykup obligacji wyemitowanych przez Midas</t>
  </si>
  <si>
    <t>Acquisition of bonds issued by Midas</t>
  </si>
  <si>
    <r>
      <t>Inne wpływy/(wypływy)</t>
    </r>
    <r>
      <rPr>
        <vertAlign val="superscript"/>
        <sz val="10"/>
        <color indexed="8"/>
        <rFont val="Calibri"/>
        <family val="2"/>
        <charset val="238"/>
      </rPr>
      <t>3)</t>
    </r>
  </si>
  <si>
    <r>
      <t>Other inflows/(outflows)</t>
    </r>
    <r>
      <rPr>
        <vertAlign val="superscript"/>
        <sz val="10"/>
        <color indexed="8"/>
        <rFont val="Calibri"/>
        <family val="2"/>
        <charset val="238"/>
      </rPr>
      <t>(3)</t>
    </r>
  </si>
  <si>
    <r>
      <t xml:space="preserve">Wpływy/(wypływy) z tytułu realizacji instrumentów pochodnych </t>
    </r>
    <r>
      <rPr>
        <vertAlign val="superscript"/>
        <sz val="10"/>
        <color indexed="8"/>
        <rFont val="Calibri"/>
        <family val="2"/>
        <charset val="238"/>
      </rPr>
      <t>8)</t>
    </r>
  </si>
  <si>
    <r>
      <t xml:space="preserve">Hedging instrument effect </t>
    </r>
    <r>
      <rPr>
        <vertAlign val="superscript"/>
        <sz val="10"/>
        <color indexed="8"/>
        <rFont val="Calibri"/>
        <family val="2"/>
        <charset val="238"/>
      </rPr>
      <t>8)</t>
    </r>
  </si>
  <si>
    <t>Zapłata za usługi doradcze związane z emisją akcji</t>
  </si>
  <si>
    <t>Payment of share issuance-related consulting costs</t>
  </si>
  <si>
    <t>Środki pieniężne netto z działalności finansowej</t>
  </si>
  <si>
    <t>Net cash from/ (used in) financing activities</t>
  </si>
  <si>
    <t>Zmiana netto środków pieniężnych i ich ekwiwalentów</t>
  </si>
  <si>
    <t>Net increase/(decrease) in cash and cash equivalents</t>
  </si>
  <si>
    <t>Środki pieniężne i ich ekwiwalenty na początek okresu</t>
  </si>
  <si>
    <t>Cash and cash equivalents at the beginning of the period</t>
  </si>
  <si>
    <t>Zmiana stanu środków pieniężnych z tytułu różnic kursowych</t>
  </si>
  <si>
    <t>Effect of exchange rate fluctuations on cash and cash equivalents</t>
  </si>
  <si>
    <t>Przeniesienie do aktywów przeznaczonych do sprzedaży</t>
  </si>
  <si>
    <t>Transfer to assets held for sale</t>
  </si>
  <si>
    <t>Środki pieniężne i ich ekwiwalenty na koniec okresu</t>
  </si>
  <si>
    <t>Cash and cash equivalents at the end of the period</t>
  </si>
  <si>
    <t>1) Obejmuje premie za wcześniejszą spłatę obligacji oraz zapłatę za koszty związane z pozyskaniem finansowania. Do końca 2019 roku pozycja obejmowała wpływ instrumentów IRS/CIRS/forward.</t>
  </si>
  <si>
    <t>1) Includes premium paid for early bonds’ repayment and amount paid for costs related to new financing. Until the end of 2019 this item included the impact of hedging instruments.</t>
  </si>
  <si>
    <t xml:space="preserve">2) Pozycja została połączona z pozycją "Inne korekty". </t>
  </si>
  <si>
    <t xml:space="preserve">2) Item joined with item "Other adjustments". </t>
  </si>
  <si>
    <t>3) Pozycja obejmowła spłatę zobowiązań z tytułu leasingu finansowego do końca 2018 r. W latach 2020-2021 pozycja obejmowała wpływ instrumentów IRS/CIRS/forward.</t>
  </si>
  <si>
    <t>3) Item included Finance lease – principal repayments until the end of 2018. In the years 2020-2021 this item included the impact of hedging instrument.</t>
  </si>
  <si>
    <t>4) Pozycja została połączona z "Pozostałe wpływy/(wypływy)".</t>
  </si>
  <si>
    <t>4) Item included in "Other inflows/(outflows)".</t>
  </si>
  <si>
    <t>5) Do 31 marca 2019 roku pozycja ta była wykazywana w linii "Spłata odsetek od kredytów, pożyczek, obligacji, leasingu finansowego i zapłacone prowizje".</t>
  </si>
  <si>
    <t>5) Until December 31, 2019 this item was included in "Payment of interest on loans, borrowings, bonds,  lease and commissions".</t>
  </si>
  <si>
    <t>6) Do 31 marca 2019 roku pozycja ta była wykazywana w linii "Inne wydatki".</t>
  </si>
  <si>
    <t>6) Until December 31, 2019 this item was included in "Other outflows".</t>
  </si>
  <si>
    <t>7) W drugim kwartale 2019 roku Spółka dokonała przedterminowego wykupu i umorzenia obligacji serii A oraz przeprowadziła emisję obligacji serii B. Wpływ i wypływ środków pieniężnych z tego tytułu uległ pokryciu i wyniósł 893 mln zł.</t>
  </si>
  <si>
    <t>7) In Q2 2019 the Company exercised the earlier repurchase and redemtion of series A bonds and the issuance of series B bonds. Cash inflow and outflow due to these events amounted to PLN 893m.</t>
  </si>
  <si>
    <t>.</t>
  </si>
  <si>
    <t>8) Pozycja wydzielona z "Inne wypływy" w Q1'2022.</t>
  </si>
  <si>
    <t>8) Item seperated from "Other outflows" in Q1'2022.</t>
  </si>
  <si>
    <t>WSKAŹNIKI FINANSOWE</t>
  </si>
  <si>
    <t>FINACIAL RATIOS</t>
  </si>
  <si>
    <t>Q1'10</t>
  </si>
  <si>
    <t>Q2'10</t>
  </si>
  <si>
    <t>Q3'10</t>
  </si>
  <si>
    <t>Q4'10</t>
  </si>
  <si>
    <t>Q1'11</t>
  </si>
  <si>
    <t>Q2'11</t>
  </si>
  <si>
    <t>Q3'11</t>
  </si>
  <si>
    <t>Q4'11</t>
  </si>
  <si>
    <t>Q1'12</t>
  </si>
  <si>
    <t>Q2'12</t>
  </si>
  <si>
    <t>Q3'12</t>
  </si>
  <si>
    <t>Q4'12</t>
  </si>
  <si>
    <t>Q1'13</t>
  </si>
  <si>
    <t>Q2'13</t>
  </si>
  <si>
    <t>Q3'13</t>
  </si>
  <si>
    <t>Q4'13</t>
  </si>
  <si>
    <t>Q1'14</t>
  </si>
  <si>
    <t>Q2'14</t>
  </si>
  <si>
    <t>Q3'14</t>
  </si>
  <si>
    <t>Q4'14</t>
  </si>
  <si>
    <t>Q1'15</t>
  </si>
  <si>
    <t>Q2'15</t>
  </si>
  <si>
    <t>Q3'15</t>
  </si>
  <si>
    <t>Q4'15</t>
  </si>
  <si>
    <t>Q1'16</t>
  </si>
  <si>
    <t>Q2'16</t>
  </si>
  <si>
    <t>Q3'16</t>
  </si>
  <si>
    <t>Q4'16</t>
  </si>
  <si>
    <r>
      <t xml:space="preserve">Q1'17
</t>
    </r>
    <r>
      <rPr>
        <i/>
        <sz val="10"/>
        <color theme="0"/>
        <rFont val="Calibri"/>
        <family val="2"/>
        <charset val="238"/>
      </rPr>
      <t>(dane wg MSR 18)</t>
    </r>
  </si>
  <si>
    <r>
      <t xml:space="preserve">Q2'17
</t>
    </r>
    <r>
      <rPr>
        <i/>
        <sz val="10"/>
        <color theme="0"/>
        <rFont val="Calibri"/>
        <family val="2"/>
        <charset val="238"/>
      </rPr>
      <t>(dane wg MSR 18)</t>
    </r>
  </si>
  <si>
    <r>
      <t xml:space="preserve">Q3'17
</t>
    </r>
    <r>
      <rPr>
        <i/>
        <sz val="10"/>
        <color theme="0"/>
        <rFont val="Calibri"/>
        <family val="2"/>
        <charset val="238"/>
      </rPr>
      <t>(dane wg MSR 18)</t>
    </r>
  </si>
  <si>
    <r>
      <t xml:space="preserve">Q4'17
</t>
    </r>
    <r>
      <rPr>
        <i/>
        <sz val="10"/>
        <color theme="0"/>
        <rFont val="Calibri"/>
        <family val="2"/>
        <charset val="238"/>
      </rPr>
      <t>(dane wg MSR 18)</t>
    </r>
  </si>
  <si>
    <r>
      <t xml:space="preserve">2017
</t>
    </r>
    <r>
      <rPr>
        <i/>
        <sz val="10"/>
        <color theme="0"/>
        <rFont val="Calibri"/>
        <family val="2"/>
        <charset val="238"/>
      </rPr>
      <t>(dane wg MSR 18)</t>
    </r>
  </si>
  <si>
    <r>
      <t xml:space="preserve">Q1'18
</t>
    </r>
    <r>
      <rPr>
        <i/>
        <sz val="10"/>
        <color theme="0"/>
        <rFont val="Calibri"/>
        <family val="2"/>
        <charset val="238"/>
      </rPr>
      <t>(dane wg MSSF 15)</t>
    </r>
  </si>
  <si>
    <r>
      <t xml:space="preserve">Q2'18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</si>
  <si>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</si>
  <si>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(dane wg MSSF 15</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</si>
  <si>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(dane wg MSSF 15)</t>
    </r>
  </si>
  <si>
    <r>
      <t xml:space="preserve">Q1'19
</t>
    </r>
    <r>
      <rPr>
        <i/>
        <sz val="10"/>
        <color theme="0"/>
        <rFont val="Calibri"/>
        <family val="2"/>
        <charset val="238"/>
      </rPr>
      <t>(dane wg MSSF 16)</t>
    </r>
  </si>
  <si>
    <r>
      <t xml:space="preserve">Q2'19
</t>
    </r>
    <r>
      <rPr>
        <i/>
        <sz val="10"/>
        <color theme="0"/>
        <rFont val="Calibri"/>
        <family val="2"/>
        <charset val="238"/>
      </rPr>
      <t>(dane wg MSSF 16)</t>
    </r>
  </si>
  <si>
    <r>
      <t xml:space="preserve">Q3'19
</t>
    </r>
    <r>
      <rPr>
        <i/>
        <sz val="10"/>
        <color theme="0"/>
        <rFont val="Calibri"/>
        <family val="2"/>
        <charset val="238"/>
      </rPr>
      <t>(dane wg MSSF 16)</t>
    </r>
  </si>
  <si>
    <r>
      <t xml:space="preserve">2019
</t>
    </r>
    <r>
      <rPr>
        <i/>
        <sz val="10"/>
        <color theme="0"/>
        <rFont val="Calibri"/>
        <family val="2"/>
        <charset val="238"/>
      </rPr>
      <t>(dane wg MSSF 16)</t>
    </r>
  </si>
  <si>
    <r>
      <t xml:space="preserve">Q1'20
</t>
    </r>
    <r>
      <rPr>
        <i/>
        <sz val="10"/>
        <color theme="0"/>
        <rFont val="Calibri"/>
        <family val="2"/>
        <charset val="238"/>
      </rPr>
      <t>(dane wg MSSF 16)</t>
    </r>
  </si>
  <si>
    <r>
      <t xml:space="preserve">Q2'20
</t>
    </r>
    <r>
      <rPr>
        <i/>
        <sz val="10"/>
        <color theme="0"/>
        <rFont val="Calibri"/>
        <family val="2"/>
        <charset val="238"/>
      </rPr>
      <t>(dane wg MSSF 16)</t>
    </r>
  </si>
  <si>
    <r>
      <t xml:space="preserve">Q3'20
</t>
    </r>
    <r>
      <rPr>
        <i/>
        <sz val="10"/>
        <color theme="0"/>
        <rFont val="Calibri"/>
        <family val="2"/>
        <charset val="238"/>
      </rPr>
      <t>(dane wg MSSF 16)</t>
    </r>
  </si>
  <si>
    <r>
      <t xml:space="preserve">Q4'20
</t>
    </r>
    <r>
      <rPr>
        <i/>
        <sz val="10"/>
        <color theme="0"/>
        <rFont val="Calibri"/>
        <family val="2"/>
        <charset val="238"/>
      </rPr>
      <t>(dane wg MSSF 16)</t>
    </r>
  </si>
  <si>
    <r>
      <t xml:space="preserve">2020
</t>
    </r>
    <r>
      <rPr>
        <i/>
        <sz val="10"/>
        <color theme="0"/>
        <rFont val="Calibri"/>
        <family val="2"/>
        <charset val="238"/>
      </rPr>
      <t>(dane wg MSSF 16)</t>
    </r>
  </si>
  <si>
    <r>
      <t xml:space="preserve">Q1'21
</t>
    </r>
    <r>
      <rPr>
        <i/>
        <sz val="10"/>
        <color theme="0"/>
        <rFont val="Calibri"/>
        <family val="2"/>
        <charset val="238"/>
      </rPr>
      <t>(dane wg MSSF 16)</t>
    </r>
  </si>
  <si>
    <r>
      <t xml:space="preserve">Q2'21
</t>
    </r>
    <r>
      <rPr>
        <i/>
        <sz val="10"/>
        <color theme="0"/>
        <rFont val="Calibri"/>
        <family val="2"/>
        <charset val="238"/>
      </rPr>
      <t>(dane wg MSSF 16)</t>
    </r>
  </si>
  <si>
    <r>
      <t xml:space="preserve">Q3'21
</t>
    </r>
    <r>
      <rPr>
        <i/>
        <sz val="10"/>
        <color theme="0"/>
        <rFont val="Calibri"/>
        <family val="2"/>
        <charset val="238"/>
      </rPr>
      <t>(dane wg MSSF 16)</t>
    </r>
  </si>
  <si>
    <r>
      <t xml:space="preserve">Q4'21
</t>
    </r>
    <r>
      <rPr>
        <i/>
        <sz val="10"/>
        <color theme="0"/>
        <rFont val="Calibri"/>
        <family val="2"/>
        <charset val="238"/>
      </rPr>
      <t>(dane wg MSSF 16)</t>
    </r>
  </si>
  <si>
    <r>
      <t xml:space="preserve">2021
</t>
    </r>
    <r>
      <rPr>
        <i/>
        <sz val="10"/>
        <color theme="0"/>
        <rFont val="Calibri"/>
        <family val="2"/>
        <charset val="238"/>
      </rPr>
      <t>(dane wg MSSF 16)</t>
    </r>
  </si>
  <si>
    <r>
      <t xml:space="preserve">Q1'22
</t>
    </r>
    <r>
      <rPr>
        <i/>
        <sz val="10"/>
        <color theme="0"/>
        <rFont val="Calibri"/>
        <family val="2"/>
        <charset val="238"/>
      </rPr>
      <t>(dane wg MSSF 16)</t>
    </r>
  </si>
  <si>
    <r>
      <t xml:space="preserve">Q2'22
</t>
    </r>
    <r>
      <rPr>
        <i/>
        <sz val="10"/>
        <color theme="0"/>
        <rFont val="Calibri"/>
        <family val="2"/>
        <charset val="238"/>
      </rPr>
      <t>(dane wg MSSF 16)</t>
    </r>
  </si>
  <si>
    <r>
      <t xml:space="preserve">Q3'22
</t>
    </r>
    <r>
      <rPr>
        <i/>
        <sz val="10"/>
        <color theme="0"/>
        <rFont val="Calibri"/>
        <family val="2"/>
        <charset val="238"/>
      </rPr>
      <t>(dane wg MSSF 16)</t>
    </r>
  </si>
  <si>
    <r>
      <t xml:space="preserve">Q4'22
</t>
    </r>
    <r>
      <rPr>
        <i/>
        <sz val="10"/>
        <color theme="0"/>
        <rFont val="Calibri"/>
        <family val="2"/>
        <charset val="238"/>
      </rPr>
      <t>(dane wg MSSF 16)</t>
    </r>
  </si>
  <si>
    <r>
      <t xml:space="preserve">2022
</t>
    </r>
    <r>
      <rPr>
        <i/>
        <sz val="10"/>
        <color theme="0"/>
        <rFont val="Calibri"/>
        <family val="2"/>
        <charset val="238"/>
      </rPr>
      <t>(dane wg MSSF 16)</t>
    </r>
  </si>
  <si>
    <r>
      <t xml:space="preserve">Q1'23
</t>
    </r>
    <r>
      <rPr>
        <i/>
        <sz val="10"/>
        <color theme="0"/>
        <rFont val="Calibri"/>
        <family val="2"/>
        <charset val="238"/>
      </rPr>
      <t>(dane wg MSSF 16)</t>
    </r>
  </si>
  <si>
    <r>
      <t xml:space="preserve">Q1'17
</t>
    </r>
    <r>
      <rPr>
        <i/>
        <sz val="10"/>
        <color theme="0"/>
        <rFont val="Calibri"/>
        <family val="2"/>
        <charset val="238"/>
      </rPr>
      <t>(IAS 18 basis)</t>
    </r>
  </si>
  <si>
    <r>
      <t xml:space="preserve">Q2'17
</t>
    </r>
    <r>
      <rPr>
        <i/>
        <sz val="10"/>
        <color theme="0"/>
        <rFont val="Calibri"/>
        <family val="2"/>
        <charset val="238"/>
      </rPr>
      <t>(IAS 18 basis)</t>
    </r>
  </si>
  <si>
    <r>
      <t xml:space="preserve">Q3'17
</t>
    </r>
    <r>
      <rPr>
        <i/>
        <sz val="10"/>
        <color theme="0"/>
        <rFont val="Calibri"/>
        <family val="2"/>
        <charset val="238"/>
      </rPr>
      <t>(IAS 18 basis)</t>
    </r>
  </si>
  <si>
    <r>
      <t xml:space="preserve">Q4'17
</t>
    </r>
    <r>
      <rPr>
        <i/>
        <sz val="10"/>
        <color theme="0"/>
        <rFont val="Calibri"/>
        <family val="2"/>
        <charset val="238"/>
      </rPr>
      <t>(IAS 18 basis)</t>
    </r>
  </si>
  <si>
    <r>
      <t xml:space="preserve">2017
</t>
    </r>
    <r>
      <rPr>
        <i/>
        <sz val="10"/>
        <color theme="0"/>
        <rFont val="Calibri"/>
        <family val="2"/>
        <charset val="238"/>
      </rPr>
      <t>(IAS 18 basis)</t>
    </r>
  </si>
  <si>
    <r>
      <t xml:space="preserve">Q1'18
</t>
    </r>
    <r>
      <rPr>
        <i/>
        <sz val="10"/>
        <color theme="0"/>
        <rFont val="Calibri"/>
        <family val="2"/>
        <charset val="238"/>
      </rPr>
      <t>(IFRS 15 basis)</t>
    </r>
  </si>
  <si>
    <r>
      <t xml:space="preserve">Q2'18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</si>
  <si>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Q3'18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</si>
  <si>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Q4'18
</t>
    </r>
    <r>
      <rPr>
        <i/>
        <sz val="10"/>
        <color theme="0"/>
        <rFont val="Calibri"/>
        <family val="2"/>
        <charset val="238"/>
      </rPr>
      <t>(IFRS 15 basis</t>
    </r>
    <r>
      <rPr>
        <i/>
        <vertAlign val="superscript"/>
        <sz val="10"/>
        <color theme="0"/>
        <rFont val="Calibri"/>
        <family val="2"/>
        <charset val="238"/>
      </rPr>
      <t>7</t>
    </r>
    <r>
      <rPr>
        <i/>
        <sz val="10"/>
        <color theme="0"/>
        <rFont val="Calibri"/>
        <family val="2"/>
        <charset val="238"/>
      </rPr>
      <t>)</t>
    </r>
  </si>
  <si>
    <r>
      <t xml:space="preserve">2018
</t>
    </r>
    <r>
      <rPr>
        <i/>
        <sz val="10"/>
        <color theme="0"/>
        <rFont val="Calibri"/>
        <family val="2"/>
        <charset val="238"/>
      </rPr>
      <t>(IFRS 15 basis)</t>
    </r>
  </si>
  <si>
    <r>
      <t xml:space="preserve">Q1'19
</t>
    </r>
    <r>
      <rPr>
        <i/>
        <sz val="10"/>
        <color theme="0"/>
        <rFont val="Calibri"/>
        <family val="2"/>
        <charset val="238"/>
      </rPr>
      <t>(IFRS 16 basis)</t>
    </r>
  </si>
  <si>
    <r>
      <t xml:space="preserve">Q2'19
</t>
    </r>
    <r>
      <rPr>
        <i/>
        <sz val="10"/>
        <color theme="0"/>
        <rFont val="Calibri"/>
        <family val="2"/>
        <charset val="238"/>
      </rPr>
      <t>(IFRS 16 basis)</t>
    </r>
  </si>
  <si>
    <r>
      <t xml:space="preserve">Q3'19
</t>
    </r>
    <r>
      <rPr>
        <i/>
        <sz val="10"/>
        <color theme="0"/>
        <rFont val="Calibri"/>
        <family val="2"/>
        <charset val="238"/>
      </rPr>
      <t>(IFRS 16 basis)</t>
    </r>
  </si>
  <si>
    <r>
      <t xml:space="preserve">Q4'19
</t>
    </r>
    <r>
      <rPr>
        <i/>
        <sz val="10"/>
        <color theme="0"/>
        <rFont val="Calibri"/>
        <family val="2"/>
        <charset val="238"/>
      </rPr>
      <t>(IFRS 16 basis)</t>
    </r>
  </si>
  <si>
    <r>
      <t xml:space="preserve">2019
</t>
    </r>
    <r>
      <rPr>
        <i/>
        <sz val="10"/>
        <color theme="0"/>
        <rFont val="Calibri"/>
        <family val="2"/>
        <charset val="238"/>
      </rPr>
      <t>(IFRS 16 basis)</t>
    </r>
  </si>
  <si>
    <r>
      <t xml:space="preserve">Q1'20
</t>
    </r>
    <r>
      <rPr>
        <i/>
        <sz val="10"/>
        <color theme="0"/>
        <rFont val="Calibri"/>
        <family val="2"/>
        <charset val="238"/>
      </rPr>
      <t>(IFRS 16 basis)</t>
    </r>
  </si>
  <si>
    <r>
      <t xml:space="preserve">Q2'20
</t>
    </r>
    <r>
      <rPr>
        <i/>
        <sz val="10"/>
        <color theme="0"/>
        <rFont val="Calibri"/>
        <family val="2"/>
        <charset val="238"/>
      </rPr>
      <t>(IFRS 16 basis)</t>
    </r>
  </si>
  <si>
    <r>
      <t xml:space="preserve">Q3'20
</t>
    </r>
    <r>
      <rPr>
        <i/>
        <sz val="10"/>
        <color theme="0"/>
        <rFont val="Calibri"/>
        <family val="2"/>
        <charset val="238"/>
      </rPr>
      <t>(IFRS 16 basis)</t>
    </r>
  </si>
  <si>
    <r>
      <t xml:space="preserve">Q4'20
</t>
    </r>
    <r>
      <rPr>
        <i/>
        <sz val="10"/>
        <color theme="0"/>
        <rFont val="Calibri"/>
        <family val="2"/>
        <charset val="238"/>
      </rPr>
      <t>(IFRS 16 basis)</t>
    </r>
  </si>
  <si>
    <r>
      <t xml:space="preserve">2020
</t>
    </r>
    <r>
      <rPr>
        <i/>
        <sz val="10"/>
        <color theme="0"/>
        <rFont val="Calibri"/>
        <family val="2"/>
        <charset val="238"/>
      </rPr>
      <t>(IFRS 16 basis)</t>
    </r>
  </si>
  <si>
    <r>
      <t xml:space="preserve">Q1'21
</t>
    </r>
    <r>
      <rPr>
        <i/>
        <sz val="10"/>
        <color theme="0"/>
        <rFont val="Calibri"/>
        <family val="2"/>
        <charset val="238"/>
      </rPr>
      <t>(IFRS 16 basis)</t>
    </r>
  </si>
  <si>
    <r>
      <t xml:space="preserve">Q2'21
</t>
    </r>
    <r>
      <rPr>
        <i/>
        <sz val="10"/>
        <color theme="0"/>
        <rFont val="Calibri"/>
        <family val="2"/>
        <charset val="238"/>
      </rPr>
      <t>(IFRS 16 basis)</t>
    </r>
  </si>
  <si>
    <r>
      <t xml:space="preserve">Q3'21
</t>
    </r>
    <r>
      <rPr>
        <i/>
        <sz val="10"/>
        <color theme="0"/>
        <rFont val="Calibri"/>
        <family val="2"/>
        <charset val="238"/>
      </rPr>
      <t>(IFRS 16 basis)</t>
    </r>
  </si>
  <si>
    <r>
      <t xml:space="preserve">Q4'21
</t>
    </r>
    <r>
      <rPr>
        <i/>
        <sz val="10"/>
        <color theme="0"/>
        <rFont val="Calibri"/>
        <family val="2"/>
        <charset val="238"/>
      </rPr>
      <t>(IFRS 16 basis)</t>
    </r>
  </si>
  <si>
    <r>
      <t xml:space="preserve">2021
</t>
    </r>
    <r>
      <rPr>
        <i/>
        <sz val="10"/>
        <color theme="0"/>
        <rFont val="Calibri"/>
        <family val="2"/>
        <charset val="238"/>
      </rPr>
      <t>(IFRS 16 basis)</t>
    </r>
  </si>
  <si>
    <r>
      <t xml:space="preserve">Q1'22
</t>
    </r>
    <r>
      <rPr>
        <i/>
        <sz val="10"/>
        <color theme="0"/>
        <rFont val="Calibri"/>
        <family val="2"/>
        <charset val="238"/>
      </rPr>
      <t>(IFRS 16 basis)</t>
    </r>
  </si>
  <si>
    <r>
      <t xml:space="preserve">Q2'22
</t>
    </r>
    <r>
      <rPr>
        <i/>
        <sz val="10"/>
        <color theme="0"/>
        <rFont val="Calibri"/>
        <family val="2"/>
        <charset val="238"/>
      </rPr>
      <t>(IFRS 16 basis)</t>
    </r>
  </si>
  <si>
    <r>
      <t xml:space="preserve">Q3'22
</t>
    </r>
    <r>
      <rPr>
        <i/>
        <sz val="10"/>
        <color theme="0"/>
        <rFont val="Calibri"/>
        <family val="2"/>
        <charset val="238"/>
      </rPr>
      <t>(IFRS 16 basis)</t>
    </r>
  </si>
  <si>
    <r>
      <t xml:space="preserve">Q4'22
</t>
    </r>
    <r>
      <rPr>
        <i/>
        <sz val="10"/>
        <color theme="0"/>
        <rFont val="Calibri"/>
        <family val="2"/>
        <charset val="238"/>
      </rPr>
      <t>(IFRS 16 basis)</t>
    </r>
  </si>
  <si>
    <r>
      <t xml:space="preserve">2022
</t>
    </r>
    <r>
      <rPr>
        <i/>
        <sz val="10"/>
        <color theme="0"/>
        <rFont val="Calibri"/>
        <family val="2"/>
        <charset val="238"/>
      </rPr>
      <t>(IFRS 16 basis)</t>
    </r>
  </si>
  <si>
    <r>
      <t xml:space="preserve">Q1'23
</t>
    </r>
    <r>
      <rPr>
        <i/>
        <sz val="10"/>
        <color theme="0"/>
        <rFont val="Calibri"/>
        <family val="2"/>
        <charset val="238"/>
      </rPr>
      <t>(IFRS 16 basis)</t>
    </r>
  </si>
  <si>
    <r>
      <t>Marża EBITDA</t>
    </r>
    <r>
      <rPr>
        <vertAlign val="superscript"/>
        <sz val="10"/>
        <color indexed="8"/>
        <rFont val="Calibri"/>
        <family val="2"/>
        <charset val="238"/>
      </rPr>
      <t xml:space="preserve"> 1)</t>
    </r>
  </si>
  <si>
    <r>
      <t xml:space="preserve">EBITDA margin </t>
    </r>
    <r>
      <rPr>
        <vertAlign val="superscript"/>
        <sz val="10"/>
        <color indexed="8"/>
        <rFont val="Calibri"/>
        <family val="2"/>
        <charset val="238"/>
      </rPr>
      <t>1)</t>
    </r>
  </si>
  <si>
    <r>
      <t>Marża zysku netto</t>
    </r>
    <r>
      <rPr>
        <vertAlign val="superscript"/>
        <sz val="10"/>
        <color indexed="8"/>
        <rFont val="Calibri"/>
        <family val="2"/>
        <charset val="238"/>
      </rPr>
      <t xml:space="preserve"> 2)</t>
    </r>
  </si>
  <si>
    <r>
      <t xml:space="preserve">Net profit margin </t>
    </r>
    <r>
      <rPr>
        <vertAlign val="superscript"/>
        <sz val="10"/>
        <color indexed="8"/>
        <rFont val="Calibri"/>
        <family val="2"/>
        <charset val="238"/>
      </rPr>
      <t>2)</t>
    </r>
  </si>
  <si>
    <t>&lt;0</t>
  </si>
  <si>
    <r>
      <t xml:space="preserve">Wskaźnik rentowności aktywów (ROA) </t>
    </r>
    <r>
      <rPr>
        <vertAlign val="superscript"/>
        <sz val="10"/>
        <color indexed="8"/>
        <rFont val="Calibri"/>
        <family val="2"/>
        <charset val="238"/>
      </rPr>
      <t>3)</t>
    </r>
  </si>
  <si>
    <r>
      <t xml:space="preserve">Return on assets (ROA) </t>
    </r>
    <r>
      <rPr>
        <vertAlign val="superscript"/>
        <sz val="10"/>
        <color indexed="8"/>
        <rFont val="Calibri"/>
        <family val="2"/>
        <charset val="238"/>
      </rPr>
      <t>3)</t>
    </r>
  </si>
  <si>
    <r>
      <t>Wskaźnik rentowności kapitału własnego (ROE)</t>
    </r>
    <r>
      <rPr>
        <vertAlign val="superscript"/>
        <sz val="10"/>
        <color indexed="8"/>
        <rFont val="Calibri"/>
        <family val="2"/>
        <charset val="238"/>
      </rPr>
      <t xml:space="preserve"> 4)</t>
    </r>
  </si>
  <si>
    <r>
      <t xml:space="preserve">Return on equity (ROE) </t>
    </r>
    <r>
      <rPr>
        <vertAlign val="superscript"/>
        <sz val="10"/>
        <color indexed="8"/>
        <rFont val="Calibri"/>
        <family val="2"/>
        <charset val="238"/>
      </rPr>
      <t>4)</t>
    </r>
  </si>
  <si>
    <r>
      <t xml:space="preserve">Wskaźnik płynności bieżącej (current ratio) </t>
    </r>
    <r>
      <rPr>
        <vertAlign val="superscript"/>
        <sz val="10"/>
        <color indexed="8"/>
        <rFont val="Calibri"/>
        <family val="2"/>
        <charset val="238"/>
      </rPr>
      <t>5)</t>
    </r>
  </si>
  <si>
    <r>
      <t xml:space="preserve">Current ratio </t>
    </r>
    <r>
      <rPr>
        <vertAlign val="superscript"/>
        <sz val="10"/>
        <color indexed="8"/>
        <rFont val="Calibri"/>
        <family val="2"/>
        <charset val="238"/>
      </rPr>
      <t>5)</t>
    </r>
  </si>
  <si>
    <r>
      <t xml:space="preserve">Wskaźnik ogólnego zadłużenia </t>
    </r>
    <r>
      <rPr>
        <vertAlign val="superscript"/>
        <sz val="10"/>
        <color indexed="8"/>
        <rFont val="Calibri"/>
        <family val="2"/>
        <charset val="238"/>
      </rPr>
      <t>6)</t>
    </r>
  </si>
  <si>
    <r>
      <t xml:space="preserve">Debt ratio </t>
    </r>
    <r>
      <rPr>
        <vertAlign val="superscript"/>
        <sz val="10"/>
        <color indexed="8"/>
        <rFont val="Calibri"/>
        <family val="2"/>
        <charset val="238"/>
      </rPr>
      <t>6)</t>
    </r>
  </si>
  <si>
    <r>
      <rPr>
        <i/>
        <vertAlign val="superscript"/>
        <sz val="9"/>
        <color indexed="8"/>
        <rFont val="Calibri"/>
        <family val="2"/>
        <charset val="238"/>
      </rPr>
      <t>1)</t>
    </r>
    <r>
      <rPr>
        <i/>
        <sz val="9"/>
        <color indexed="8"/>
        <rFont val="Calibri"/>
        <family val="2"/>
        <charset val="238"/>
      </rPr>
      <t xml:space="preserve"> EBITDA/przychody ze sprzedaży</t>
    </r>
  </si>
  <si>
    <r>
      <rPr>
        <i/>
        <vertAlign val="superscript"/>
        <sz val="9"/>
        <color indexed="8"/>
        <rFont val="Calibri"/>
        <family val="2"/>
        <charset val="238"/>
      </rPr>
      <t>1)</t>
    </r>
    <r>
      <rPr>
        <i/>
        <sz val="9"/>
        <color indexed="8"/>
        <rFont val="Calibri"/>
        <family val="2"/>
        <charset val="238"/>
      </rPr>
      <t xml:space="preserve"> EBITDA/sales revenue</t>
    </r>
  </si>
  <si>
    <r>
      <rPr>
        <i/>
        <vertAlign val="superscript"/>
        <sz val="9"/>
        <color indexed="8"/>
        <rFont val="Calibri"/>
        <family val="2"/>
        <charset val="238"/>
      </rPr>
      <t>2)</t>
    </r>
    <r>
      <rPr>
        <i/>
        <sz val="9"/>
        <color indexed="8"/>
        <rFont val="Calibri"/>
        <family val="2"/>
        <charset val="238"/>
      </rPr>
      <t xml:space="preserve"> zysk netto/przychody ze sprzedaży</t>
    </r>
  </si>
  <si>
    <r>
      <rPr>
        <i/>
        <vertAlign val="superscript"/>
        <sz val="9"/>
        <color indexed="8"/>
        <rFont val="Calibri"/>
        <family val="2"/>
        <charset val="238"/>
      </rPr>
      <t>2)</t>
    </r>
    <r>
      <rPr>
        <i/>
        <sz val="9"/>
        <color indexed="8"/>
        <rFont val="Calibri"/>
        <family val="2"/>
        <charset val="238"/>
      </rPr>
      <t xml:space="preserve"> net profit/sales revenue</t>
    </r>
  </si>
  <si>
    <r>
      <rPr>
        <i/>
        <vertAlign val="superscript"/>
        <sz val="9"/>
        <color indexed="8"/>
        <rFont val="Calibri"/>
        <family val="2"/>
        <charset val="238"/>
      </rPr>
      <t>3)</t>
    </r>
    <r>
      <rPr>
        <i/>
        <sz val="9"/>
        <color indexed="8"/>
        <rFont val="Calibri"/>
        <family val="2"/>
        <charset val="238"/>
      </rPr>
      <t xml:space="preserve"> zysk netto/aktywa ogółem</t>
    </r>
  </si>
  <si>
    <r>
      <rPr>
        <i/>
        <vertAlign val="superscript"/>
        <sz val="9"/>
        <color indexed="8"/>
        <rFont val="Calibri"/>
        <family val="2"/>
        <charset val="238"/>
      </rPr>
      <t xml:space="preserve">3) </t>
    </r>
    <r>
      <rPr>
        <i/>
        <sz val="9"/>
        <color indexed="8"/>
        <rFont val="Calibri"/>
        <family val="2"/>
        <charset val="238"/>
      </rPr>
      <t>net profit/total assets</t>
    </r>
  </si>
  <si>
    <r>
      <rPr>
        <i/>
        <vertAlign val="superscript"/>
        <sz val="9"/>
        <color indexed="8"/>
        <rFont val="Calibri"/>
        <family val="2"/>
        <charset val="238"/>
      </rPr>
      <t>4)</t>
    </r>
    <r>
      <rPr>
        <i/>
        <sz val="9"/>
        <color indexed="8"/>
        <rFont val="Calibri"/>
        <family val="2"/>
        <charset val="238"/>
      </rPr>
      <t xml:space="preserve"> zysk netto/(kapitał własny-zysk netto)</t>
    </r>
  </si>
  <si>
    <r>
      <rPr>
        <i/>
        <vertAlign val="superscript"/>
        <sz val="9"/>
        <color indexed="8"/>
        <rFont val="Calibri"/>
        <family val="2"/>
        <charset val="238"/>
      </rPr>
      <t>4)</t>
    </r>
    <r>
      <rPr>
        <i/>
        <sz val="9"/>
        <color indexed="8"/>
        <rFont val="Calibri"/>
        <family val="2"/>
        <charset val="238"/>
      </rPr>
      <t xml:space="preserve"> net profit/(equity-net profit)</t>
    </r>
  </si>
  <si>
    <r>
      <rPr>
        <i/>
        <vertAlign val="superscript"/>
        <sz val="9"/>
        <color indexed="8"/>
        <rFont val="Calibri"/>
        <family val="2"/>
        <charset val="238"/>
      </rPr>
      <t>5)</t>
    </r>
    <r>
      <rPr>
        <i/>
        <sz val="9"/>
        <color indexed="8"/>
        <rFont val="Calibri"/>
        <family val="2"/>
        <charset val="238"/>
      </rPr>
      <t xml:space="preserve"> aktywa bieżące/zobowiązania bieżące</t>
    </r>
  </si>
  <si>
    <r>
      <rPr>
        <i/>
        <vertAlign val="superscript"/>
        <sz val="9"/>
        <color indexed="8"/>
        <rFont val="Calibri"/>
        <family val="2"/>
        <charset val="238"/>
      </rPr>
      <t>5)</t>
    </r>
    <r>
      <rPr>
        <i/>
        <sz val="9"/>
        <color indexed="8"/>
        <rFont val="Calibri"/>
        <family val="2"/>
        <charset val="238"/>
      </rPr>
      <t xml:space="preserve"> current assets/current liabilities</t>
    </r>
  </si>
  <si>
    <r>
      <rPr>
        <i/>
        <vertAlign val="superscript"/>
        <sz val="9"/>
        <color indexed="8"/>
        <rFont val="Calibri"/>
        <family val="2"/>
        <charset val="238"/>
      </rPr>
      <t xml:space="preserve">6) </t>
    </r>
    <r>
      <rPr>
        <i/>
        <sz val="9"/>
        <color indexed="8"/>
        <rFont val="Calibri"/>
        <family val="2"/>
        <charset val="238"/>
      </rPr>
      <t>zobowiązania ogółem/aktywa ogółem</t>
    </r>
  </si>
  <si>
    <r>
      <rPr>
        <i/>
        <vertAlign val="superscript"/>
        <sz val="9"/>
        <color indexed="8"/>
        <rFont val="Calibri"/>
        <family val="2"/>
        <charset val="238"/>
      </rPr>
      <t>6)</t>
    </r>
    <r>
      <rPr>
        <i/>
        <sz val="9"/>
        <color indexed="8"/>
        <rFont val="Calibri"/>
        <family val="2"/>
        <charset val="238"/>
      </rPr>
      <t xml:space="preserve"> total liabilities/total assets</t>
    </r>
  </si>
  <si>
    <r>
      <rPr>
        <i/>
        <vertAlign val="superscript"/>
        <sz val="9"/>
        <color indexed="8"/>
        <rFont val="Calibri"/>
        <family val="2"/>
        <charset val="238"/>
      </rPr>
      <t>7)</t>
    </r>
    <r>
      <rPr>
        <i/>
        <sz val="9"/>
        <color indexed="8"/>
        <rFont val="Calibri"/>
        <family val="2"/>
        <charset val="238"/>
      </rPr>
      <t xml:space="preserve"> Grupa Netia konsolidowana od 22 maja 2018 roku.</t>
    </r>
  </si>
  <si>
    <r>
      <rPr>
        <i/>
        <vertAlign val="superscript"/>
        <sz val="9"/>
        <color indexed="8"/>
        <rFont val="Calibri"/>
        <family val="2"/>
        <charset val="238"/>
      </rPr>
      <t>7)</t>
    </r>
    <r>
      <rPr>
        <i/>
        <sz val="9"/>
        <color indexed="8"/>
        <rFont val="Calibri"/>
        <family val="2"/>
        <charset val="238"/>
      </rPr>
      <t xml:space="preserve"> Netia Group consolidated as of May 22, 2018.</t>
    </r>
  </si>
  <si>
    <r>
      <t>SEGMENT USŁUG B2C i B2B</t>
    </r>
    <r>
      <rPr>
        <b/>
        <vertAlign val="superscript"/>
        <sz val="10"/>
        <color theme="0"/>
        <rFont val="Calibri"/>
        <family val="2"/>
        <charset val="238"/>
        <scheme val="minor"/>
      </rPr>
      <t>1)</t>
    </r>
  </si>
  <si>
    <r>
      <t>B2C AND B2B SERVICES SEGMENT</t>
    </r>
    <r>
      <rPr>
        <b/>
        <vertAlign val="superscript"/>
        <sz val="10"/>
        <color theme="0"/>
        <rFont val="Calibri"/>
        <family val="2"/>
        <charset val="238"/>
        <scheme val="minor"/>
      </rPr>
      <t>1)</t>
    </r>
  </si>
  <si>
    <t>1Q</t>
  </si>
  <si>
    <t>2Q</t>
  </si>
  <si>
    <t>3Q</t>
  </si>
  <si>
    <t>4Q</t>
  </si>
  <si>
    <t>USŁUGI KONTRAKTOWE ŚWIADCZONE KLIENTOM B2C</t>
  </si>
  <si>
    <t>CONTRACT SERVICES PROVIDED TO B2C CUSTOMERS</t>
  </si>
  <si>
    <t>Łączna liczba RGU B2C (w tys.,na koniec okresu), w tym:</t>
  </si>
  <si>
    <t>Total number of B2C RGUs (in thous., EOP), including:</t>
  </si>
  <si>
    <t>Płatna telewizja</t>
  </si>
  <si>
    <t>Pay TV (main contract)</t>
  </si>
  <si>
    <t>Telefonia komórkowa</t>
  </si>
  <si>
    <t>Mobile telephony</t>
  </si>
  <si>
    <t xml:space="preserve">Internet </t>
  </si>
  <si>
    <t>Internet</t>
  </si>
  <si>
    <t>Liczba klientów B2C (w tys., na koniec okresu)</t>
  </si>
  <si>
    <t>Number of B2C customers (in thous., EOP)</t>
  </si>
  <si>
    <r>
      <t>ARPU na klienta B2C</t>
    </r>
    <r>
      <rPr>
        <vertAlign val="superscript"/>
        <sz val="9"/>
        <color rgb="FF000000"/>
        <rFont val="Calibri"/>
        <family val="2"/>
        <charset val="238"/>
        <scheme val="minor"/>
      </rPr>
      <t>3)</t>
    </r>
    <r>
      <rPr>
        <sz val="9"/>
        <color rgb="FF000000"/>
        <rFont val="Calibri"/>
        <family val="2"/>
        <charset val="238"/>
        <scheme val="minor"/>
      </rPr>
      <t xml:space="preserve">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</si>
  <si>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</si>
  <si>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B2C</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</si>
  <si>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B2C customer</t>
    </r>
    <r>
      <rPr>
        <vertAlign val="superscript"/>
        <sz val="9"/>
        <color rgb="FF000000"/>
        <rFont val="Calibri"/>
        <family val="2"/>
        <charset val="238"/>
        <scheme val="minor"/>
      </rPr>
      <t>3)</t>
    </r>
    <r>
      <rPr>
        <sz val="9"/>
        <color rgb="FF000000"/>
        <rFont val="Calibri"/>
        <family val="2"/>
        <charset val="238"/>
        <scheme val="minor"/>
      </rPr>
      <t xml:space="preserve"> (YTD, PLN)</t>
    </r>
  </si>
  <si>
    <r>
      <t>Churn w segmencie B2C</t>
    </r>
    <r>
      <rPr>
        <vertAlign val="superscript"/>
        <sz val="9"/>
        <color rgb="FF000000"/>
        <rFont val="Calibri"/>
        <family val="2"/>
        <charset val="238"/>
        <scheme val="minor"/>
      </rPr>
      <t>4)</t>
    </r>
  </si>
  <si>
    <r>
      <t>Churn in B2C subsegment</t>
    </r>
    <r>
      <rPr>
        <vertAlign val="superscript"/>
        <sz val="9"/>
        <color rgb="FF000000"/>
        <rFont val="Calibri"/>
        <family val="2"/>
        <charset val="238"/>
        <scheme val="minor"/>
      </rPr>
      <t>4)</t>
    </r>
  </si>
  <si>
    <t>n/a</t>
  </si>
  <si>
    <t>Wskaźnik nasycenia RGU na klienta B2C</t>
  </si>
  <si>
    <t xml:space="preserve">RGU saturation per one B2C customer </t>
  </si>
  <si>
    <t>USŁUGI PRZEDPŁACONE</t>
  </si>
  <si>
    <t>PREPAID SERVICES</t>
  </si>
  <si>
    <t>Łączna liczba RGU (w tys., na koniec okresu), w tym:</t>
  </si>
  <si>
    <t>Total number of RGUs (in thous., EOP), including:</t>
  </si>
  <si>
    <t xml:space="preserve">Płatna telewizja </t>
  </si>
  <si>
    <t>Pay TV</t>
  </si>
  <si>
    <t xml:space="preserve">Mobile telephony </t>
  </si>
  <si>
    <t>Internet mobilny</t>
  </si>
  <si>
    <t xml:space="preserve">Mobile internet </t>
  </si>
  <si>
    <r>
      <t>ARPU na RGU prepaid</t>
    </r>
    <r>
      <rPr>
        <vertAlign val="superscript"/>
        <sz val="9"/>
        <color rgb="FF000000"/>
        <rFont val="Calibri"/>
        <family val="2"/>
        <charset val="238"/>
        <scheme val="minor"/>
      </rPr>
      <t>5)</t>
    </r>
    <r>
      <rPr>
        <sz val="9"/>
        <color rgb="FF000000"/>
        <rFont val="Calibri"/>
        <family val="2"/>
        <charset val="238"/>
        <scheme val="minor"/>
      </rPr>
      <t xml:space="preserve">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</si>
  <si>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(PLN)</t>
    </r>
  </si>
  <si>
    <r>
      <t>ARPU na RGU prepaid</t>
    </r>
    <r>
      <rPr>
        <vertAlign val="superscript"/>
        <sz val="9"/>
        <rFont val="Calibri"/>
        <family val="2"/>
        <charset val="238"/>
        <scheme val="minor"/>
      </rPr>
      <t>5)</t>
    </r>
    <r>
      <rPr>
        <sz val="9"/>
        <rFont val="Calibri"/>
        <family val="2"/>
        <charset val="238"/>
        <scheme val="minor"/>
      </rPr>
      <t xml:space="preserve"> (narastająco, PLN)</t>
    </r>
  </si>
  <si>
    <r>
      <t>ARPU per prepaid RGU</t>
    </r>
    <r>
      <rPr>
        <vertAlign val="superscript"/>
        <sz val="9"/>
        <color rgb="FF000000"/>
        <rFont val="Calibri"/>
        <family val="2"/>
        <charset val="238"/>
        <scheme val="minor"/>
      </rPr>
      <t>5)</t>
    </r>
    <r>
      <rPr>
        <sz val="9"/>
        <color rgb="FF000000"/>
        <rFont val="Calibri"/>
        <family val="2"/>
        <charset val="238"/>
        <scheme val="minor"/>
      </rPr>
      <t xml:space="preserve"> (YTD, PLN)</t>
    </r>
  </si>
  <si>
    <t>USŁUGI KONTRAKTOWE ŚWIADCZONE KLIENTOM B2B</t>
  </si>
  <si>
    <t>CONTRACT SERVICES PROVIDED TO B2B CUSTOMERS</t>
  </si>
  <si>
    <t>Łączna liczba klientów B2B (w tys., na koniec okresu)</t>
  </si>
  <si>
    <t>Total number of B2B customers (in thous., EOP)</t>
  </si>
  <si>
    <r>
      <t>ARPU na klienta B2B</t>
    </r>
    <r>
      <rPr>
        <vertAlign val="superscript"/>
        <sz val="9"/>
        <color rgb="FF000000"/>
        <rFont val="Calibri"/>
        <family val="2"/>
        <charset val="238"/>
        <scheme val="minor"/>
      </rPr>
      <t>3)</t>
    </r>
    <r>
      <rPr>
        <sz val="9"/>
        <color rgb="FF000000"/>
        <rFont val="Calibri"/>
        <family val="2"/>
        <charset val="238"/>
        <scheme val="minor"/>
      </rPr>
      <t xml:space="preserve">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</si>
  <si>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(PLN)</t>
    </r>
  </si>
  <si>
    <r>
      <t>ARPU na klienta B2B</t>
    </r>
    <r>
      <rPr>
        <vertAlign val="superscript"/>
        <sz val="9"/>
        <color rgb="FF000000"/>
        <rFont val="Calibri"/>
        <family val="2"/>
        <charset val="238"/>
        <scheme val="minor"/>
      </rPr>
      <t>3)</t>
    </r>
    <r>
      <rPr>
        <sz val="9"/>
        <color rgb="FF000000"/>
        <rFont val="Calibri"/>
        <family val="2"/>
        <charset val="238"/>
        <scheme val="minor"/>
      </rPr>
      <t xml:space="preserve"> (narastająco, PLN)</t>
    </r>
  </si>
  <si>
    <r>
      <t>ARPU per B2B customer</t>
    </r>
    <r>
      <rPr>
        <vertAlign val="superscript"/>
        <sz val="9"/>
        <color rgb="FF000000"/>
        <rFont val="Calibri"/>
        <family val="2"/>
        <charset val="238"/>
        <scheme val="minor"/>
      </rPr>
      <t>3)</t>
    </r>
    <r>
      <rPr>
        <sz val="9"/>
        <color rgb="FF000000"/>
        <rFont val="Calibri"/>
        <family val="2"/>
        <charset val="238"/>
        <scheme val="minor"/>
      </rPr>
      <t xml:space="preserve"> (YTD, PLN)</t>
    </r>
  </si>
  <si>
    <t>1) Klient - osoba fizyczna, prawna lub jednostka organizacyjna nieposiadającą osobowości prawnej, posiadająca co najmniej jedną, aktywną usługę świadczoną w modelu kontraktowym. Klient identyfikowany jest na poziomie unikalnego numeru PESEL, NIP lub REGON.</t>
  </si>
  <si>
    <t>1) Customer - natural person, legal entity or an organizational unit without legal personality who has at least one active service provided in a contract model. The Customer is identified by a unique national identification number (PESEL), tax identification number (NIP) or national business registry number (REGON).</t>
  </si>
  <si>
    <t>2) RGU (revenue generating unit) - pojedyncza, aktywna, generująca przychód detaliczny usługa płatnej telewizji świadczonej w dowolnej technologii, dostępu do Internetu mobilnego lub przewodowego lub telefonii komórkowej, świadczona w modelu kontraktowym lub przedpłaconym.</t>
  </si>
  <si>
    <t xml:space="preserve">2) RGU (revenue generating unit) - single, active and retail revenue generating service of pay TV provided in all types of access technologies, mobile or fixed internet access or mobile telephony provided in the contract or prepaid model. </t>
  </si>
  <si>
    <r>
      <t>3) ARPU na klienta - Średni miesięczny przychód detaliczny od Klienta wygenerowany w danym okresie rozliczeniowym.</t>
    </r>
    <r>
      <rPr>
        <strike/>
        <sz val="9"/>
        <rFont val="Calibri"/>
        <family val="2"/>
        <charset val="238"/>
      </rPr>
      <t xml:space="preserve">
</t>
    </r>
  </si>
  <si>
    <t>3) ARPU per B2C/B2B customer - average monthly retail revenue per customer generated in a given settlement period.</t>
  </si>
  <si>
    <t xml:space="preserve">4) Churn (współczynnik odejść lub odpływu) - rozwiązanie umowy z Klientem B2C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</si>
  <si>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a B2C customer by means of a termination notice, collections or other activities resulting in the situation that after the termination of the contract the customer does not have any active service provided in the contract model. Churn rate presents the relation of the number of customers for whom the last service has been deactivated (by means of a termination notice as well as deactivation as a result of collection activities or other reasons) within the last 12 months to the annual average number of customers in this 12-month period. 
</t>
  </si>
  <si>
    <t>5) ARPU na RGU - średni miesięczny przychód detaliczny wygenerowany w danym okresie rozliczeniowym w przeliczeniu na jednostkę RGU prepaid.</t>
  </si>
  <si>
    <t>5) ARPU per total prepaid RGU - average monthly revenue per prepaid RGU generated in a given settlement period.</t>
  </si>
  <si>
    <t>FY 2021</t>
  </si>
  <si>
    <t>YTD 2022</t>
  </si>
  <si>
    <t>YTD 2023</t>
  </si>
  <si>
    <r>
      <t xml:space="preserve">udział w oglądalności </t>
    </r>
    <r>
      <rPr>
        <b/>
        <vertAlign val="superscript"/>
        <sz val="11"/>
        <color theme="0"/>
        <rFont val="Calibri"/>
        <family val="2"/>
        <charset val="238"/>
        <scheme val="minor"/>
      </rPr>
      <t>(1)</t>
    </r>
  </si>
  <si>
    <r>
      <t>audience shares</t>
    </r>
    <r>
      <rPr>
        <b/>
        <vertAlign val="superscript"/>
        <sz val="11"/>
        <color theme="0"/>
        <rFont val="Calibri"/>
        <family val="2"/>
        <charset val="238"/>
        <scheme val="minor"/>
      </rPr>
      <t>(1)</t>
    </r>
  </si>
  <si>
    <r>
      <t xml:space="preserve">Grupa Polsat </t>
    </r>
    <r>
      <rPr>
        <b/>
        <vertAlign val="superscript"/>
        <sz val="11"/>
        <color theme="1"/>
        <rFont val="Calibri"/>
        <family val="2"/>
        <charset val="238"/>
        <scheme val="minor"/>
      </rPr>
      <t>(1)</t>
    </r>
    <r>
      <rPr>
        <b/>
        <sz val="11"/>
        <color theme="1"/>
        <rFont val="Calibri"/>
        <family val="2"/>
        <charset val="238"/>
        <scheme val="minor"/>
      </rPr>
      <t>, w tym:</t>
    </r>
  </si>
  <si>
    <r>
      <t xml:space="preserve">Polsat Group </t>
    </r>
    <r>
      <rPr>
        <b/>
        <vertAlign val="superscript"/>
        <sz val="11"/>
        <color theme="1"/>
        <rFont val="Calibri"/>
        <family val="2"/>
        <charset val="238"/>
        <scheme val="minor"/>
      </rPr>
      <t>(1)</t>
    </r>
    <r>
      <rPr>
        <b/>
        <sz val="11"/>
        <color theme="1"/>
        <rFont val="Calibri"/>
        <family val="2"/>
        <charset val="238"/>
        <scheme val="minor"/>
      </rPr>
      <t>, including:</t>
    </r>
  </si>
  <si>
    <t xml:space="preserve">    POLSAT (kanał główny)</t>
  </si>
  <si>
    <t xml:space="preserve">    POLSAT (main channel)</t>
  </si>
  <si>
    <t xml:space="preserve">    Pozostałe kanały</t>
  </si>
  <si>
    <t>Other channels</t>
  </si>
  <si>
    <r>
      <t>Grupa Warner Bros.Discovery</t>
    </r>
    <r>
      <rPr>
        <vertAlign val="superscript"/>
        <sz val="11"/>
        <color rgb="FF000000"/>
        <rFont val="Calibri"/>
        <family val="2"/>
        <charset val="238"/>
        <scheme val="minor"/>
      </rPr>
      <t>(6)</t>
    </r>
  </si>
  <si>
    <r>
      <t>Warner Bros.Discovery Group</t>
    </r>
    <r>
      <rPr>
        <vertAlign val="superscript"/>
        <sz val="11"/>
        <color rgb="FF000000"/>
        <rFont val="Calibri"/>
        <family val="2"/>
        <charset val="238"/>
        <scheme val="minor"/>
      </rPr>
      <t>(6)</t>
    </r>
  </si>
  <si>
    <t>Grupa TVP</t>
  </si>
  <si>
    <t>TVP Group</t>
  </si>
  <si>
    <r>
      <t>reklama telewizyjna</t>
    </r>
    <r>
      <rPr>
        <sz val="11"/>
        <color theme="0"/>
        <rFont val="Calibri"/>
        <family val="2"/>
        <charset val="238"/>
        <scheme val="minor"/>
      </rPr>
      <t xml:space="preserve"> (mln PLN)</t>
    </r>
  </si>
  <si>
    <r>
      <t xml:space="preserve">TV ad market </t>
    </r>
    <r>
      <rPr>
        <sz val="11"/>
        <color theme="0"/>
        <rFont val="Calibri"/>
        <family val="2"/>
        <charset val="238"/>
        <scheme val="minor"/>
      </rPr>
      <t>(mPLN)</t>
    </r>
  </si>
  <si>
    <r>
      <t>Wydatki na reklamę telewizyjną
i sponsoring na całym rynku</t>
    </r>
    <r>
      <rPr>
        <vertAlign val="superscript"/>
        <sz val="11"/>
        <color rgb="FF000000"/>
        <rFont val="Calibri"/>
        <family val="2"/>
        <charset val="238"/>
        <scheme val="minor"/>
      </rPr>
      <t>(2)</t>
    </r>
    <r>
      <rPr>
        <sz val="11"/>
        <color rgb="FF000000"/>
        <rFont val="Calibri"/>
        <family val="2"/>
        <charset val="238"/>
        <scheme val="minor"/>
      </rPr>
      <t xml:space="preserve"> </t>
    </r>
  </si>
  <si>
    <r>
      <t>Market expenditures on TV advertising
and sponsorship of Polsat Group</t>
    </r>
    <r>
      <rPr>
        <vertAlign val="superscript"/>
        <sz val="11"/>
        <color rgb="FF000000"/>
        <rFont val="Calibri"/>
        <family val="2"/>
        <charset val="238"/>
        <scheme val="minor"/>
      </rPr>
      <t>(2)</t>
    </r>
    <r>
      <rPr>
        <sz val="11"/>
        <color rgb="FF000000"/>
        <rFont val="Calibri"/>
        <family val="2"/>
        <charset val="238"/>
        <scheme val="minor"/>
      </rPr>
      <t xml:space="preserve"> </t>
    </r>
  </si>
  <si>
    <r>
      <t>Przychody z reklamy i sponsoringu Grupy TV Polsat</t>
    </r>
    <r>
      <rPr>
        <b/>
        <vertAlign val="superscript"/>
        <sz val="11"/>
        <color rgb="FF000000"/>
        <rFont val="Calibri"/>
        <family val="2"/>
        <charset val="238"/>
        <scheme val="minor"/>
      </rPr>
      <t>(3)</t>
    </r>
  </si>
  <si>
    <r>
      <t>Revenue from advertising and
sponsorship of TV Polsat Group</t>
    </r>
    <r>
      <rPr>
        <b/>
        <vertAlign val="superscript"/>
        <sz val="11"/>
        <color rgb="FF000000"/>
        <rFont val="Calibri"/>
        <family val="2"/>
        <charset val="238"/>
        <scheme val="minor"/>
      </rPr>
      <t>(3)</t>
    </r>
    <r>
      <rPr>
        <b/>
        <sz val="11"/>
        <color rgb="FF000000"/>
        <rFont val="Calibri"/>
        <family val="2"/>
        <charset val="238"/>
        <scheme val="minor"/>
      </rPr>
      <t xml:space="preserve"> </t>
    </r>
  </si>
  <si>
    <r>
      <t>Udział w rynku reklamy Grupy TV Polsat</t>
    </r>
    <r>
      <rPr>
        <b/>
        <vertAlign val="superscript"/>
        <sz val="11"/>
        <color rgb="FF000000"/>
        <rFont val="Calibri"/>
        <family val="2"/>
        <charset val="238"/>
        <scheme val="minor"/>
      </rPr>
      <t>(4,2)</t>
    </r>
  </si>
  <si>
    <r>
      <t>Advertising market share of Polsat Group</t>
    </r>
    <r>
      <rPr>
        <b/>
        <vertAlign val="superscript"/>
        <sz val="11"/>
        <color rgb="FF000000"/>
        <rFont val="Calibri"/>
        <family val="2"/>
        <charset val="238"/>
        <scheme val="minor"/>
      </rPr>
      <t>(4,2)</t>
    </r>
  </si>
  <si>
    <t>GRUPA POLSAT-INTERIA</t>
  </si>
  <si>
    <t>POLSAT-INTERIA GROUP</t>
  </si>
  <si>
    <t>Średniomiesięczna liczba użytkowników (real users)</t>
  </si>
  <si>
    <t>Average monthly number of users (real users)</t>
  </si>
  <si>
    <t>real users (mln)</t>
  </si>
  <si>
    <t>real users (m)</t>
  </si>
  <si>
    <r>
      <t>Grupa Polsat-Interia</t>
    </r>
    <r>
      <rPr>
        <b/>
        <vertAlign val="superscript"/>
        <sz val="11"/>
        <color theme="1"/>
        <rFont val="Calibri"/>
        <family val="2"/>
        <charset val="238"/>
        <scheme val="minor"/>
      </rPr>
      <t>(1)</t>
    </r>
  </si>
  <si>
    <r>
      <t>Polsat-Interia Group</t>
    </r>
    <r>
      <rPr>
        <b/>
        <vertAlign val="superscript"/>
        <sz val="11"/>
        <color theme="1"/>
        <rFont val="Calibri"/>
        <family val="2"/>
        <charset val="238"/>
        <scheme val="minor"/>
      </rPr>
      <t>(1)</t>
    </r>
  </si>
  <si>
    <t>Grupa Wirtualna Polska</t>
  </si>
  <si>
    <t>Wirtualna Polska Group</t>
  </si>
  <si>
    <t>Grupa RAS Polska</t>
  </si>
  <si>
    <t>RAS Polska Group</t>
  </si>
  <si>
    <t>Grupa Polska Press</t>
  </si>
  <si>
    <t>Polska Press Group</t>
  </si>
  <si>
    <t>Grupa Agora</t>
  </si>
  <si>
    <t>Agora Group</t>
  </si>
  <si>
    <t>Średniomiesięczna liczba odsłon</t>
  </si>
  <si>
    <t>Average monthly number of page views</t>
  </si>
  <si>
    <t>odsłony (mln)</t>
  </si>
  <si>
    <t>page views (m)</t>
  </si>
  <si>
    <t>YTD 20223</t>
  </si>
  <si>
    <r>
      <t>Grupa Polsat-Interia</t>
    </r>
    <r>
      <rPr>
        <b/>
        <vertAlign val="superscript"/>
        <sz val="11"/>
        <color theme="1"/>
        <rFont val="Calibri"/>
        <family val="2"/>
        <charset val="238"/>
        <scheme val="minor"/>
      </rPr>
      <t>(5)</t>
    </r>
  </si>
  <si>
    <r>
      <t>Polsat-Interia Group</t>
    </r>
    <r>
      <rPr>
        <b/>
        <vertAlign val="superscript"/>
        <sz val="11"/>
        <color theme="1"/>
        <rFont val="Calibri"/>
        <family val="2"/>
        <charset val="238"/>
        <scheme val="minor"/>
      </rPr>
      <t>(5)</t>
    </r>
  </si>
  <si>
    <t xml:space="preserve">Źródło: 1Q18 - 3Q20 - Gemius/PBI, 4Q20 i poźniej - Mediapanel, liczba użytkowników – wskaźnik real users
(1) Nielsen Audience Measurement, udział w oglądalności w grupie wszyscy 16-49 lat, cała doba, uwzględniono Live+2 (oglądalność z dnia emisji i z 2 kolejnych dni (tzw. Time Shifted Viewing), od września 2021 r. z uwzględnieniem oglądalności poza miejscem zamieszkania (tzw. widownia OOH); od stycznia 2021 r. udział w oglądalności w grupie wszyscy 16-59 lat
(2) Publicis Groupe, reklama spotowa i sponsoring (uwaga: dane mogą podlegać korektom wstecznym)
(3) Przychody z reklamy i sponsoringu Grupy Telewizji Polsat wg definicji Publicis Groupe
(4) Szacunki własne na podstawie danych Publicis Groupe
(5) dane za 2018, 2019 i H1'20 dla Grupy Cyfrowy Polsat
(6) Grupa powstała 8 kwietnia 2022 r. w wyniku fuzji spółek WarnerMedia i Discovery, dane sprzed tego okresu dotyczą kanałów należących do Grupy Discovery </t>
  </si>
  <si>
    <t>Source: 1Q18 - 3Q20 - Gemius/PBI, 4Q20 - Mediapanel, number of users – real users (RU) indicator
Note: (1) Nielsen Audience Measurement, All 16‐49, all day, SHR%, including Live+2, Audience shares include both live broadcasting and broadcasting during 2 consecutive days (i.e. Time Shifted Viewing), starting from September 2021 also including OOH viewership; starting from January 2021 16‐59 age group.
(2) Publicis Groupe, spot advertising and sponsorship (note: data may be subject to retrospective correction)
(3)  Revenue from advertising and sponsorship of TV Polsat Group according to Publicis Groupe definition 
(4) Own estimates based on Publicis Groupe data 
(5) data for 2018, 2019 and H1'20 for Cyfrowy Polsat
(6) The group was established on April 8, 2022 as a result of the merger of WarnerMedia and Discovery, data before that period refer to channels belonging to Discovery Group</t>
  </si>
  <si>
    <r>
      <t xml:space="preserve">FY 2018 </t>
    </r>
    <r>
      <rPr>
        <b/>
        <vertAlign val="superscript"/>
        <sz val="10"/>
        <color theme="0"/>
        <rFont val="Calibri"/>
        <family val="2"/>
        <charset val="238"/>
        <scheme val="minor"/>
      </rPr>
      <t>6</t>
    </r>
  </si>
  <si>
    <r>
      <t>2Q</t>
    </r>
    <r>
      <rPr>
        <b/>
        <vertAlign val="superscript"/>
        <sz val="10"/>
        <color theme="0"/>
        <rFont val="Calibri"/>
        <family val="2"/>
        <charset val="238"/>
        <scheme val="minor"/>
      </rPr>
      <t>6</t>
    </r>
  </si>
  <si>
    <r>
      <t>3Q</t>
    </r>
    <r>
      <rPr>
        <b/>
        <vertAlign val="superscript"/>
        <sz val="10"/>
        <color theme="0"/>
        <rFont val="Calibri"/>
        <family val="2"/>
        <charset val="238"/>
        <scheme val="minor"/>
      </rPr>
      <t>6</t>
    </r>
  </si>
  <si>
    <r>
      <t>4Q</t>
    </r>
    <r>
      <rPr>
        <b/>
        <vertAlign val="superscript"/>
        <sz val="10"/>
        <color theme="0"/>
        <rFont val="Calibri"/>
        <family val="2"/>
        <charset val="238"/>
        <scheme val="minor"/>
      </rPr>
      <t>6</t>
    </r>
  </si>
  <si>
    <r>
      <t>1Q</t>
    </r>
    <r>
      <rPr>
        <b/>
        <vertAlign val="superscript"/>
        <sz val="10"/>
        <color theme="0"/>
        <rFont val="Calibri"/>
        <family val="2"/>
        <charset val="238"/>
        <scheme val="minor"/>
      </rPr>
      <t>6</t>
    </r>
  </si>
  <si>
    <r>
      <t>Łączna liczba RGU</t>
    </r>
    <r>
      <rPr>
        <b/>
        <vertAlign val="superscript"/>
        <sz val="10"/>
        <rFont val="Calibri"/>
        <family val="2"/>
        <charset val="238"/>
        <scheme val="minor"/>
      </rPr>
      <t>2)</t>
    </r>
    <r>
      <rPr>
        <b/>
        <sz val="10"/>
        <rFont val="Calibri"/>
        <family val="2"/>
        <charset val="238"/>
        <scheme val="minor"/>
      </rPr>
      <t xml:space="preserve"> (kontraktowe+przedpłacone)</t>
    </r>
  </si>
  <si>
    <r>
      <t>Total number of RGUs</t>
    </r>
    <r>
      <rPr>
        <b/>
        <vertAlign val="superscript"/>
        <sz val="10"/>
        <rFont val="Calibri"/>
        <family val="2"/>
        <charset val="238"/>
        <scheme val="minor"/>
      </rPr>
      <t>2)</t>
    </r>
    <r>
      <rPr>
        <b/>
        <sz val="10"/>
        <rFont val="Calibri"/>
        <family val="2"/>
        <charset val="238"/>
        <scheme val="minor"/>
      </rPr>
      <t xml:space="preserve"> (contract + prepaid), EOP</t>
    </r>
  </si>
  <si>
    <t>n/d</t>
  </si>
  <si>
    <t>USŁUGI KONTRAKTOWE</t>
  </si>
  <si>
    <t>CONTRACT SERVICES</t>
  </si>
  <si>
    <t>Łączna liczba RGU na koniec okresu, w tym:</t>
  </si>
  <si>
    <t>Total number of RGUs (EOP), including:</t>
  </si>
  <si>
    <t>Płatna telewizja, w tym:</t>
  </si>
  <si>
    <t>Pay TV, including:</t>
  </si>
  <si>
    <t>Multiroom</t>
  </si>
  <si>
    <t>Liczba klientów</t>
  </si>
  <si>
    <t>Number of customers</t>
  </si>
  <si>
    <r>
      <t>ARPU na klienta</t>
    </r>
    <r>
      <rPr>
        <b/>
        <vertAlign val="superscript"/>
        <sz val="9"/>
        <color rgb="FF000000"/>
        <rFont val="Calibri"/>
        <family val="2"/>
        <charset val="238"/>
        <scheme val="minor"/>
      </rPr>
      <t>3)</t>
    </r>
    <r>
      <rPr>
        <b/>
        <sz val="9"/>
        <color rgb="FF000000"/>
        <rFont val="Calibri"/>
        <family val="2"/>
        <charset val="238"/>
        <scheme val="minor"/>
      </rPr>
      <t xml:space="preserve"> [PLN]</t>
    </r>
  </si>
  <si>
    <r>
      <t>ARPU per customer</t>
    </r>
    <r>
      <rPr>
        <b/>
        <vertAlign val="superscript"/>
        <sz val="9"/>
        <color rgb="FF000000"/>
        <rFont val="Calibri"/>
        <family val="2"/>
        <charset val="238"/>
        <scheme val="minor"/>
      </rPr>
      <t>3)</t>
    </r>
    <r>
      <rPr>
        <b/>
        <sz val="9"/>
        <color rgb="FF000000"/>
        <rFont val="Calibri"/>
        <family val="2"/>
        <charset val="238"/>
        <scheme val="minor"/>
      </rPr>
      <t xml:space="preserve"> [PLN]</t>
    </r>
  </si>
  <si>
    <r>
      <t>ARPU na klienta</t>
    </r>
    <r>
      <rPr>
        <vertAlign val="superscript"/>
        <sz val="9"/>
        <color rgb="FF000000"/>
        <rFont val="Calibri"/>
        <family val="2"/>
        <charset val="238"/>
        <scheme val="minor"/>
      </rPr>
      <t>3)</t>
    </r>
    <r>
      <rPr>
        <sz val="9"/>
        <color rgb="FF000000"/>
        <rFont val="Calibri"/>
        <family val="2"/>
        <charset val="238"/>
        <scheme val="minor"/>
      </rPr>
      <t xml:space="preserve"> według MSR 18 [PLN]</t>
    </r>
  </si>
  <si>
    <r>
      <t>ARPU per customer</t>
    </r>
    <r>
      <rPr>
        <vertAlign val="superscript"/>
        <sz val="9"/>
        <color rgb="FF000000"/>
        <rFont val="Calibri"/>
        <family val="2"/>
        <charset val="238"/>
        <scheme val="minor"/>
      </rPr>
      <t xml:space="preserve">3) </t>
    </r>
    <r>
      <rPr>
        <sz val="9"/>
        <color rgb="FF000000"/>
        <rFont val="Calibri"/>
        <family val="2"/>
        <charset val="238"/>
        <scheme val="minor"/>
      </rPr>
      <t>acc. to IAS 18 [PLN]</t>
    </r>
  </si>
  <si>
    <r>
      <t>Churn na klienta</t>
    </r>
    <r>
      <rPr>
        <vertAlign val="superscript"/>
        <sz val="9"/>
        <color rgb="FF000000"/>
        <rFont val="Calibri"/>
        <family val="2"/>
        <charset val="238"/>
        <scheme val="minor"/>
      </rPr>
      <t>4)</t>
    </r>
  </si>
  <si>
    <r>
      <t>Churn per customer</t>
    </r>
    <r>
      <rPr>
        <vertAlign val="superscript"/>
        <sz val="9"/>
        <color rgb="FF000000"/>
        <rFont val="Calibri"/>
        <family val="2"/>
        <charset val="238"/>
        <scheme val="minor"/>
      </rPr>
      <t>4)</t>
    </r>
  </si>
  <si>
    <t xml:space="preserve">Wskaźnik nasycenia RGU na jednego klienta </t>
  </si>
  <si>
    <t xml:space="preserve">RGU saturation per one cusotmer </t>
  </si>
  <si>
    <t>Średnia liczba RGU, w tym:</t>
  </si>
  <si>
    <t>Average number of RGUs, including:</t>
  </si>
  <si>
    <t>Średnia liczba klientów</t>
  </si>
  <si>
    <t>Average number of customers</t>
  </si>
  <si>
    <t>Total number of RGUs, including:</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</si>
  <si>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</si>
  <si>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r>
      <t>ARPU per total prepaid RGU</t>
    </r>
    <r>
      <rPr>
        <vertAlign val="superscript"/>
        <sz val="9"/>
        <color rgb="FF000000"/>
        <rFont val="Calibri"/>
        <family val="2"/>
        <charset val="238"/>
        <scheme val="minor"/>
      </rPr>
      <t>5)</t>
    </r>
    <r>
      <rPr>
        <sz val="9"/>
        <color rgb="FF000000"/>
        <rFont val="Calibri"/>
        <family val="2"/>
        <charset val="238"/>
        <scheme val="minor"/>
      </rPr>
      <t xml:space="preserve"> [PLN]</t>
    </r>
  </si>
  <si>
    <t>Average number of RGUs (EOP), including:</t>
  </si>
  <si>
    <t>1) Klient - osoba fizyczna, prawna lub jednostka organizacyjna nieposiadającą osobowości prawnej, posiadająca co najmniej jedną, aktywną usługę świadczoną w modelu kontraktowym.</t>
  </si>
  <si>
    <t xml:space="preserve">1) Customer - natural person, legal entity or an organizational unit without legal personality who has at least one active service provided in a contract model. </t>
  </si>
  <si>
    <t>2) RGU (revenue generating unit) - pojedyncza, aktywna usługa płatnej telewizji, dostępu do Internetu lub telefonii komórkowej, świadczona w modelu kontraktowym lub przedpłaconym.</t>
  </si>
  <si>
    <t xml:space="preserve">2) RGU (revenue generating unit) - single, active service of pay TV, Interneet Access or mobile telephony provided in contract or prepaid model. </t>
  </si>
  <si>
    <t xml:space="preserve">3) ARPU na klienta - Średni miesięczny przychód od Klienta wygenerowany w danym okresie rozliczeniowy (uwzględnia przychody z interconnect)
</t>
  </si>
  <si>
    <t xml:space="preserve">3) ARPU per customer - average monthly revenue per customer generated in a given settlement period (including interconnect revenue).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</si>
  <si>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</si>
  <si>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 xml:space="preserve">4) Churn - termination of the contract with Customer by means of the termination notice, collections or other activities resulting in the situation that after termination of the contract the Customer does not have any active service provided in the contract model. Churn rate presents the relation of the number of customers for whom the last service has been deactivated (by means of the termination notice as well as deactivation as a result of collection activities or other reasons) within the last 12 months to the annual average number of customers in this 12-month period. 
</t>
  </si>
  <si>
    <t>5) ARPU na RGU - średni miesięczny przychód od RGU pre-paid wygenerowany w danym okresie rozliczeniowym (uwzględnia przychody z interconnect)</t>
  </si>
  <si>
    <t>5) ARPU per total prepaid RGU - average monthly revenue per prepaid RGU generated in a given settlement period (including interconnect revenue)</t>
  </si>
  <si>
    <t>6) Dane nie obejmują wyników operacyjnych Grupy Netia,  nad którą Grupa Cyfrowy Polsat zaczęła sprawować kontrolę z dniem 22 maja 2018 roku. Z uwagi na fakt że Netia S.A. jest spółką publiczną, notowaną na Giełdzie Papierów Wartościowych w Warszawie, jej szczegółowe wyniki operacyjne i finansowe dostępne są na bieżąco pod adresem: inwestor.netia.pl.</t>
  </si>
  <si>
    <t>6) Operational indicators excluding the results of Netia Group over which Cyfrowy Polsat Group took control effective May 22, 2018. Due to the fact that Netia S.A. is a company listed publically on the Warsaw Stock Exchange in Warsaw, its detailed operational and financial results are continuously available at the address: inwestor.netia.pl.</t>
  </si>
  <si>
    <t xml:space="preserve">EBITDA </t>
  </si>
  <si>
    <t>Trade and other payables, includes:</t>
  </si>
  <si>
    <t>derivative instruments liabilities</t>
  </si>
  <si>
    <t>6) As at December 31, 2022, the Company changed the presentation of the item "Trade and other receivables" by reclassifying and separately presenting the item "Current loans granted". Data as of December 31, 2021 have been restated.</t>
  </si>
  <si>
    <t>Cumulative catch-up</t>
  </si>
  <si>
    <t>Premium for scheduled early redemption of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</si>
</sst>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0">
    <numFmt numFmtId="42" formatCode="_-* #,##0\ &quot;zł&quot;_-;\-* #,##0\ &quot;zł&quot;_-;_-* &quot;-&quot;\ &quot;zł&quot;_-;_-@_-"/>
    <numFmt numFmtId="44" formatCode="_-* #,##0.00\ &quot;zł&quot;_-;\-* #,##0.00\ &quot;zł&quot;_-;_-* &quot;-&quot;??\ &quot;zł&quot;_-;_-@_-"/>
    <numFmt numFmtId="43" formatCode="_-* #,##0.00_-;\-* #,##0.00_-;_-* &quot;-&quot;??_-;_-@_-"/>
    <numFmt numFmtId="164" formatCode="_-* #,##0.00\ _z_ł_-;\-* #,##0.00\ _z_ł_-;_-* &quot;-&quot;??\ _z_ł_-;_-@_-"/>
    <numFmt numFmtId="165" formatCode="_(* #,##0_);_(* \(#,##0\);_(* &quot;-&quot;_);_(@_)"/>
    <numFmt numFmtId="166" formatCode="_(* #,##0.00_);_(* \(#,##0.00\);_(* &quot;-&quot;??_);_(@_)"/>
    <numFmt numFmtId="167" formatCode="0.0"/>
    <numFmt numFmtId="168" formatCode="0.000"/>
    <numFmt numFmtId="169" formatCode="0.0%"/>
    <numFmt numFmtId="170" formatCode="#,##0.0"/>
    <numFmt numFmtId="171" formatCode="#,##0.0;\-#,##0.0"/>
    <numFmt numFmtId="172" formatCode="#,##0.0\ ;\(#,##0\)"/>
    <numFmt numFmtId="173" formatCode="#,##0.0\ ;\(#,##0.0\)"/>
    <numFmt numFmtId="174" formatCode="\-"/>
    <numFmt numFmtId="175" formatCode="###0.0"/>
    <numFmt numFmtId="176" formatCode="###0.0;\(###0.0\)"/>
    <numFmt numFmtId="177" formatCode="#,##0.0;\(#,##0.0\)"/>
    <numFmt numFmtId="178" formatCode="_-* #,##0.00\ [$€-1]_-;\-* #,##0.00\ [$€-1]_-;_-* &quot;-&quot;??\ [$€-1]_-"/>
    <numFmt numFmtId="179" formatCode="#,##0.00;\(#,##0.00\)"/>
    <numFmt numFmtId="180" formatCode="##\.##0.0;\(##\.##0.0\)"/>
    <numFmt numFmtId="181" formatCode="#,##0.0\ ;\(#,##0.0\);\-"/>
    <numFmt numFmtId="182" formatCode="#,##0.0;\(#,##0.0\);\-"/>
    <numFmt numFmtId="183" formatCode="#,##0.000;\(#,##0.000\);\-"/>
    <numFmt numFmtId="184" formatCode="#,##0.0,;\(#,##0.0\)"/>
    <numFmt numFmtId="185" formatCode="General;\ \(General\)"/>
    <numFmt numFmtId="186" formatCode="#,##0.00;\(#,##0.00\);\-"/>
    <numFmt numFmtId="187" formatCode="_([$€]* #,##0.00_);_([$€]* \(#,##0.00\);_([$€]* &quot;-&quot;??_);_(@_)"/>
    <numFmt numFmtId="188" formatCode="[$-415]mmm\ yy;@"/>
    <numFmt numFmtId="189" formatCode="_ &quot;kr&quot;\ * #,##0.00_ ;_ &quot;kr&quot;\ * \-#,##0.00_ ;_ &quot;kr&quot;\ * &quot;-&quot;??_ ;_ @_ "/>
    <numFmt numFmtId="190" formatCode="_ * #,##0.00_ ;_ * \-#,##0.00_ ;_ * &quot;-&quot;??_ ;_ @_ "/>
    <numFmt numFmtId="191" formatCode="&quot;$&quot;#,##0;[Red]\-&quot;$&quot;#,##0"/>
    <numFmt numFmtId="192" formatCode="d/m/yy\ h:mm"/>
    <numFmt numFmtId="193" formatCode="General_)"/>
    <numFmt numFmtId="194" formatCode="0.000000000"/>
    <numFmt numFmtId="195" formatCode="\k\$#"/>
    <numFmt numFmtId="196" formatCode="\H\U\F\ 0.000"/>
    <numFmt numFmtId="197" formatCode="&quot;$&quot;#,##0.00\ ;\(&quot;$&quot;#,##0.00\)"/>
    <numFmt numFmtId="198" formatCode="\k\$\ 0.000"/>
    <numFmt numFmtId="199" formatCode="\k\E\C\U\ 0.000"/>
    <numFmt numFmtId="200" formatCode="\k\H\U\F\ 0.000"/>
    <numFmt numFmtId="201" formatCode="\k\L\E\ 0.000"/>
    <numFmt numFmtId="202" formatCode="_-* #,##0.00\ &quot;Sk&quot;_-;\-* #,##0.00\ &quot;Sk&quot;_-;_-* &quot;-&quot;??\ &quot;Sk&quot;_-;_-@_-"/>
    <numFmt numFmtId="203" formatCode="_ * #,##0_)\ _$_ ;_ * \(#,##0\)\ _$_ ;_ * &quot;-&quot;_)\ _$_ ;_ @_ "/>
    <numFmt numFmtId="204" formatCode="_ * #,##0.00_)\ _$_ ;_ * \(#,##0.00\)\ _$_ ;_ * &quot;-&quot;??_)\ _$_ ;_ @_ "/>
    <numFmt numFmtId="205" formatCode="_ * #,##0_)\ &quot;$&quot;_ ;_ * \(#,##0\)\ &quot;$&quot;_ ;_ * &quot;-&quot;_)\ &quot;$&quot;_ ;_ @_ "/>
    <numFmt numFmtId="206" formatCode="_ * #,##0.00_)\ &quot;$&quot;_ ;_ * \(#,##0.00\)\ &quot;$&quot;_ ;_ * &quot;-&quot;??_)\ &quot;$&quot;_ ;_ @_ "/>
    <numFmt numFmtId="207" formatCode="&quot;Note&quot;\ #"/>
    <numFmt numFmtId="208" formatCode="&quot;See Note &quot;\ #"/>
    <numFmt numFmtId="209" formatCode="\$\ #,##0"/>
    <numFmt numFmtId="210" formatCode="&quot;L.&quot;\ #,##0;[Red]\-&quot;L.&quot;\ #,##0"/>
    <numFmt numFmtId="211" formatCode="_-&quot;£&quot;* #,##0_-;\-&quot;£&quot;* #,##0_-;_-&quot;£&quot;* &quot;-&quot;_-;_-@_-"/>
    <numFmt numFmtId="212" formatCode="_-&quot;£&quot;* #,##0.00_-;\-&quot;£&quot;* #,##0.00_-;_-&quot;£&quot;* &quot;-&quot;??_-;_-@_-"/>
    <numFmt numFmtId="213" formatCode="#,##0;\(#,##0\)"/>
    <numFmt numFmtId="214" formatCode="#,##0.0;\(#,##0.0\);0"/>
    <numFmt numFmtId="215" formatCode="#,##0.0,;\(#,##0.0\);\-"/>
    <numFmt numFmtId="216" formatCode="_-* #,##0_-;\-* #,##0_-;_-* &quot;-&quot;??_-;_-@_-"/>
    <numFmt numFmtId="217" formatCode="_(* #,##0.0_);_(* \(#,##0.0\);_(* &quot;-&quot;_);_(@_)"/>
    <numFmt numFmtId="218" formatCode="#,##0.0\ ;\(#,##0\);\-"/>
    <numFmt numFmtId="219" formatCode="#,##0.0_ ;\-#,##0.0\ "/>
    <numFmt numFmtId="220" formatCode="#,##0.00_ ;\-#,##0.00\ "/>
  </numFmts>
  <fonts count="23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vertAlign val="superscript"/>
      <sz val="10"/>
      <color indexed="8"/>
      <name val="Calibri"/>
      <family val="2"/>
      <charset val="238"/>
    </font>
    <font>
      <b/>
      <sz val="10"/>
      <color indexed="8"/>
      <name val="Calibri"/>
      <family val="2"/>
      <charset val="238"/>
      <scheme val="minor"/>
    </font>
    <font>
      <sz val="10"/>
      <color theme="1"/>
      <name val="Calibri"/>
      <family val="2"/>
      <charset val="238"/>
      <scheme val="minor"/>
    </font>
    <font>
      <sz val="10"/>
      <color theme="1"/>
      <name val="Czcionka tekstu podstawowego"/>
      <family val="2"/>
      <charset val="238"/>
    </font>
    <font>
      <vertAlign val="superscript"/>
      <sz val="11"/>
      <color theme="1"/>
      <name val="Calibri"/>
      <family val="2"/>
      <charset val="238"/>
      <scheme val="minor"/>
    </font>
    <font>
      <sz val="9"/>
      <color theme="1"/>
      <name val="Calibri"/>
      <family val="2"/>
      <charset val="238"/>
      <scheme val="minor"/>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b/>
      <sz val="11"/>
      <color indexed="8"/>
      <name val="Calibri"/>
      <family val="2"/>
      <charset val="238"/>
      <scheme val="minor"/>
    </font>
    <font>
      <sz val="10"/>
      <color indexed="8"/>
      <name val="Calibri"/>
      <family val="2"/>
      <charset val="238"/>
      <scheme val="minor"/>
    </font>
    <font>
      <b/>
      <sz val="10"/>
      <color theme="9"/>
      <name val="Calibri"/>
      <family val="2"/>
      <charset val="238"/>
    </font>
    <font>
      <sz val="11"/>
      <color theme="1"/>
      <name val="Calibri"/>
      <family val="2"/>
      <charset val="238"/>
    </font>
    <font>
      <b/>
      <sz val="11"/>
      <color theme="1"/>
      <name val="Calibri"/>
      <family val="2"/>
      <charset val="238"/>
    </font>
    <font>
      <b/>
      <sz val="10"/>
      <color theme="1"/>
      <name val="Calibri"/>
      <family val="2"/>
      <charset val="238"/>
    </font>
    <font>
      <sz val="9"/>
      <name val="Calibri"/>
      <family val="2"/>
      <charset val="238"/>
    </font>
    <font>
      <sz val="11"/>
      <name val="Calibri"/>
      <family val="2"/>
      <charset val="238"/>
      <scheme val="minor"/>
    </font>
    <font>
      <sz val="10"/>
      <name val="Calibri"/>
      <family val="2"/>
      <charset val="238"/>
      <scheme val="minor"/>
    </font>
    <font>
      <sz val="11"/>
      <name val="Calibri"/>
      <family val="2"/>
      <charset val="238"/>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sz val="11"/>
      <color theme="0"/>
      <name val="Calibri"/>
      <family val="2"/>
      <charset val="238"/>
      <scheme val="minor"/>
    </font>
    <font>
      <sz val="11"/>
      <color theme="1"/>
      <name val="Arial Narrow"/>
      <family val="2"/>
      <charset val="238"/>
    </font>
    <font>
      <sz val="10"/>
      <color rgb="FF000000"/>
      <name val="Arial"/>
      <family val="2"/>
      <charset val="238"/>
    </font>
    <font>
      <sz val="9"/>
      <color theme="1"/>
      <name val="Arial"/>
      <family val="2"/>
      <charset val="238"/>
    </font>
    <font>
      <sz val="10"/>
      <name val="Arial CE"/>
      <charset val="238"/>
    </font>
    <font>
      <sz val="10"/>
      <name val="Times New Roman CE"/>
      <charset val="238"/>
    </font>
    <font>
      <sz val="9"/>
      <name val="Arial CE"/>
      <charset val="238"/>
    </font>
    <font>
      <sz val="9"/>
      <name val="Helv"/>
    </font>
    <font>
      <sz val="10"/>
      <name val="Arial"/>
      <family val="2"/>
      <charset val="238"/>
    </font>
    <font>
      <sz val="10"/>
      <name val="Courier"/>
      <family val="3"/>
    </font>
    <font>
      <sz val="8"/>
      <name val="Tms Rmn"/>
    </font>
    <font>
      <sz val="9"/>
      <name val="Courier"/>
      <family val="3"/>
    </font>
    <font>
      <sz val="10"/>
      <name val="Dutch"/>
    </font>
    <font>
      <sz val="10"/>
      <name val="MS Sans Serif"/>
      <family val="2"/>
      <charset val="238"/>
    </font>
    <font>
      <sz val="11"/>
      <color indexed="8"/>
      <name val="Calibri"/>
      <family val="2"/>
      <charset val="238"/>
    </font>
    <font>
      <sz val="11"/>
      <color indexed="9"/>
      <name val="Czcionka tekstu podstawowego"/>
      <family val="2"/>
      <charset val="238"/>
    </font>
    <font>
      <sz val="11"/>
      <color theme="0"/>
      <name val="Czcionka tekstu podstawowego"/>
      <family val="2"/>
      <charset val="238"/>
    </font>
    <font>
      <b/>
      <sz val="12"/>
      <name val="Arial"/>
      <family val="2"/>
      <charset val="238"/>
    </font>
    <font>
      <sz val="11"/>
      <color indexed="62"/>
      <name val="Czcionka tekstu podstawowego"/>
      <family val="2"/>
      <charset val="238"/>
    </font>
    <font>
      <sz val="11"/>
      <color rgb="FF3F3F76"/>
      <name val="Czcionka tekstu podstawowego"/>
      <family val="2"/>
      <charset val="238"/>
    </font>
    <font>
      <b/>
      <sz val="11"/>
      <color indexed="63"/>
      <name val="Czcionka tekstu podstawowego"/>
      <family val="2"/>
      <charset val="238"/>
    </font>
    <font>
      <b/>
      <sz val="11"/>
      <color rgb="FF3F3F3F"/>
      <name val="Czcionka tekstu podstawowego"/>
      <family val="2"/>
      <charset val="238"/>
    </font>
    <font>
      <sz val="11"/>
      <color rgb="FF3F3F3F"/>
      <name val="Czcionka tekstu podstawowego"/>
      <family val="2"/>
      <charset val="238"/>
    </font>
    <font>
      <sz val="11"/>
      <color indexed="17"/>
      <name val="Czcionka tekstu podstawowego"/>
      <family val="2"/>
      <charset val="238"/>
    </font>
    <font>
      <sz val="11"/>
      <color rgb="FF006100"/>
      <name val="Czcionka tekstu podstawowego"/>
      <family val="2"/>
      <charset val="238"/>
    </font>
    <font>
      <i/>
      <sz val="10"/>
      <name val="Arial"/>
      <family val="2"/>
      <charset val="238"/>
    </font>
    <font>
      <sz val="10"/>
      <color theme="1"/>
      <name val="Tahoma"/>
      <family val="2"/>
      <charset val="238"/>
    </font>
    <font>
      <sz val="10"/>
      <name val="Arial"/>
      <family val="2"/>
    </font>
    <font>
      <sz val="11"/>
      <color theme="1"/>
      <name val="Czcionka tekstu podstawowego"/>
      <family val="2"/>
    </font>
    <font>
      <sz val="12"/>
      <name val="Tms Rmn"/>
    </font>
    <font>
      <i/>
      <sz val="10"/>
      <name val="Times New Roman"/>
      <family val="1"/>
      <charset val="238"/>
    </font>
    <font>
      <b/>
      <sz val="8"/>
      <color indexed="18"/>
      <name val="PL Arial"/>
      <charset val="238"/>
    </font>
    <font>
      <sz val="8"/>
      <name val="Arial"/>
      <family val="2"/>
    </font>
    <font>
      <b/>
      <sz val="12"/>
      <color indexed="10"/>
      <name val="Arial"/>
      <family val="2"/>
      <charset val="238"/>
    </font>
    <font>
      <b/>
      <sz val="12"/>
      <name val="Arial"/>
      <family val="2"/>
    </font>
    <font>
      <b/>
      <sz val="18"/>
      <name val="Helv"/>
    </font>
    <font>
      <b/>
      <sz val="12"/>
      <name val="Helv"/>
    </font>
    <font>
      <b/>
      <sz val="12"/>
      <name val="Geneva"/>
      <family val="2"/>
    </font>
    <font>
      <u/>
      <sz val="12"/>
      <name val="Geneva"/>
      <family val="2"/>
    </font>
    <font>
      <b/>
      <sz val="10"/>
      <name val="Helv"/>
    </font>
    <font>
      <u/>
      <sz val="7"/>
      <color indexed="12"/>
      <name val="Arial"/>
      <family val="2"/>
      <charset val="238"/>
    </font>
    <font>
      <sz val="8"/>
      <name val="Geneva"/>
      <family val="2"/>
    </font>
    <font>
      <u/>
      <sz val="10"/>
      <color indexed="12"/>
      <name val="Arial"/>
      <family val="2"/>
      <charset val="238"/>
    </font>
    <font>
      <sz val="10"/>
      <name val="Arial CE"/>
    </font>
    <font>
      <sz val="10"/>
      <name val="AA Normal"/>
    </font>
    <font>
      <sz val="10"/>
      <name val="Geneva"/>
      <family val="2"/>
    </font>
    <font>
      <sz val="11"/>
      <color indexed="52"/>
      <name val="Czcionka tekstu podstawowego"/>
      <family val="2"/>
      <charset val="238"/>
    </font>
    <font>
      <sz val="11"/>
      <color rgb="FFFA7D00"/>
      <name val="Czcionka tekstu podstawowego"/>
      <family val="2"/>
      <charset val="238"/>
    </font>
    <font>
      <b/>
      <sz val="11"/>
      <color indexed="8"/>
      <name val="Czcionka tekstu podstawowego"/>
      <family val="2"/>
      <charset val="238"/>
    </font>
    <font>
      <b/>
      <sz val="11"/>
      <color indexed="9"/>
      <name val="Czcionka tekstu podstawowego"/>
      <family val="2"/>
      <charset val="238"/>
    </font>
    <font>
      <b/>
      <sz val="11"/>
      <color theme="0"/>
      <name val="Czcionka tekstu podstawowego"/>
      <family val="2"/>
      <charset val="238"/>
    </font>
    <font>
      <sz val="8"/>
      <name val="Courier"/>
      <family val="3"/>
    </font>
    <font>
      <sz val="8"/>
      <name val="Swiss"/>
      <charset val="238"/>
    </font>
    <font>
      <sz val="11"/>
      <name val="Arial"/>
      <family val="2"/>
      <charset val="238"/>
    </font>
    <font>
      <b/>
      <sz val="15"/>
      <color indexed="62"/>
      <name val="Czcionka tekstu podstawowego"/>
      <family val="2"/>
      <charset val="238"/>
    </font>
    <font>
      <b/>
      <sz val="15"/>
      <color indexed="56"/>
      <name val="Czcionka tekstu podstawowego"/>
      <family val="2"/>
      <charset val="238"/>
    </font>
    <font>
      <b/>
      <sz val="15"/>
      <color theme="3"/>
      <name val="Czcionka tekstu podstawowego"/>
      <family val="2"/>
      <charset val="238"/>
    </font>
    <font>
      <sz val="11"/>
      <color theme="3"/>
      <name val="Czcionka tekstu podstawowego"/>
      <family val="2"/>
      <charset val="238"/>
    </font>
    <font>
      <b/>
      <sz val="13"/>
      <color indexed="62"/>
      <name val="Czcionka tekstu podstawowego"/>
      <family val="2"/>
      <charset val="238"/>
    </font>
    <font>
      <b/>
      <sz val="13"/>
      <color indexed="56"/>
      <name val="Czcionka tekstu podstawowego"/>
      <family val="2"/>
      <charset val="238"/>
    </font>
    <font>
      <b/>
      <sz val="13"/>
      <color theme="3"/>
      <name val="Czcionka tekstu podstawowego"/>
      <family val="2"/>
      <charset val="238"/>
    </font>
    <font>
      <b/>
      <sz val="11"/>
      <color indexed="62"/>
      <name val="Czcionka tekstu podstawowego"/>
      <family val="2"/>
      <charset val="238"/>
    </font>
    <font>
      <b/>
      <sz val="11"/>
      <color indexed="56"/>
      <name val="Czcionka tekstu podstawowego"/>
      <family val="2"/>
      <charset val="238"/>
    </font>
    <font>
      <b/>
      <sz val="11"/>
      <color theme="3"/>
      <name val="Czcionka tekstu podstawowego"/>
      <family val="2"/>
      <charset val="238"/>
    </font>
    <font>
      <sz val="11"/>
      <color indexed="60"/>
      <name val="Czcionka tekstu podstawowego"/>
      <family val="2"/>
      <charset val="238"/>
    </font>
    <font>
      <sz val="11"/>
      <color rgb="FF9C6500"/>
      <name val="Czcionka tekstu podstawowego"/>
      <family val="2"/>
      <charset val="238"/>
    </font>
    <font>
      <sz val="10"/>
      <name val="Times New Roman"/>
      <family val="1"/>
      <charset val="238"/>
    </font>
    <font>
      <sz val="9"/>
      <color indexed="0"/>
      <name val="Arial"/>
      <family val="2"/>
      <charset val="238"/>
    </font>
    <font>
      <sz val="11"/>
      <color theme="1"/>
      <name val="Calibri"/>
      <family val="2"/>
      <scheme val="minor"/>
    </font>
    <font>
      <sz val="11"/>
      <color theme="1"/>
      <name val="Tahoma"/>
      <family val="2"/>
      <charset val="238"/>
    </font>
    <font>
      <sz val="11"/>
      <color theme="1"/>
      <name val="Cambria"/>
      <family val="2"/>
      <charset val="238"/>
      <scheme val="major"/>
    </font>
    <font>
      <sz val="8"/>
      <name val="Times New Roman"/>
      <family val="1"/>
      <charset val="238"/>
    </font>
    <font>
      <b/>
      <sz val="8"/>
      <name val="Times New Roman"/>
      <family val="1"/>
      <charset val="238"/>
    </font>
    <font>
      <b/>
      <sz val="11"/>
      <color indexed="52"/>
      <name val="Czcionka tekstu podstawowego"/>
      <family val="2"/>
      <charset val="238"/>
    </font>
    <font>
      <b/>
      <sz val="11"/>
      <color rgb="FFFA7D00"/>
      <name val="Czcionka tekstu podstawowego"/>
      <family val="2"/>
      <charset val="238"/>
    </font>
    <font>
      <sz val="8"/>
      <name val="Helv"/>
    </font>
    <font>
      <sz val="11"/>
      <color indexed="8"/>
      <name val="Times New Roman"/>
      <family val="1"/>
      <charset val="238"/>
    </font>
    <font>
      <b/>
      <i/>
      <sz val="11"/>
      <color indexed="8"/>
      <name val="Times New Roman"/>
      <family val="1"/>
      <charset val="238"/>
    </font>
    <font>
      <b/>
      <sz val="11"/>
      <color indexed="16"/>
      <name val="Times New Roman"/>
      <family val="1"/>
      <charset val="238"/>
    </font>
    <font>
      <b/>
      <sz val="22"/>
      <color indexed="8"/>
      <name val="Times New Roman"/>
      <family val="1"/>
      <charset val="238"/>
    </font>
    <font>
      <sz val="10"/>
      <name val="Lohit Hindi"/>
      <family val="2"/>
    </font>
    <font>
      <sz val="10"/>
      <name val="Tms Rmn PL"/>
      <family val="1"/>
    </font>
    <font>
      <sz val="12"/>
      <color theme="1"/>
      <name val="Calibri"/>
      <family val="2"/>
      <scheme val="minor"/>
    </font>
    <font>
      <b/>
      <sz val="10"/>
      <color indexed="8"/>
      <name val="Arial"/>
      <family val="2"/>
    </font>
    <font>
      <b/>
      <sz val="10"/>
      <color indexed="39"/>
      <name val="Arial"/>
      <family val="2"/>
    </font>
    <font>
      <sz val="10"/>
      <color indexed="8"/>
      <name val="Arial"/>
      <family val="2"/>
    </font>
    <font>
      <b/>
      <sz val="12"/>
      <color indexed="8"/>
      <name val="Arial"/>
      <family val="2"/>
      <charset val="238"/>
    </font>
    <font>
      <sz val="10"/>
      <color indexed="8"/>
      <name val="Arial"/>
      <family val="2"/>
      <charset val="238"/>
    </font>
    <font>
      <sz val="10"/>
      <color indexed="39"/>
      <name val="Arial"/>
      <family val="2"/>
    </font>
    <font>
      <sz val="19"/>
      <color indexed="48"/>
      <name val="Arial"/>
      <family val="2"/>
      <charset val="238"/>
    </font>
    <font>
      <sz val="10"/>
      <color indexed="10"/>
      <name val="Arial"/>
      <family val="2"/>
    </font>
    <font>
      <sz val="10"/>
      <name val="Helv"/>
      <charset val="204"/>
    </font>
    <font>
      <b/>
      <sz val="8"/>
      <name val="Tms Rmn"/>
    </font>
    <font>
      <b/>
      <sz val="11"/>
      <color theme="1"/>
      <name val="Czcionka tekstu podstawowego"/>
      <family val="2"/>
      <charset val="238"/>
    </font>
    <font>
      <i/>
      <sz val="11"/>
      <color indexed="23"/>
      <name val="Czcionka tekstu podstawowego"/>
      <family val="2"/>
      <charset val="238"/>
    </font>
    <font>
      <i/>
      <sz val="11"/>
      <color rgb="FF7F7F7F"/>
      <name val="Czcionka tekstu podstawowego"/>
      <family val="2"/>
      <charset val="238"/>
    </font>
    <font>
      <sz val="11"/>
      <color rgb="FF7F7F7F"/>
      <name val="Czcionka tekstu podstawowego"/>
      <family val="2"/>
      <charset val="238"/>
    </font>
    <font>
      <sz val="11"/>
      <color indexed="11"/>
      <name val="Czcionka tekstu podstawowego"/>
      <family val="2"/>
      <charset val="238"/>
    </font>
    <font>
      <sz val="11"/>
      <color indexed="10"/>
      <name val="Czcionka tekstu podstawowego"/>
      <family val="2"/>
      <charset val="238"/>
    </font>
    <font>
      <sz val="11"/>
      <color rgb="FFFF0000"/>
      <name val="Czcionka tekstu podstawowego"/>
      <family val="2"/>
      <charset val="238"/>
    </font>
    <font>
      <b/>
      <sz val="18"/>
      <color indexed="62"/>
      <name val="Cambria"/>
      <family val="2"/>
      <charset val="238"/>
    </font>
    <font>
      <b/>
      <sz val="18"/>
      <color indexed="56"/>
      <name val="Cambria"/>
      <family val="2"/>
      <charset val="238"/>
    </font>
    <font>
      <sz val="11"/>
      <color theme="3"/>
      <name val="Cambria"/>
      <family val="2"/>
      <charset val="238"/>
      <scheme val="major"/>
    </font>
    <font>
      <sz val="18"/>
      <color theme="3"/>
      <name val="Cambria"/>
      <family val="2"/>
      <charset val="238"/>
      <scheme val="major"/>
    </font>
    <font>
      <b/>
      <sz val="9"/>
      <color indexed="12"/>
      <name val="Arial"/>
      <family val="2"/>
      <charset val="238"/>
    </font>
    <font>
      <sz val="11"/>
      <color indexed="20"/>
      <name val="Czcionka tekstu podstawowego"/>
      <family val="2"/>
      <charset val="238"/>
    </font>
    <font>
      <sz val="11"/>
      <color rgb="FF9C0006"/>
      <name val="Czcionka tekstu podstawowego"/>
      <family val="2"/>
      <charset val="238"/>
    </font>
    <font>
      <b/>
      <sz val="11"/>
      <name val="Calibri"/>
      <family val="2"/>
      <charset val="238"/>
    </font>
    <font>
      <i/>
      <sz val="11"/>
      <name val="Calibri"/>
      <family val="2"/>
      <charset val="238"/>
      <scheme val="minor"/>
    </font>
    <font>
      <sz val="10"/>
      <color rgb="FF000000"/>
      <name val="Calibri"/>
      <family val="2"/>
      <charset val="238"/>
      <scheme val="minor"/>
    </font>
    <font>
      <vertAlign val="superscript"/>
      <sz val="10"/>
      <color theme="1"/>
      <name val="Calibri"/>
      <family val="2"/>
      <charset val="238"/>
      <scheme val="minor"/>
    </font>
    <font>
      <vertAlign val="superscript"/>
      <sz val="9"/>
      <name val="Calibri"/>
      <family val="2"/>
      <charset val="238"/>
    </font>
    <font>
      <sz val="10"/>
      <color theme="1"/>
      <name val="Calibri"/>
      <family val="2"/>
      <charset val="238"/>
    </font>
    <font>
      <sz val="10"/>
      <color rgb="FF000000"/>
      <name val="Arial Narrow"/>
      <family val="2"/>
      <charset val="238"/>
    </font>
    <font>
      <b/>
      <vertAlign val="superscript"/>
      <sz val="11"/>
      <color theme="0"/>
      <name val="Calibri"/>
      <family val="2"/>
      <charset val="238"/>
      <scheme val="minor"/>
    </font>
    <font>
      <b/>
      <sz val="11"/>
      <name val="Calibri"/>
      <family val="2"/>
      <charset val="238"/>
      <scheme val="minor"/>
    </font>
    <font>
      <sz val="9"/>
      <color theme="1"/>
      <name val="Czcionka tekstu podstawowego"/>
      <family val="2"/>
      <charset val="238"/>
    </font>
    <font>
      <sz val="11"/>
      <color rgb="FF000000"/>
      <name val="Calibri"/>
      <family val="2"/>
      <charset val="238"/>
      <scheme val="minor"/>
    </font>
    <font>
      <b/>
      <vertAlign val="superscript"/>
      <sz val="11"/>
      <color rgb="FF000000"/>
      <name val="Calibri"/>
      <family val="2"/>
      <charset val="238"/>
      <scheme val="minor"/>
    </font>
    <font>
      <b/>
      <sz val="12"/>
      <name val="Calibri"/>
      <family val="2"/>
      <charset val="238"/>
      <scheme val="minor"/>
    </font>
    <font>
      <b/>
      <vertAlign val="superscript"/>
      <sz val="11"/>
      <color theme="1"/>
      <name val="Calibri"/>
      <family val="2"/>
      <charset val="238"/>
      <scheme val="minor"/>
    </font>
    <font>
      <b/>
      <sz val="11"/>
      <color theme="0" tint="-0.34998626667073579"/>
      <name val="Calibri"/>
      <family val="2"/>
      <charset val="238"/>
      <scheme val="minor"/>
    </font>
    <font>
      <b/>
      <sz val="11"/>
      <color indexed="8"/>
      <name val="Calibri"/>
      <family val="2"/>
      <charset val="238"/>
    </font>
    <font>
      <b/>
      <vertAlign val="superscript"/>
      <sz val="11"/>
      <name val="Calibri"/>
      <family val="2"/>
      <charset val="238"/>
      <scheme val="minor"/>
    </font>
    <font>
      <sz val="11"/>
      <name val="Czcionka tekstu podstawowego"/>
      <family val="2"/>
      <charset val="238"/>
    </font>
    <font>
      <i/>
      <sz val="10"/>
      <color theme="1"/>
      <name val="Calibri"/>
      <family val="2"/>
      <charset val="238"/>
    </font>
    <font>
      <b/>
      <sz val="11"/>
      <color theme="0"/>
      <name val="Calibri"/>
      <family val="2"/>
      <charset val="238"/>
    </font>
    <font>
      <b/>
      <sz val="10"/>
      <color theme="0"/>
      <name val="Calibri"/>
      <family val="2"/>
      <charset val="238"/>
    </font>
    <font>
      <b/>
      <vertAlign val="superscript"/>
      <sz val="10"/>
      <color theme="0"/>
      <name val="Calibri"/>
      <family val="2"/>
      <charset val="238"/>
    </font>
    <font>
      <b/>
      <sz val="10"/>
      <color theme="0"/>
      <name val="Calibri"/>
      <family val="2"/>
      <charset val="238"/>
      <scheme val="minor"/>
    </font>
    <font>
      <b/>
      <vertAlign val="superscript"/>
      <sz val="11"/>
      <color theme="0"/>
      <name val="Calibri"/>
      <family val="2"/>
      <charset val="238"/>
    </font>
    <font>
      <sz val="9"/>
      <color theme="1"/>
      <name val="Calibri"/>
      <family val="2"/>
      <charset val="238"/>
    </font>
    <font>
      <i/>
      <sz val="10"/>
      <color theme="0"/>
      <name val="Calibri"/>
      <family val="2"/>
      <charset val="238"/>
      <scheme val="minor"/>
    </font>
    <font>
      <sz val="10"/>
      <color theme="0"/>
      <name val="Calibri"/>
      <family val="2"/>
      <charset val="238"/>
      <scheme val="minor"/>
    </font>
    <font>
      <b/>
      <i/>
      <sz val="10"/>
      <color theme="0"/>
      <name val="Calibri"/>
      <family val="2"/>
      <charset val="238"/>
      <scheme val="minor"/>
    </font>
    <font>
      <b/>
      <vertAlign val="superscript"/>
      <sz val="10"/>
      <color theme="0"/>
      <name val="Calibri"/>
      <family val="2"/>
      <charset val="238"/>
      <scheme val="minor"/>
    </font>
    <font>
      <b/>
      <sz val="12"/>
      <color theme="0"/>
      <name val="Calibri"/>
      <family val="2"/>
      <charset val="238"/>
      <scheme val="minor"/>
    </font>
    <font>
      <sz val="12"/>
      <color indexed="8"/>
      <name val="Calibri"/>
      <family val="2"/>
      <charset val="238"/>
    </font>
    <font>
      <b/>
      <sz val="12"/>
      <color indexed="8"/>
      <name val="Calibri"/>
      <family val="2"/>
      <charset val="238"/>
    </font>
    <font>
      <b/>
      <sz val="10"/>
      <name val="Calibri"/>
      <family val="2"/>
      <charset val="238"/>
      <scheme val="minor"/>
    </font>
    <font>
      <b/>
      <vertAlign val="superscript"/>
      <sz val="10"/>
      <name val="Calibri"/>
      <family val="2"/>
      <charset val="238"/>
      <scheme val="minor"/>
    </font>
    <font>
      <sz val="9"/>
      <color rgb="FF2E83BF"/>
      <name val="Calibri"/>
      <family val="2"/>
      <charset val="238"/>
      <scheme val="minor"/>
    </font>
    <font>
      <sz val="9"/>
      <color rgb="FF2E83BF"/>
      <name val="Calibri"/>
      <family val="2"/>
      <charset val="238"/>
    </font>
    <font>
      <b/>
      <sz val="9"/>
      <color theme="1"/>
      <name val="Calibri"/>
      <family val="2"/>
      <charset val="238"/>
    </font>
    <font>
      <i/>
      <sz val="9"/>
      <color theme="1"/>
      <name val="Calibri"/>
      <family val="2"/>
      <charset val="238"/>
    </font>
    <font>
      <sz val="10"/>
      <color theme="0"/>
      <name val="Calibri"/>
      <family val="2"/>
      <charset val="238"/>
    </font>
    <font>
      <b/>
      <sz val="12"/>
      <color rgb="FF2E83BF"/>
      <name val="Calibri"/>
      <family val="2"/>
      <charset val="238"/>
      <scheme val="minor"/>
    </font>
    <font>
      <sz val="11"/>
      <color theme="0" tint="-0.34998626667073579"/>
      <name val="Calibri"/>
      <family val="2"/>
      <charset val="238"/>
    </font>
    <font>
      <b/>
      <sz val="11"/>
      <color theme="0" tint="-0.34998626667073579"/>
      <name val="Calibri"/>
      <family val="2"/>
      <charset val="238"/>
    </font>
    <font>
      <b/>
      <sz val="12"/>
      <color theme="0"/>
      <name val="Calibri"/>
      <family val="2"/>
      <charset val="238"/>
    </font>
    <font>
      <b/>
      <sz val="12"/>
      <color theme="9"/>
      <name val="Calibri"/>
      <family val="2"/>
      <charset val="238"/>
    </font>
    <font>
      <i/>
      <sz val="10"/>
      <color theme="0"/>
      <name val="Calibri"/>
      <family val="2"/>
      <charset val="238"/>
    </font>
    <font>
      <i/>
      <vertAlign val="superscript"/>
      <sz val="10"/>
      <color theme="0"/>
      <name val="Calibri"/>
      <family val="2"/>
      <charset val="238"/>
    </font>
    <font>
      <i/>
      <sz val="9"/>
      <color indexed="8"/>
      <name val="Calibri"/>
      <family val="2"/>
      <charset val="238"/>
    </font>
    <font>
      <i/>
      <vertAlign val="superscript"/>
      <sz val="9"/>
      <color indexed="8"/>
      <name val="Calibri"/>
      <family val="2"/>
      <charset val="238"/>
    </font>
    <font>
      <sz val="9"/>
      <color rgb="FF000000"/>
      <name val="Arial"/>
      <family val="2"/>
      <charset val="238"/>
    </font>
    <font>
      <sz val="9"/>
      <color theme="0"/>
      <name val="Calibri"/>
      <family val="2"/>
      <charset val="238"/>
      <scheme val="minor"/>
    </font>
    <font>
      <sz val="9"/>
      <color rgb="FF0070C0"/>
      <name val="Calibri"/>
      <family val="2"/>
      <charset val="238"/>
    </font>
    <font>
      <b/>
      <sz val="9"/>
      <color indexed="8"/>
      <name val="Calibri"/>
      <family val="2"/>
      <charset val="238"/>
    </font>
    <font>
      <vertAlign val="superscript"/>
      <sz val="9"/>
      <name val="Calibri"/>
      <family val="2"/>
      <charset val="238"/>
      <scheme val="minor"/>
    </font>
    <font>
      <strike/>
      <sz val="9"/>
      <name val="Calibri"/>
      <family val="2"/>
      <charset val="238"/>
    </font>
    <font>
      <vertAlign val="superscript"/>
      <sz val="11"/>
      <color rgb="FF000000"/>
      <name val="Calibri"/>
      <family val="2"/>
      <charset val="238"/>
      <scheme val="minor"/>
    </font>
    <font>
      <sz val="11"/>
      <color rgb="FF172B4D"/>
      <name val="Segoe UI"/>
      <family val="2"/>
      <charset val="238"/>
    </font>
    <font>
      <i/>
      <sz val="10"/>
      <name val="Calibri"/>
      <family val="2"/>
      <charset val="238"/>
    </font>
    <font>
      <sz val="9"/>
      <color rgb="FF000000"/>
      <name val="Calibri"/>
      <family val="2"/>
      <charset val="238"/>
    </font>
    <font>
      <i/>
      <sz val="9"/>
      <color rgb="FF000000"/>
      <name val="Calibri"/>
      <family val="2"/>
      <charset val="238"/>
    </font>
    <font>
      <sz val="10"/>
      <color rgb="FF000000"/>
      <name val="Calibri"/>
      <family val="2"/>
      <charset val="238"/>
    </font>
    <font>
      <i/>
      <sz val="10"/>
      <color rgb="FF000000"/>
      <name val="Calibri"/>
      <family val="2"/>
      <charset val="238"/>
    </font>
    <font>
      <sz val="9"/>
      <name val="Arial"/>
      <family val="2"/>
      <charset val="238"/>
    </font>
    <font>
      <sz val="10"/>
      <color rgb="FFFF0000"/>
      <name val="Czcionka tekstu podstawowego"/>
      <family val="2"/>
      <charset val="238"/>
    </font>
    <font>
      <b/>
      <sz val="22"/>
      <color indexed="8"/>
      <name val="Calibri"/>
      <family val="2"/>
      <charset val="238"/>
    </font>
    <font>
      <i/>
      <sz val="10"/>
      <name val="Calibri"/>
      <family val="2"/>
      <charset val="238"/>
      <scheme val="minor"/>
    </font>
  </fonts>
  <fills count="89">
    <fill>
      <patternFill patternType="none"/>
    </fill>
    <fill>
      <patternFill patternType="gray125"/>
    </fill>
    <fill>
      <patternFill patternType="solid">
        <fgColor theme="0"/>
        <bgColor indexed="64"/>
      </patternFill>
    </fill>
    <fill>
      <patternFill patternType="mediumGray">
        <fgColor theme="0" tint="-0.14996795556505021"/>
        <bgColor theme="0" tint="-4.9989318521683403E-2"/>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8"/>
      </patternFill>
    </fill>
    <fill>
      <patternFill patternType="solid">
        <fgColor indexed="47"/>
      </patternFill>
    </fill>
    <fill>
      <patternFill patternType="solid">
        <fgColor indexed="26"/>
      </patternFill>
    </fill>
    <fill>
      <patternFill patternType="solid">
        <fgColor indexed="10"/>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9"/>
        <bgColor indexed="64"/>
      </patternFill>
    </fill>
    <fill>
      <patternFill patternType="solid">
        <fgColor indexed="62"/>
      </patternFill>
    </fill>
    <fill>
      <patternFill patternType="solid">
        <fgColor indexed="57"/>
      </patternFill>
    </fill>
    <fill>
      <patternFill patternType="solid">
        <fgColor indexed="54"/>
      </patternFill>
    </fill>
    <fill>
      <patternFill patternType="solid">
        <fgColor indexed="53"/>
      </patternFill>
    </fill>
    <fill>
      <patternFill patternType="solid">
        <fgColor indexed="22"/>
      </patternFill>
    </fill>
    <fill>
      <patternFill patternType="mediumGray">
        <fgColor indexed="22"/>
      </patternFill>
    </fill>
    <fill>
      <patternFill patternType="solid">
        <fgColor indexed="22"/>
        <bgColor indexed="64"/>
      </patternFill>
    </fill>
    <fill>
      <patternFill patternType="solid">
        <fgColor indexed="26"/>
        <bgColor indexed="64"/>
      </patternFill>
    </fill>
    <fill>
      <patternFill patternType="solid">
        <fgColor indexed="55"/>
      </patternFill>
    </fill>
    <fill>
      <patternFill patternType="gray0625">
        <fgColor indexed="22"/>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solid">
        <fgColor indexed="15"/>
      </patternFill>
    </fill>
    <fill>
      <patternFill patternType="solid">
        <fgColor rgb="FF2E83BF"/>
        <bgColor indexed="64"/>
      </patternFill>
    </fill>
    <fill>
      <patternFill patternType="mediumGray">
        <fgColor theme="0" tint="-0.14996795556505021"/>
        <bgColor rgb="FF2E83BF"/>
      </patternFill>
    </fill>
    <fill>
      <patternFill patternType="mediumGray">
        <fgColor rgb="FF03ACE5"/>
      </patternFill>
    </fill>
    <fill>
      <patternFill patternType="solid">
        <fgColor indexed="65"/>
        <bgColor rgb="FF03ACE5"/>
      </patternFill>
    </fill>
    <fill>
      <patternFill patternType="lightGray">
        <fgColor rgb="FF03ACE5"/>
        <bgColor rgb="FF2E83BF"/>
      </patternFill>
    </fill>
    <fill>
      <patternFill patternType="lightGray">
        <fgColor rgb="FF03ACE5"/>
      </patternFill>
    </fill>
    <fill>
      <patternFill patternType="solid">
        <fgColor rgb="FF1082BF"/>
        <bgColor indexed="64"/>
      </patternFill>
    </fill>
    <fill>
      <patternFill patternType="lightGray">
        <fgColor rgb="FF03ACE5"/>
        <bgColor rgb="FF1082BF"/>
      </patternFill>
    </fill>
    <fill>
      <patternFill patternType="mediumGray">
        <fgColor rgb="FF03ACE5"/>
        <bgColor rgb="FF03ACE5"/>
      </patternFill>
    </fill>
    <fill>
      <patternFill patternType="lightGray">
        <fgColor theme="0" tint="-0.14996795556505021"/>
        <bgColor rgb="FF03ACE5"/>
      </patternFill>
    </fill>
    <fill>
      <patternFill patternType="gray125">
        <fgColor rgb="FF03ACE5"/>
      </patternFill>
    </fill>
    <fill>
      <patternFill patternType="solid">
        <fgColor rgb="FF00B0F0"/>
        <bgColor indexed="64"/>
      </patternFill>
    </fill>
    <fill>
      <patternFill patternType="gray125">
        <fgColor theme="0" tint="-0.14996795556505021"/>
        <bgColor rgb="FF03ACE5"/>
      </patternFill>
    </fill>
    <fill>
      <patternFill patternType="gray125">
        <fgColor rgb="FF03ACE5"/>
        <bgColor rgb="FF2E83BF"/>
      </patternFill>
    </fill>
  </fills>
  <borders count="147">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hair">
        <color indexed="64"/>
      </bottom>
      <diagonal/>
    </border>
    <border>
      <left/>
      <right/>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10"/>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top/>
      <bottom/>
      <diagonal/>
    </border>
    <border>
      <left/>
      <right/>
      <top style="thin">
        <color indexed="49"/>
      </top>
      <bottom style="double">
        <color indexed="49"/>
      </bottom>
      <diagonal/>
    </border>
    <border>
      <left/>
      <right/>
      <top style="thin">
        <color indexed="62"/>
      </top>
      <bottom style="double">
        <color indexed="62"/>
      </bottom>
      <diagonal/>
    </border>
    <border>
      <left style="thin">
        <color indexed="10"/>
      </left>
      <right style="thin">
        <color indexed="10"/>
      </right>
      <top style="thin">
        <color indexed="10"/>
      </top>
      <bottom style="thin">
        <color indexed="10"/>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rgb="FF2E83BF"/>
      </top>
      <bottom style="medium">
        <color rgb="FF2E83BF"/>
      </bottom>
      <diagonal/>
    </border>
    <border>
      <left style="medium">
        <color indexed="64"/>
      </left>
      <right/>
      <top style="medium">
        <color rgb="FF2E83BF"/>
      </top>
      <bottom style="medium">
        <color rgb="FF2E83BF"/>
      </bottom>
      <diagonal/>
    </border>
    <border>
      <left/>
      <right/>
      <top style="medium">
        <color rgb="FF2E83BF"/>
      </top>
      <bottom style="medium">
        <color rgb="FF2E83BF"/>
      </bottom>
      <diagonal/>
    </border>
    <border>
      <left/>
      <right style="medium">
        <color indexed="64"/>
      </right>
      <top style="medium">
        <color rgb="FF2E83BF"/>
      </top>
      <bottom style="medium">
        <color rgb="FF2E83BF"/>
      </bottom>
      <diagonal/>
    </border>
    <border>
      <left style="medium">
        <color indexed="64"/>
      </left>
      <right/>
      <top style="medium">
        <color rgb="FF2E83BF"/>
      </top>
      <bottom/>
      <diagonal/>
    </border>
    <border>
      <left/>
      <right/>
      <top style="medium">
        <color rgb="FF2E83BF"/>
      </top>
      <bottom/>
      <diagonal/>
    </border>
    <border>
      <left/>
      <right style="medium">
        <color indexed="64"/>
      </right>
      <top style="medium">
        <color rgb="FF2E83BF"/>
      </top>
      <bottom/>
      <diagonal/>
    </border>
    <border>
      <left style="medium">
        <color indexed="64"/>
      </left>
      <right/>
      <top style="medium">
        <color rgb="FF1082BF"/>
      </top>
      <bottom style="medium">
        <color rgb="FF2E83BF"/>
      </bottom>
      <diagonal/>
    </border>
    <border>
      <left/>
      <right/>
      <top style="medium">
        <color rgb="FF1082BF"/>
      </top>
      <bottom style="medium">
        <color rgb="FF2E83BF"/>
      </bottom>
      <diagonal/>
    </border>
    <border>
      <left/>
      <right style="medium">
        <color indexed="64"/>
      </right>
      <top style="medium">
        <color rgb="FF1082BF"/>
      </top>
      <bottom style="medium">
        <color rgb="FF2E83BF"/>
      </bottom>
      <diagonal/>
    </border>
    <border>
      <left style="medium">
        <color indexed="64"/>
      </left>
      <right style="medium">
        <color indexed="64"/>
      </right>
      <top style="medium">
        <color rgb="FF03ACE5"/>
      </top>
      <bottom style="medium">
        <color rgb="FF03ACE5"/>
      </bottom>
      <diagonal/>
    </border>
    <border>
      <left style="medium">
        <color indexed="64"/>
      </left>
      <right/>
      <top style="medium">
        <color rgb="FF03ACE5"/>
      </top>
      <bottom style="medium">
        <color rgb="FF03ACE5"/>
      </bottom>
      <diagonal/>
    </border>
    <border>
      <left/>
      <right/>
      <top style="medium">
        <color rgb="FF03ACE5"/>
      </top>
      <bottom style="medium">
        <color rgb="FF03ACE5"/>
      </bottom>
      <diagonal/>
    </border>
    <border>
      <left/>
      <right style="medium">
        <color indexed="64"/>
      </right>
      <top style="medium">
        <color rgb="FF03ACE5"/>
      </top>
      <bottom style="medium">
        <color rgb="FF03ACE5"/>
      </bottom>
      <diagonal/>
    </border>
    <border>
      <left/>
      <right/>
      <top/>
      <bottom style="thin">
        <color theme="0"/>
      </bottom>
      <diagonal/>
    </border>
    <border>
      <left/>
      <right/>
      <top style="thin">
        <color theme="0"/>
      </top>
      <bottom style="thin">
        <color theme="0"/>
      </bottom>
      <diagonal/>
    </border>
    <border>
      <left/>
      <right/>
      <top style="thin">
        <color theme="0"/>
      </top>
      <bottom/>
      <diagonal/>
    </border>
    <border>
      <left/>
      <right/>
      <top/>
      <bottom style="medium">
        <color rgb="FF03ACE5"/>
      </bottom>
      <diagonal/>
    </border>
    <border>
      <left/>
      <right style="medium">
        <color indexed="64"/>
      </right>
      <top/>
      <bottom style="medium">
        <color rgb="FF03ACE5"/>
      </bottom>
      <diagonal/>
    </border>
    <border>
      <left/>
      <right/>
      <top/>
      <bottom style="thin">
        <color rgb="FF03ACE5"/>
      </bottom>
      <diagonal/>
    </border>
    <border>
      <left style="medium">
        <color indexed="64"/>
      </left>
      <right/>
      <top/>
      <bottom style="thin">
        <color theme="0"/>
      </bottom>
      <diagonal/>
    </border>
    <border>
      <left style="medium">
        <color indexed="64"/>
      </left>
      <right style="medium">
        <color indexed="64"/>
      </right>
      <top/>
      <bottom style="thin">
        <color theme="0"/>
      </bottom>
      <diagonal/>
    </border>
    <border>
      <left/>
      <right style="medium">
        <color indexed="64"/>
      </right>
      <top/>
      <bottom style="thin">
        <color theme="0"/>
      </bottom>
      <diagonal/>
    </border>
    <border>
      <left style="medium">
        <color indexed="64"/>
      </left>
      <right/>
      <top style="thin">
        <color theme="0"/>
      </top>
      <bottom style="thin">
        <color theme="0"/>
      </bottom>
      <diagonal/>
    </border>
    <border>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right style="medium">
        <color indexed="64"/>
      </right>
      <top style="thin">
        <color theme="0"/>
      </top>
      <bottom/>
      <diagonal/>
    </border>
    <border>
      <left/>
      <right/>
      <top style="thin">
        <color rgb="FF2E83BF"/>
      </top>
      <bottom/>
      <diagonal/>
    </border>
    <border>
      <left/>
      <right/>
      <top style="thin">
        <color rgb="FF2E83BF"/>
      </top>
      <bottom style="thin">
        <color theme="0"/>
      </bottom>
      <diagonal/>
    </border>
    <border>
      <left/>
      <right/>
      <top style="thin">
        <color theme="0"/>
      </top>
      <bottom style="thin">
        <color rgb="FF2E83BF"/>
      </bottom>
      <diagonal/>
    </border>
    <border>
      <left/>
      <right/>
      <top/>
      <bottom style="thin">
        <color rgb="FF2E83BF"/>
      </bottom>
      <diagonal/>
    </border>
    <border>
      <left style="medium">
        <color indexed="64"/>
      </left>
      <right/>
      <top style="thin">
        <color theme="0"/>
      </top>
      <bottom/>
      <diagonal/>
    </border>
    <border>
      <left/>
      <right/>
      <top/>
      <bottom style="thin">
        <color rgb="FF1082BF"/>
      </bottom>
      <diagonal/>
    </border>
    <border>
      <left style="medium">
        <color indexed="64"/>
      </left>
      <right style="medium">
        <color indexed="64"/>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diagonal/>
    </border>
    <border>
      <left/>
      <right style="medium">
        <color rgb="FF03ACE5"/>
      </right>
      <top style="thin">
        <color theme="0"/>
      </top>
      <bottom/>
      <diagonal/>
    </border>
    <border>
      <left style="medium">
        <color indexed="64"/>
      </left>
      <right style="medium">
        <color rgb="FF03ACE5"/>
      </right>
      <top/>
      <bottom style="medium">
        <color rgb="FF03ACE5"/>
      </bottom>
      <diagonal/>
    </border>
    <border>
      <left style="medium">
        <color indexed="64"/>
      </left>
      <right style="medium">
        <color rgb="FF03ACE5"/>
      </right>
      <top/>
      <bottom/>
      <diagonal/>
    </border>
    <border>
      <left style="medium">
        <color indexed="64"/>
      </left>
      <right style="medium">
        <color rgb="FF03ACE5"/>
      </right>
      <top style="medium">
        <color rgb="FF03ACE5"/>
      </top>
      <bottom style="medium">
        <color rgb="FF03ACE5"/>
      </bottom>
      <diagonal/>
    </border>
    <border>
      <left/>
      <right style="medium">
        <color rgb="FF03ACE5"/>
      </right>
      <top/>
      <bottom/>
      <diagonal/>
    </border>
    <border>
      <left style="medium">
        <color rgb="FF03ACE5"/>
      </left>
      <right style="medium">
        <color rgb="FF03ACE5"/>
      </right>
      <top/>
      <bottom style="medium">
        <color rgb="FF03ACE5"/>
      </bottom>
      <diagonal/>
    </border>
    <border>
      <left style="medium">
        <color rgb="FF03ACE5"/>
      </left>
      <right/>
      <top style="thin">
        <color theme="0"/>
      </top>
      <bottom/>
      <diagonal/>
    </border>
    <border>
      <left style="medium">
        <color rgb="FF03ACE5"/>
      </left>
      <right/>
      <top/>
      <bottom style="medium">
        <color rgb="FF03ACE5"/>
      </bottom>
      <diagonal/>
    </border>
    <border>
      <left/>
      <right style="medium">
        <color rgb="FF03ACE5"/>
      </right>
      <top/>
      <bottom style="medium">
        <color rgb="FF03ACE5"/>
      </bottom>
      <diagonal/>
    </border>
    <border>
      <left style="medium">
        <color rgb="FF03ACE5"/>
      </left>
      <right/>
      <top/>
      <bottom/>
      <diagonal/>
    </border>
    <border>
      <left style="medium">
        <color rgb="FF03ACE5"/>
      </left>
      <right/>
      <top style="medium">
        <color rgb="FF03ACE5"/>
      </top>
      <bottom style="medium">
        <color rgb="FF03ACE5"/>
      </bottom>
      <diagonal/>
    </border>
    <border>
      <left/>
      <right style="medium">
        <color rgb="FF03ACE5"/>
      </right>
      <top style="medium">
        <color rgb="FF03ACE5"/>
      </top>
      <bottom style="medium">
        <color rgb="FF03ACE5"/>
      </bottom>
      <diagonal/>
    </border>
    <border>
      <left style="medium">
        <color rgb="FF03ACE5"/>
      </left>
      <right style="medium">
        <color rgb="FF03ACE5"/>
      </right>
      <top/>
      <bottom/>
      <diagonal/>
    </border>
    <border>
      <left style="medium">
        <color rgb="FF03ACE5"/>
      </left>
      <right style="medium">
        <color rgb="FF03ACE5"/>
      </right>
      <top style="medium">
        <color rgb="FF03ACE5"/>
      </top>
      <bottom style="medium">
        <color rgb="FF03ACE5"/>
      </bottom>
      <diagonal/>
    </border>
    <border>
      <left style="medium">
        <color rgb="FF0070C0"/>
      </left>
      <right style="medium">
        <color rgb="FF0070C0"/>
      </right>
      <top/>
      <bottom/>
      <diagonal/>
    </border>
    <border>
      <left style="medium">
        <color rgb="FF0070C0"/>
      </left>
      <right/>
      <top/>
      <bottom/>
      <diagonal/>
    </border>
    <border>
      <left/>
      <right style="medium">
        <color rgb="FF0070C0"/>
      </right>
      <top/>
      <bottom/>
      <diagonal/>
    </border>
    <border>
      <left/>
      <right style="medium">
        <color rgb="FF2E83BF"/>
      </right>
      <top/>
      <bottom/>
      <diagonal/>
    </border>
    <border>
      <left style="medium">
        <color rgb="FF2E83BF"/>
      </left>
      <right/>
      <top/>
      <bottom/>
      <diagonal/>
    </border>
    <border>
      <left style="medium">
        <color rgb="FF0070C0"/>
      </left>
      <right style="medium">
        <color rgb="FF0070C0"/>
      </right>
      <top/>
      <bottom style="medium">
        <color rgb="FF2E83BF"/>
      </bottom>
      <diagonal/>
    </border>
    <border>
      <left/>
      <right/>
      <top/>
      <bottom style="medium">
        <color rgb="FF2E83BF"/>
      </bottom>
      <diagonal/>
    </border>
    <border>
      <left style="medium">
        <color rgb="FF0070C0"/>
      </left>
      <right/>
      <top/>
      <bottom style="medium">
        <color rgb="FF2E83BF"/>
      </bottom>
      <diagonal/>
    </border>
    <border>
      <left style="medium">
        <color rgb="FF2E83BF"/>
      </left>
      <right/>
      <top/>
      <bottom style="medium">
        <color rgb="FF2E83BF"/>
      </bottom>
      <diagonal/>
    </border>
    <border>
      <left style="medium">
        <color rgb="FF0070C0"/>
      </left>
      <right style="medium">
        <color rgb="FF0070C0"/>
      </right>
      <top/>
      <bottom style="medium">
        <color rgb="FF0070C0"/>
      </bottom>
      <diagonal/>
    </border>
    <border>
      <left/>
      <right/>
      <top/>
      <bottom style="medium">
        <color rgb="FF0070C0"/>
      </bottom>
      <diagonal/>
    </border>
    <border>
      <left style="medium">
        <color rgb="FF0070C0"/>
      </left>
      <right/>
      <top/>
      <bottom style="medium">
        <color rgb="FF0070C0"/>
      </bottom>
      <diagonal/>
    </border>
    <border>
      <left style="medium">
        <color rgb="FF2E83BF"/>
      </left>
      <right/>
      <top/>
      <bottom style="medium">
        <color rgb="FF0070C0"/>
      </bottom>
      <diagonal/>
    </border>
    <border>
      <left style="medium">
        <color rgb="FF03ACE5"/>
      </left>
      <right/>
      <top style="thin">
        <color theme="0"/>
      </top>
      <bottom style="thin">
        <color theme="0"/>
      </bottom>
      <diagonal/>
    </border>
    <border>
      <left/>
      <right style="medium">
        <color rgb="FF03ACE5"/>
      </right>
      <top style="thin">
        <color theme="0"/>
      </top>
      <bottom style="thin">
        <color theme="0"/>
      </bottom>
      <diagonal/>
    </border>
    <border>
      <left style="medium">
        <color rgb="FF03ACE5"/>
      </left>
      <right/>
      <top style="thin">
        <color indexed="64"/>
      </top>
      <bottom/>
      <diagonal/>
    </border>
    <border>
      <left/>
      <right style="medium">
        <color rgb="FF03ACE5"/>
      </right>
      <top style="thin">
        <color indexed="64"/>
      </top>
      <bottom/>
      <diagonal/>
    </border>
    <border>
      <left style="medium">
        <color rgb="FF03ACE5"/>
      </left>
      <right style="medium">
        <color rgb="FF03ACE5"/>
      </right>
      <top/>
      <bottom style="thin">
        <color theme="0"/>
      </bottom>
      <diagonal/>
    </border>
    <border>
      <left style="medium">
        <color rgb="FF03ACE5"/>
      </left>
      <right style="medium">
        <color rgb="FF03ACE5"/>
      </right>
      <top style="thin">
        <color indexed="64"/>
      </top>
      <bottom/>
      <diagonal/>
    </border>
    <border>
      <left/>
      <right style="medium">
        <color rgb="FF0070C0"/>
      </right>
      <top/>
      <bottom style="medium">
        <color rgb="FF0070C0"/>
      </bottom>
      <diagonal/>
    </border>
    <border>
      <left/>
      <right style="medium">
        <color rgb="FF0070C0"/>
      </right>
      <top/>
      <bottom style="medium">
        <color rgb="FF2E83BF"/>
      </bottom>
      <diagonal/>
    </border>
    <border>
      <left/>
      <right/>
      <top/>
      <bottom style="medium">
        <color rgb="FF000000"/>
      </bottom>
      <diagonal/>
    </border>
    <border>
      <left/>
      <right style="medium">
        <color indexed="64"/>
      </right>
      <top/>
      <bottom style="medium">
        <color rgb="FF000000"/>
      </bottom>
      <diagonal/>
    </border>
    <border>
      <left style="medium">
        <color indexed="64"/>
      </left>
      <right style="medium">
        <color indexed="64"/>
      </right>
      <top style="thin">
        <color rgb="FF03ACE5"/>
      </top>
      <bottom style="thin">
        <color rgb="FF03ACE5"/>
      </bottom>
      <diagonal/>
    </border>
    <border>
      <left style="medium">
        <color indexed="64"/>
      </left>
      <right/>
      <top style="thin">
        <color rgb="FF03ACE5"/>
      </top>
      <bottom style="thin">
        <color rgb="FF03ACE5"/>
      </bottom>
      <diagonal/>
    </border>
    <border>
      <left/>
      <right/>
      <top style="thin">
        <color rgb="FF03ACE5"/>
      </top>
      <bottom style="thin">
        <color rgb="FF03ACE5"/>
      </bottom>
      <diagonal/>
    </border>
    <border>
      <left/>
      <right style="medium">
        <color indexed="64"/>
      </right>
      <top style="thin">
        <color rgb="FF03ACE5"/>
      </top>
      <bottom style="thin">
        <color rgb="FF03ACE5"/>
      </bottom>
      <diagonal/>
    </border>
    <border>
      <left/>
      <right style="medium">
        <color rgb="FF03ACE5"/>
      </right>
      <top style="medium">
        <color rgb="FF03ACE5"/>
      </top>
      <bottom/>
      <diagonal/>
    </border>
    <border>
      <left/>
      <right/>
      <top style="medium">
        <color rgb="FF03ACE5"/>
      </top>
      <bottom/>
      <diagonal/>
    </border>
    <border>
      <left style="medium">
        <color indexed="64"/>
      </left>
      <right style="medium">
        <color indexed="64"/>
      </right>
      <top style="medium">
        <color theme="0"/>
      </top>
      <bottom/>
      <diagonal/>
    </border>
    <border>
      <left style="medium">
        <color indexed="64"/>
      </left>
      <right/>
      <top style="medium">
        <color theme="0"/>
      </top>
      <bottom/>
      <diagonal/>
    </border>
    <border>
      <left/>
      <right/>
      <top style="medium">
        <color theme="0"/>
      </top>
      <bottom/>
      <diagonal/>
    </border>
    <border>
      <left/>
      <right style="medium">
        <color indexed="64"/>
      </right>
      <top style="medium">
        <color theme="0"/>
      </top>
      <bottom/>
      <diagonal/>
    </border>
    <border>
      <left style="thin">
        <color rgb="FF03ACE5"/>
      </left>
      <right/>
      <top style="thin">
        <color theme="0"/>
      </top>
      <bottom style="thin">
        <color theme="0"/>
      </bottom>
      <diagonal/>
    </border>
    <border>
      <left/>
      <right style="thin">
        <color rgb="FF03ACE5"/>
      </right>
      <top style="thin">
        <color theme="0"/>
      </top>
      <bottom style="thin">
        <color theme="0"/>
      </bottom>
      <diagonal/>
    </border>
    <border>
      <left style="thin">
        <color rgb="FF03ACE5"/>
      </left>
      <right/>
      <top style="thin">
        <color theme="0"/>
      </top>
      <bottom/>
      <diagonal/>
    </border>
    <border>
      <left/>
      <right style="thin">
        <color rgb="FF03ACE5"/>
      </right>
      <top style="thin">
        <color theme="0"/>
      </top>
      <bottom/>
      <diagonal/>
    </border>
    <border>
      <left style="thin">
        <color rgb="FF03ACE5"/>
      </left>
      <right/>
      <top style="thin">
        <color rgb="FF03ACE5"/>
      </top>
      <bottom style="thin">
        <color rgb="FF03ACE5"/>
      </bottom>
      <diagonal/>
    </border>
    <border>
      <left/>
      <right style="thin">
        <color rgb="FF03ACE5"/>
      </right>
      <top style="thin">
        <color rgb="FF03ACE5"/>
      </top>
      <bottom style="thin">
        <color rgb="FF03ACE5"/>
      </bottom>
      <diagonal/>
    </border>
    <border>
      <left style="thin">
        <color rgb="FF03ACE5"/>
      </left>
      <right/>
      <top/>
      <bottom/>
      <diagonal/>
    </border>
    <border>
      <left/>
      <right style="thin">
        <color rgb="FF03ACE5"/>
      </right>
      <top/>
      <bottom/>
      <diagonal/>
    </border>
    <border>
      <left style="thin">
        <color rgb="FF03ACE5"/>
      </left>
      <right/>
      <top style="medium">
        <color theme="0"/>
      </top>
      <bottom/>
      <diagonal/>
    </border>
    <border>
      <left/>
      <right style="thin">
        <color rgb="FF03ACE5"/>
      </right>
      <top style="medium">
        <color theme="0"/>
      </top>
      <bottom/>
      <diagonal/>
    </border>
  </borders>
  <cellStyleXfs count="42856">
    <xf numFmtId="0" fontId="0" fillId="0" borderId="0"/>
    <xf numFmtId="166" fontId="7" fillId="0" borderId="0" applyFont="0" applyFill="0" applyBorder="0" applyAlignment="0" applyProtection="0"/>
    <xf numFmtId="9" fontId="5" fillId="0" borderId="0" applyFont="0" applyFill="0" applyBorder="0" applyAlignment="0" applyProtection="0"/>
    <xf numFmtId="178" fontId="11" fillId="0" borderId="0"/>
    <xf numFmtId="178" fontId="11" fillId="0" borderId="0"/>
    <xf numFmtId="178" fontId="11" fillId="0" borderId="0"/>
    <xf numFmtId="9" fontId="11" fillId="0" borderId="0" applyFont="0" applyFill="0" applyBorder="0" applyAlignment="0" applyProtection="0"/>
    <xf numFmtId="9" fontId="11" fillId="0" borderId="0" applyFont="0" applyFill="0" applyBorder="0" applyAlignment="0" applyProtection="0"/>
    <xf numFmtId="166" fontId="5" fillId="0" borderId="0" applyFont="0" applyFill="0" applyBorder="0" applyAlignment="0" applyProtection="0"/>
    <xf numFmtId="0" fontId="63" fillId="0" borderId="0"/>
    <xf numFmtId="164" fontId="63" fillId="0" borderId="0" applyFont="0" applyFill="0" applyBorder="0" applyAlignment="0" applyProtection="0"/>
    <xf numFmtId="187" fontId="11" fillId="0" borderId="0"/>
    <xf numFmtId="0" fontId="64" fillId="0" borderId="0"/>
    <xf numFmtId="0" fontId="64" fillId="0" borderId="0"/>
    <xf numFmtId="0" fontId="64" fillId="0" borderId="0"/>
    <xf numFmtId="187" fontId="11" fillId="0" borderId="0"/>
    <xf numFmtId="0" fontId="4" fillId="0" borderId="0"/>
    <xf numFmtId="164" fontId="4" fillId="0" borderId="0" applyFont="0" applyFill="0" applyBorder="0" applyAlignment="0" applyProtection="0"/>
    <xf numFmtId="0" fontId="66" fillId="0" borderId="0"/>
    <xf numFmtId="0" fontId="4" fillId="0" borderId="0"/>
    <xf numFmtId="0" fontId="11" fillId="0" borderId="0"/>
    <xf numFmtId="0" fontId="67" fillId="0" borderId="0"/>
    <xf numFmtId="0" fontId="68" fillId="0" borderId="0"/>
    <xf numFmtId="168" fontId="69" fillId="0" borderId="0"/>
    <xf numFmtId="189" fontId="70" fillId="0" borderId="0" applyFont="0" applyFill="0" applyBorder="0" applyAlignment="0" applyProtection="0"/>
    <xf numFmtId="0" fontId="71" fillId="0" borderId="0">
      <alignment vertical="center"/>
    </xf>
    <xf numFmtId="1" fontId="69" fillId="0" borderId="0"/>
    <xf numFmtId="167" fontId="72" fillId="0" borderId="0"/>
    <xf numFmtId="2" fontId="69" fillId="0" borderId="0"/>
    <xf numFmtId="1" fontId="72" fillId="0" borderId="0"/>
    <xf numFmtId="1" fontId="73" fillId="0" borderId="0"/>
    <xf numFmtId="1" fontId="73" fillId="0" borderId="0"/>
    <xf numFmtId="1" fontId="73" fillId="0" borderId="0"/>
    <xf numFmtId="1" fontId="73" fillId="0" borderId="0"/>
    <xf numFmtId="190" fontId="74" fillId="0" borderId="0" applyFont="0" applyFill="0" applyBorder="0" applyAlignment="0" applyProtection="0"/>
    <xf numFmtId="38" fontId="75" fillId="0" borderId="0" applyFont="0" applyFill="0" applyBorder="0" applyAlignment="0" applyProtection="0"/>
    <xf numFmtId="0" fontId="76" fillId="35" borderId="0" applyNumberFormat="0" applyBorder="0" applyAlignment="0" applyProtection="0"/>
    <xf numFmtId="0" fontId="76" fillId="36" borderId="0" applyNumberFormat="0" applyBorder="0" applyAlignment="0" applyProtection="0"/>
    <xf numFmtId="0" fontId="76" fillId="37" borderId="0" applyNumberFormat="0" applyBorder="0" applyAlignment="0" applyProtection="0"/>
    <xf numFmtId="0" fontId="76" fillId="38" borderId="0" applyNumberFormat="0" applyBorder="0" applyAlignment="0" applyProtection="0"/>
    <xf numFmtId="0" fontId="76" fillId="39"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77" fillId="40"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187"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12" borderId="0" applyNumberFormat="0" applyBorder="0" applyAlignment="0" applyProtection="0"/>
    <xf numFmtId="0" fontId="77" fillId="40"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187"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16" borderId="0" applyNumberFormat="0" applyBorder="0" applyAlignment="0" applyProtection="0"/>
    <xf numFmtId="0" fontId="77" fillId="41"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187"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77" fillId="42" borderId="0" applyNumberFormat="0" applyBorder="0" applyAlignment="0" applyProtection="0"/>
    <xf numFmtId="0" fontId="11" fillId="20" borderId="0" applyNumberFormat="0" applyBorder="0" applyAlignment="0" applyProtection="0"/>
    <xf numFmtId="0" fontId="77" fillId="42"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187"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77" fillId="40" borderId="0" applyNumberFormat="0" applyBorder="0" applyAlignment="0" applyProtection="0"/>
    <xf numFmtId="0" fontId="11" fillId="24" borderId="0" applyNumberFormat="0" applyBorder="0" applyAlignment="0" applyProtection="0"/>
    <xf numFmtId="0" fontId="77" fillId="4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187"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77" fillId="39" borderId="0" applyNumberFormat="0" applyBorder="0" applyAlignment="0" applyProtection="0"/>
    <xf numFmtId="0" fontId="11" fillId="28" borderId="0" applyNumberFormat="0" applyBorder="0" applyAlignment="0" applyProtection="0"/>
    <xf numFmtId="0" fontId="77" fillId="39"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187"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2" borderId="0" applyNumberFormat="0" applyBorder="0" applyAlignment="0" applyProtection="0"/>
    <xf numFmtId="0" fontId="77" fillId="4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87"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13" borderId="0" applyNumberFormat="0" applyBorder="0" applyAlignment="0" applyProtection="0"/>
    <xf numFmtId="0" fontId="77" fillId="4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87"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11" fillId="17" borderId="0" applyNumberFormat="0" applyBorder="0" applyAlignment="0" applyProtection="0"/>
    <xf numFmtId="0" fontId="77" fillId="45"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87"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77" fillId="46" borderId="0" applyNumberFormat="0" applyBorder="0" applyAlignment="0" applyProtection="0"/>
    <xf numFmtId="0" fontId="11" fillId="21" borderId="0" applyNumberFormat="0" applyBorder="0" applyAlignment="0" applyProtection="0"/>
    <xf numFmtId="0" fontId="77" fillId="46"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87"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11" fillId="25" borderId="0" applyNumberFormat="0" applyBorder="0" applyAlignment="0" applyProtection="0"/>
    <xf numFmtId="0" fontId="77" fillId="43"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5" fillId="44"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87"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77" fillId="44" borderId="0" applyNumberFormat="0" applyBorder="0" applyAlignment="0" applyProtection="0"/>
    <xf numFmtId="0" fontId="11" fillId="29" borderId="0" applyNumberFormat="0" applyBorder="0" applyAlignment="0" applyProtection="0"/>
    <xf numFmtId="0" fontId="77" fillId="44"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5" fillId="48"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77" fillId="41" borderId="0" applyNumberFormat="0" applyBorder="0" applyAlignment="0" applyProtection="0"/>
    <xf numFmtId="0" fontId="11" fillId="33" borderId="0" applyNumberFormat="0" applyBorder="0" applyAlignment="0" applyProtection="0"/>
    <xf numFmtId="0" fontId="77" fillId="41"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11"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62"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8" fillId="14"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0" fontId="77" fillId="50" borderId="0" applyNumberFormat="0" applyBorder="0" applyAlignment="0" applyProtection="0"/>
    <xf numFmtId="187" fontId="5" fillId="49" borderId="0" applyNumberFormat="0" applyBorder="0" applyAlignment="0" applyProtection="0"/>
    <xf numFmtId="0" fontId="77" fillId="5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4" borderId="0" applyNumberFormat="0" applyBorder="0" applyAlignment="0" applyProtection="0"/>
    <xf numFmtId="0" fontId="5" fillId="49" borderId="0" applyNumberFormat="0" applyBorder="0" applyAlignment="0" applyProtection="0"/>
    <xf numFmtId="0" fontId="62"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0" fontId="78" fillId="14"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62"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8" fillId="18"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0" fontId="77" fillId="45" borderId="0" applyNumberFormat="0" applyBorder="0" applyAlignment="0" applyProtection="0"/>
    <xf numFmtId="187" fontId="5" fillId="45" borderId="0" applyNumberFormat="0" applyBorder="0" applyAlignment="0" applyProtection="0"/>
    <xf numFmtId="0" fontId="77"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187"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5" fillId="45" borderId="0" applyNumberFormat="0" applyBorder="0" applyAlignment="0" applyProtection="0"/>
    <xf numFmtId="0" fontId="78" fillId="18" borderId="0" applyNumberFormat="0" applyBorder="0" applyAlignment="0" applyProtection="0"/>
    <xf numFmtId="0" fontId="5" fillId="45" borderId="0" applyNumberFormat="0" applyBorder="0" applyAlignment="0" applyProtection="0"/>
    <xf numFmtId="0" fontId="62"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0" fontId="78" fillId="18"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62"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8" fillId="22"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0" fontId="77" fillId="47" borderId="0" applyNumberFormat="0" applyBorder="0" applyAlignment="0" applyProtection="0"/>
    <xf numFmtId="187" fontId="5" fillId="46" borderId="0" applyNumberFormat="0" applyBorder="0" applyAlignment="0" applyProtection="0"/>
    <xf numFmtId="0" fontId="77" fillId="47"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187"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5" fillId="46" borderId="0" applyNumberFormat="0" applyBorder="0" applyAlignment="0" applyProtection="0"/>
    <xf numFmtId="0" fontId="78" fillId="22" borderId="0" applyNumberFormat="0" applyBorder="0" applyAlignment="0" applyProtection="0"/>
    <xf numFmtId="0" fontId="5" fillId="46" borderId="0" applyNumberFormat="0" applyBorder="0" applyAlignment="0" applyProtection="0"/>
    <xf numFmtId="0" fontId="62"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0" fontId="78" fillId="22"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43" borderId="0" applyNumberFormat="0" applyBorder="0" applyAlignment="0" applyProtection="0"/>
    <xf numFmtId="0" fontId="77" fillId="51"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187"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5" fillId="43" borderId="0" applyNumberFormat="0" applyBorder="0" applyAlignment="0" applyProtection="0"/>
    <xf numFmtId="0" fontId="78" fillId="26" borderId="0" applyNumberFormat="0" applyBorder="0" applyAlignment="0" applyProtection="0"/>
    <xf numFmtId="0" fontId="5" fillId="43" borderId="0" applyNumberFormat="0" applyBorder="0" applyAlignment="0" applyProtection="0"/>
    <xf numFmtId="0" fontId="62"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0" fontId="78" fillId="26"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30"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30" borderId="0" applyNumberFormat="0" applyBorder="0" applyAlignment="0" applyProtection="0"/>
    <xf numFmtId="0" fontId="5" fillId="49" borderId="0" applyNumberFormat="0" applyBorder="0" applyAlignment="0" applyProtection="0"/>
    <xf numFmtId="0" fontId="62"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0" fontId="78" fillId="30"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62"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8" fillId="34"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0" fontId="77" fillId="52" borderId="0" applyNumberFormat="0" applyBorder="0" applyAlignment="0" applyProtection="0"/>
    <xf numFmtId="187" fontId="5" fillId="41" borderId="0" applyNumberFormat="0" applyBorder="0" applyAlignment="0" applyProtection="0"/>
    <xf numFmtId="0" fontId="77" fillId="52"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187"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78" fillId="34" borderId="0" applyNumberFormat="0" applyBorder="0" applyAlignment="0" applyProtection="0"/>
    <xf numFmtId="0" fontId="5" fillId="41" borderId="0" applyNumberFormat="0" applyBorder="0" applyAlignment="0" applyProtection="0"/>
    <xf numFmtId="0" fontId="62"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8" fillId="34" borderId="0" applyNumberFormat="0" applyBorder="0" applyAlignment="0" applyProtection="0"/>
    <xf numFmtId="0" fontId="79" fillId="53" borderId="0">
      <alignment horizontal="left" vertical="top"/>
    </xf>
    <xf numFmtId="191" fontId="75" fillId="0" borderId="0" applyFont="0" applyFill="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62"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8" fillId="11"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0" fontId="77" fillId="54" borderId="0" applyNumberFormat="0" applyBorder="0" applyAlignment="0" applyProtection="0"/>
    <xf numFmtId="187" fontId="5" fillId="49" borderId="0" applyNumberFormat="0" applyBorder="0" applyAlignment="0" applyProtection="0"/>
    <xf numFmtId="0" fontId="77" fillId="5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11" borderId="0" applyNumberFormat="0" applyBorder="0" applyAlignment="0" applyProtection="0"/>
    <xf numFmtId="0" fontId="5" fillId="49" borderId="0" applyNumberFormat="0" applyBorder="0" applyAlignment="0" applyProtection="0"/>
    <xf numFmtId="0" fontId="62"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0" fontId="78" fillId="11"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62"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8" fillId="15"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0" fontId="77" fillId="43" borderId="0" applyNumberFormat="0" applyBorder="0" applyAlignment="0" applyProtection="0"/>
    <xf numFmtId="187" fontId="5" fillId="47" borderId="0" applyNumberFormat="0" applyBorder="0" applyAlignment="0" applyProtection="0"/>
    <xf numFmtId="0" fontId="77" fillId="43"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187"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5" fillId="47" borderId="0" applyNumberFormat="0" applyBorder="0" applyAlignment="0" applyProtection="0"/>
    <xf numFmtId="0" fontId="78" fillId="15" borderId="0" applyNumberFormat="0" applyBorder="0" applyAlignment="0" applyProtection="0"/>
    <xf numFmtId="0" fontId="5" fillId="47" borderId="0" applyNumberFormat="0" applyBorder="0" applyAlignment="0" applyProtection="0"/>
    <xf numFmtId="0" fontId="62"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0" fontId="78" fillId="1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62"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8" fillId="19"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0" fontId="77" fillId="55" borderId="0" applyNumberFormat="0" applyBorder="0" applyAlignment="0" applyProtection="0"/>
    <xf numFmtId="187" fontId="5" fillId="55" borderId="0" applyNumberFormat="0" applyBorder="0" applyAlignment="0" applyProtection="0"/>
    <xf numFmtId="0" fontId="77"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187"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5" fillId="55" borderId="0" applyNumberFormat="0" applyBorder="0" applyAlignment="0" applyProtection="0"/>
    <xf numFmtId="0" fontId="78" fillId="19" borderId="0" applyNumberFormat="0" applyBorder="0" applyAlignment="0" applyProtection="0"/>
    <xf numFmtId="0" fontId="5" fillId="55" borderId="0" applyNumberFormat="0" applyBorder="0" applyAlignment="0" applyProtection="0"/>
    <xf numFmtId="0" fontId="62"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0" fontId="78" fillId="19"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62"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8" fillId="23"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187" fontId="5" fillId="56" borderId="0" applyNumberFormat="0" applyBorder="0" applyAlignment="0" applyProtection="0"/>
    <xf numFmtId="0" fontId="77" fillId="51"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187"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78" fillId="23" borderId="0" applyNumberFormat="0" applyBorder="0" applyAlignment="0" applyProtection="0"/>
    <xf numFmtId="0" fontId="5" fillId="56" borderId="0" applyNumberFormat="0" applyBorder="0" applyAlignment="0" applyProtection="0"/>
    <xf numFmtId="0" fontId="62"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0" fontId="78" fillId="23"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62"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8" fillId="27"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0" fontId="77" fillId="49" borderId="0" applyNumberFormat="0" applyBorder="0" applyAlignment="0" applyProtection="0"/>
    <xf numFmtId="187" fontId="5" fillId="49" borderId="0" applyNumberFormat="0" applyBorder="0" applyAlignment="0" applyProtection="0"/>
    <xf numFmtId="0" fontId="77"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187"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78" fillId="27" borderId="0" applyNumberFormat="0" applyBorder="0" applyAlignment="0" applyProtection="0"/>
    <xf numFmtId="0" fontId="5" fillId="49" borderId="0" applyNumberFormat="0" applyBorder="0" applyAlignment="0" applyProtection="0"/>
    <xf numFmtId="0" fontId="62"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0" fontId="78" fillId="2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62"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8" fillId="31"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0" fontId="77" fillId="57" borderId="0" applyNumberFormat="0" applyBorder="0" applyAlignment="0" applyProtection="0"/>
    <xf numFmtId="187" fontId="5" fillId="57" borderId="0" applyNumberFormat="0" applyBorder="0" applyAlignment="0" applyProtection="0"/>
    <xf numFmtId="0" fontId="77"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187"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78" fillId="31" borderId="0" applyNumberFormat="0" applyBorder="0" applyAlignment="0" applyProtection="0"/>
    <xf numFmtId="0" fontId="5" fillId="57" borderId="0" applyNumberFormat="0" applyBorder="0" applyAlignment="0" applyProtection="0"/>
    <xf numFmtId="0" fontId="62"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0" fontId="78" fillId="31" borderId="0" applyNumberFormat="0" applyBorder="0" applyAlignment="0" applyProtection="0"/>
    <xf numFmtId="192" fontId="66" fillId="0" borderId="0" applyFill="0" applyBorder="0" applyAlignment="0"/>
    <xf numFmtId="164" fontId="66" fillId="0" borderId="0" applyFont="0" applyFill="0" applyBorder="0" applyAlignment="0" applyProtection="0"/>
    <xf numFmtId="187"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5" fillId="7" borderId="23"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0" fillId="41" borderId="29" applyNumberFormat="0" applyAlignment="0" applyProtection="0"/>
    <xf numFmtId="187" fontId="80" fillId="41" borderId="29" applyNumberFormat="0" applyAlignment="0" applyProtection="0"/>
    <xf numFmtId="0"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187" fontId="80" fillId="41" borderId="29"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0" fillId="41" borderId="29" applyNumberFormat="0" applyAlignment="0" applyProtection="0"/>
    <xf numFmtId="0" fontId="80" fillId="41" borderId="29" applyNumberFormat="0" applyAlignment="0" applyProtection="0"/>
    <xf numFmtId="0" fontId="81" fillId="7" borderId="23" applyNumberFormat="0" applyAlignment="0" applyProtection="0"/>
    <xf numFmtId="0" fontId="5" fillId="0" borderId="0" applyNumberFormat="0" applyFont="0" applyFill="0" applyBorder="0" applyAlignment="0" applyProtection="0"/>
    <xf numFmtId="0" fontId="55" fillId="7" borderId="23" applyNumberFormat="0" applyAlignment="0" applyProtection="0"/>
    <xf numFmtId="0" fontId="81" fillId="7" borderId="23" applyNumberFormat="0" applyAlignment="0" applyProtection="0"/>
    <xf numFmtId="0" fontId="81" fillId="7" borderId="23" applyNumberFormat="0" applyAlignment="0" applyProtection="0"/>
    <xf numFmtId="0" fontId="81" fillId="7" borderId="23" applyNumberFormat="0" applyAlignment="0" applyProtection="0"/>
    <xf numFmtId="187" fontId="82" fillId="40"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6" fillId="8" borderId="24"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40"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40"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3" fillId="8" borderId="24" applyNumberFormat="0" applyAlignment="0" applyProtection="0"/>
    <xf numFmtId="0" fontId="84" fillId="0" borderId="24"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82" fillId="58" borderId="30" applyNumberFormat="0" applyAlignment="0" applyProtection="0"/>
    <xf numFmtId="0" fontId="82" fillId="58" borderId="30" applyNumberFormat="0" applyAlignment="0" applyProtection="0"/>
    <xf numFmtId="0" fontId="82" fillId="58" borderId="30" applyNumberFormat="0" applyAlignment="0" applyProtection="0"/>
    <xf numFmtId="187" fontId="82" fillId="40" borderId="30" applyNumberFormat="0" applyAlignment="0" applyProtection="0"/>
    <xf numFmtId="0" fontId="82" fillId="58"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0" applyNumberFormat="0" applyAlignment="0" applyProtection="0"/>
    <xf numFmtId="0" fontId="82" fillId="40" borderId="30" applyNumberFormat="0" applyAlignment="0" applyProtection="0"/>
    <xf numFmtId="0" fontId="83" fillId="8" borderId="24" applyNumberFormat="0" applyAlignment="0" applyProtection="0"/>
    <xf numFmtId="0" fontId="5" fillId="0" borderId="0" applyNumberFormat="0" applyFont="0" applyFill="0" applyBorder="0" applyAlignment="0" applyProtection="0"/>
    <xf numFmtId="187" fontId="82" fillId="40" borderId="30"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2" fillId="40" borderId="30" applyNumberFormat="0" applyAlignment="0" applyProtection="0"/>
    <xf numFmtId="0" fontId="82" fillId="40" borderId="30" applyNumberFormat="0" applyAlignment="0" applyProtection="0"/>
    <xf numFmtId="0" fontId="83" fillId="8" borderId="24" applyNumberFormat="0" applyAlignment="0" applyProtection="0"/>
    <xf numFmtId="0" fontId="5" fillId="0" borderId="0" applyNumberFormat="0" applyFont="0" applyFill="0" applyBorder="0" applyAlignment="0" applyProtection="0"/>
    <xf numFmtId="0" fontId="56" fillId="8" borderId="24" applyNumberFormat="0" applyAlignment="0" applyProtection="0"/>
    <xf numFmtId="0" fontId="83" fillId="8" borderId="24" applyNumberFormat="0" applyAlignment="0" applyProtection="0"/>
    <xf numFmtId="0" fontId="84" fillId="0" borderId="24" applyNumberFormat="0" applyFill="0" applyAlignment="0" applyProtection="0"/>
    <xf numFmtId="0" fontId="84" fillId="0" borderId="24" applyNumberFormat="0" applyFill="0" applyAlignment="0" applyProtection="0"/>
    <xf numFmtId="0" fontId="83" fillId="8" borderId="24" applyNumberFormat="0" applyAlignment="0" applyProtection="0"/>
    <xf numFmtId="0" fontId="84" fillId="0" borderId="24" applyNumberFormat="0" applyFill="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2" fillId="4"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187" fontId="85" fillId="37" borderId="0" applyNumberFormat="0" applyBorder="0" applyAlignment="0" applyProtection="0"/>
    <xf numFmtId="0"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187" fontId="85" fillId="37"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85" fillId="37" borderId="0" applyNumberFormat="0" applyBorder="0" applyAlignment="0" applyProtection="0"/>
    <xf numFmtId="0" fontId="85" fillId="37" borderId="0" applyNumberFormat="0" applyBorder="0" applyAlignment="0" applyProtection="0"/>
    <xf numFmtId="0" fontId="86" fillId="4" borderId="0" applyNumberFormat="0" applyBorder="0" applyAlignment="0" applyProtection="0"/>
    <xf numFmtId="0" fontId="5" fillId="0" borderId="0" applyNumberFormat="0" applyFont="0" applyFill="0" applyBorder="0" applyAlignment="0" applyProtection="0"/>
    <xf numFmtId="0" fontId="52" fillId="4" borderId="0" applyNumberFormat="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86" fillId="4" borderId="0" applyNumberFormat="0" applyBorder="0" applyAlignment="0" applyProtection="0"/>
    <xf numFmtId="0" fontId="86" fillId="0" borderId="0" applyNumberFormat="0" applyFill="0" applyBorder="0" applyAlignment="0" applyProtection="0"/>
    <xf numFmtId="193" fontId="87" fillId="0" borderId="0">
      <alignment horizontal="center"/>
    </xf>
    <xf numFmtId="194" fontId="70" fillId="0" borderId="0" applyFont="0" applyFill="0" applyBorder="0" applyAlignment="0" applyProtection="0"/>
    <xf numFmtId="195" fontId="70"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6"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8"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11" fillId="0" borderId="0" applyFont="0" applyFill="0" applyBorder="0" applyAlignment="0" applyProtection="0"/>
    <xf numFmtId="164" fontId="11"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88"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89" fillId="0" borderId="0" applyFont="0" applyFill="0" applyBorder="0" applyAlignment="0" applyProtection="0"/>
    <xf numFmtId="164" fontId="70" fillId="0" borderId="0" applyFont="0" applyFill="0" applyBorder="0" applyAlignment="0" applyProtection="0"/>
    <xf numFmtId="164" fontId="70" fillId="0" borderId="0" applyFont="0" applyFill="0" applyBorder="0" applyAlignment="0" applyProtection="0"/>
    <xf numFmtId="166" fontId="70" fillId="0" borderId="0" applyFont="0" applyFill="0" applyBorder="0" applyAlignment="0" applyProtection="0"/>
    <xf numFmtId="164" fontId="66"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67"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70" fillId="0" borderId="0" applyFont="0" applyFill="0" applyBorder="0" applyAlignment="0" applyProtection="0"/>
    <xf numFmtId="0" fontId="5" fillId="0" borderId="0" applyNumberFormat="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70" fillId="0" borderId="0" applyFont="0" applyFill="0" applyBorder="0" applyAlignment="0" applyProtection="0"/>
    <xf numFmtId="164" fontId="4" fillId="0" borderId="0" applyFont="0" applyFill="0" applyBorder="0" applyAlignment="0" applyProtection="0"/>
    <xf numFmtId="164" fontId="5" fillId="0" borderId="0" applyFont="0" applyFill="0" applyBorder="0" applyAlignment="0" applyProtection="0"/>
    <xf numFmtId="164" fontId="4" fillId="0" borderId="0" applyFont="0" applyFill="0" applyBorder="0" applyAlignment="0" applyProtection="0"/>
    <xf numFmtId="0" fontId="5" fillId="0" borderId="0" applyNumberFormat="0" applyFont="0" applyFill="0" applyBorder="0" applyAlignment="0" applyProtection="0"/>
    <xf numFmtId="166" fontId="70" fillId="0" borderId="0" applyFont="0" applyFill="0" applyBorder="0" applyAlignment="0" applyProtection="0"/>
    <xf numFmtId="164" fontId="70" fillId="0" borderId="0" applyFont="0" applyFill="0" applyBorder="0" applyAlignment="0" applyProtection="0"/>
    <xf numFmtId="164" fontId="42" fillId="0" borderId="0" applyFont="0" applyFill="0" applyBorder="0" applyAlignment="0" applyProtection="0"/>
    <xf numFmtId="164" fontId="42" fillId="0" borderId="0" applyFont="0" applyFill="0" applyBorder="0" applyAlignment="0" applyProtection="0"/>
    <xf numFmtId="164" fontId="11" fillId="0" borderId="0" applyFont="0" applyFill="0" applyBorder="0" applyAlignment="0" applyProtection="0"/>
    <xf numFmtId="164" fontId="4" fillId="0" borderId="0" applyFont="0" applyFill="0" applyBorder="0" applyAlignment="0" applyProtection="0"/>
    <xf numFmtId="164" fontId="90" fillId="0" borderId="0" applyFont="0" applyFill="0" applyBorder="0" applyAlignment="0" applyProtection="0"/>
    <xf numFmtId="0" fontId="91" fillId="0" borderId="0" applyNumberFormat="0" applyFill="0" applyBorder="0" applyAlignment="0" applyProtection="0"/>
    <xf numFmtId="187" fontId="70" fillId="0" borderId="0" applyFont="0" applyFill="0" applyBorder="0" applyAlignment="0" applyProtection="0"/>
    <xf numFmtId="178" fontId="66" fillId="0" borderId="0" applyFont="0" applyFill="0" applyBorder="0" applyAlignment="0" applyProtection="0"/>
    <xf numFmtId="178" fontId="70" fillId="0" borderId="0" applyFont="0" applyFill="0" applyBorder="0" applyAlignment="0" applyProtection="0"/>
    <xf numFmtId="0" fontId="70" fillId="0" borderId="0" applyFont="0" applyFill="0" applyBorder="0" applyAlignment="0" applyProtection="0"/>
    <xf numFmtId="178" fontId="70" fillId="0" borderId="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92" fillId="0" borderId="0" applyNumberFormat="0" applyFill="0" applyBorder="0" applyProtection="0">
      <alignment vertical="top"/>
    </xf>
    <xf numFmtId="3" fontId="93" fillId="59" borderId="0" applyNumberFormat="0" applyFont="0" applyBorder="0" applyAlignment="0">
      <protection hidden="1"/>
    </xf>
    <xf numFmtId="0" fontId="89" fillId="0" borderId="1">
      <alignment horizontal="center"/>
    </xf>
    <xf numFmtId="38" fontId="94" fillId="60" borderId="0" applyNumberFormat="0" applyBorder="0" applyAlignment="0" applyProtection="0"/>
    <xf numFmtId="3" fontId="95" fillId="0" borderId="0"/>
    <xf numFmtId="0" fontId="96" fillId="0" borderId="7" applyNumberFormat="0" applyAlignment="0" applyProtection="0">
      <alignment horizontal="left" vertical="center"/>
    </xf>
    <xf numFmtId="0" fontId="96" fillId="0" borderId="31">
      <alignment horizontal="left" vertical="center"/>
    </xf>
    <xf numFmtId="0" fontId="97" fillId="0" borderId="0"/>
    <xf numFmtId="0" fontId="98" fillId="0" borderId="0"/>
    <xf numFmtId="0" fontId="99" fillId="0" borderId="0"/>
    <xf numFmtId="0" fontId="100" fillId="0" borderId="0"/>
    <xf numFmtId="0" fontId="101" fillId="0" borderId="0"/>
    <xf numFmtId="187" fontId="102" fillId="0" borderId="0" applyNumberFormat="0" applyFill="0" applyBorder="0" applyAlignment="0" applyProtection="0">
      <alignment vertical="top"/>
      <protection locked="0"/>
    </xf>
    <xf numFmtId="196" fontId="103" fillId="0" borderId="0"/>
    <xf numFmtId="0" fontId="104" fillId="0" borderId="0" applyNumberFormat="0" applyFill="0" applyBorder="0" applyAlignment="0" applyProtection="0"/>
    <xf numFmtId="10" fontId="94" fillId="61" borderId="32" applyNumberFormat="0" applyBorder="0" applyAlignment="0" applyProtection="0"/>
    <xf numFmtId="42" fontId="105" fillId="0" borderId="0">
      <alignment horizontal="center"/>
    </xf>
    <xf numFmtId="197" fontId="106" fillId="0" borderId="0" applyFont="0" applyFill="0" applyBorder="0" applyAlignment="0" applyProtection="0"/>
    <xf numFmtId="198" fontId="72" fillId="0" borderId="0"/>
    <xf numFmtId="199" fontId="107" fillId="0" borderId="0"/>
    <xf numFmtId="200" fontId="103" fillId="0" borderId="0"/>
    <xf numFmtId="201" fontId="103" fillId="0" borderId="0"/>
    <xf numFmtId="187"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8" fillId="0" borderId="2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9" fillId="0" borderId="2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187" fontId="108" fillId="0" borderId="33" applyNumberFormat="0" applyFill="0" applyAlignment="0" applyProtection="0"/>
    <xf numFmtId="0"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25" applyNumberFormat="0" applyFill="0" applyAlignment="0" applyProtection="0"/>
    <xf numFmtId="0" fontId="5" fillId="0" borderId="0" applyNumberFormat="0" applyFont="0" applyFill="0" applyBorder="0" applyAlignment="0" applyProtection="0"/>
    <xf numFmtId="187" fontId="108" fillId="0" borderId="33"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08" fillId="0" borderId="33" applyNumberFormat="0" applyFill="0" applyAlignment="0" applyProtection="0"/>
    <xf numFmtId="0" fontId="108" fillId="0" borderId="33" applyNumberFormat="0" applyFill="0" applyAlignment="0" applyProtection="0"/>
    <xf numFmtId="0" fontId="109" fillId="0" borderId="25" applyNumberFormat="0" applyFill="0" applyAlignment="0" applyProtection="0"/>
    <xf numFmtId="0" fontId="5" fillId="0" borderId="0" applyNumberFormat="0" applyFont="0" applyFill="0" applyBorder="0" applyAlignment="0" applyProtection="0"/>
    <xf numFmtId="0" fontId="58"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0" fontId="109" fillId="0" borderId="25" applyNumberFormat="0" applyFill="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9" fillId="9" borderId="26"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2" fillId="9" borderId="26" applyNumberFormat="0" applyAlignment="0" applyProtection="0"/>
    <xf numFmtId="0" fontId="78" fillId="0" borderId="26" applyNumberFormat="0" applyFill="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1" fillId="62" borderId="34" applyNumberFormat="0" applyAlignment="0" applyProtection="0"/>
    <xf numFmtId="0" fontId="111" fillId="62" borderId="34" applyNumberFormat="0" applyAlignment="0" applyProtection="0"/>
    <xf numFmtId="187" fontId="110" fillId="62" borderId="34" applyNumberFormat="0" applyAlignment="0" applyProtection="0"/>
    <xf numFmtId="187" fontId="110" fillId="62" borderId="34" applyNumberFormat="0" applyAlignment="0" applyProtection="0"/>
    <xf numFmtId="0" fontId="111" fillId="62" borderId="34" applyNumberFormat="0" applyAlignment="0" applyProtection="0"/>
    <xf numFmtId="0" fontId="5" fillId="0" borderId="0" applyNumberFormat="0" applyFont="0" applyFill="0" applyBorder="0" applyAlignment="0" applyProtection="0"/>
    <xf numFmtId="0" fontId="111"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112" fillId="9" borderId="26" applyNumberFormat="0" applyAlignment="0" applyProtection="0"/>
    <xf numFmtId="0" fontId="5" fillId="0" borderId="0" applyNumberFormat="0" applyFont="0" applyFill="0" applyBorder="0" applyAlignment="0" applyProtection="0"/>
    <xf numFmtId="187" fontId="110" fillId="62" borderId="34" applyNumberFormat="0" applyAlignment="0" applyProtection="0"/>
    <xf numFmtId="187" fontId="110" fillId="62" borderId="34" applyNumberFormat="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0" fillId="62" borderId="34" applyNumberFormat="0" applyAlignment="0" applyProtection="0"/>
    <xf numFmtId="0" fontId="110" fillId="62" borderId="34" applyNumberFormat="0" applyAlignment="0" applyProtection="0"/>
    <xf numFmtId="0" fontId="112" fillId="9" borderId="26" applyNumberFormat="0" applyAlignment="0" applyProtection="0"/>
    <xf numFmtId="0" fontId="5" fillId="0" borderId="0" applyNumberFormat="0" applyFont="0" applyFill="0" applyBorder="0" applyAlignment="0" applyProtection="0"/>
    <xf numFmtId="0" fontId="59" fillId="9" borderId="26" applyNumberFormat="0" applyAlignment="0" applyProtection="0"/>
    <xf numFmtId="0" fontId="112" fillId="9" borderId="26" applyNumberFormat="0" applyAlignment="0" applyProtection="0"/>
    <xf numFmtId="0" fontId="78" fillId="0" borderId="26" applyNumberFormat="0" applyFill="0" applyAlignment="0" applyProtection="0"/>
    <xf numFmtId="0" fontId="78" fillId="0" borderId="26" applyNumberFormat="0" applyFill="0" applyAlignment="0" applyProtection="0"/>
    <xf numFmtId="0" fontId="112" fillId="9" borderId="26" applyNumberFormat="0" applyAlignment="0" applyProtection="0"/>
    <xf numFmtId="0" fontId="78" fillId="0" borderId="26" applyNumberFormat="0" applyFill="0" applyAlignment="0" applyProtection="0"/>
    <xf numFmtId="1" fontId="113" fillId="63" borderId="0"/>
    <xf numFmtId="202" fontId="66" fillId="0" borderId="0" applyFont="0" applyFill="0" applyBorder="0" applyAlignment="0" applyProtection="0"/>
    <xf numFmtId="193" fontId="114" fillId="0" borderId="0"/>
    <xf numFmtId="38" fontId="75" fillId="0" borderId="0" applyFont="0" applyFill="0" applyBorder="0" applyAlignment="0" applyProtection="0"/>
    <xf numFmtId="203" fontId="115" fillId="0" borderId="0" applyFont="0" applyFill="0" applyBorder="0" applyAlignment="0" applyProtection="0"/>
    <xf numFmtId="204" fontId="115" fillId="0" borderId="0" applyFont="0" applyFill="0" applyBorder="0" applyAlignment="0" applyProtection="0"/>
    <xf numFmtId="205" fontId="115" fillId="0" borderId="0" applyFont="0" applyFill="0" applyBorder="0" applyAlignment="0" applyProtection="0"/>
    <xf numFmtId="206" fontId="115" fillId="0" borderId="0" applyFont="0" applyFill="0" applyBorder="0" applyAlignment="0" applyProtection="0"/>
    <xf numFmtId="187" fontId="116" fillId="0" borderId="3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49" fillId="0" borderId="2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6" fillId="0" borderId="35" applyNumberFormat="0" applyFill="0" applyAlignment="0" applyProtection="0"/>
    <xf numFmtId="0" fontId="116" fillId="0" borderId="35"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8" fillId="0" borderId="20" applyNumberFormat="0" applyFill="0" applyAlignment="0" applyProtection="0"/>
    <xf numFmtId="0" fontId="119" fillId="0" borderId="2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17" fillId="0" borderId="36" applyNumberFormat="0" applyFill="0" applyAlignment="0" applyProtection="0"/>
    <xf numFmtId="0" fontId="117" fillId="0" borderId="36" applyNumberFormat="0" applyFill="0" applyAlignment="0" applyProtection="0"/>
    <xf numFmtId="187" fontId="116" fillId="0" borderId="35" applyNumberFormat="0" applyFill="0" applyAlignment="0" applyProtection="0"/>
    <xf numFmtId="0" fontId="117" fillId="0" borderId="36" applyNumberFormat="0" applyFill="0" applyAlignment="0" applyProtection="0"/>
    <xf numFmtId="0" fontId="116" fillId="0" borderId="35" applyNumberFormat="0" applyFill="0" applyAlignment="0" applyProtection="0"/>
    <xf numFmtId="0" fontId="116" fillId="0" borderId="35" applyNumberFormat="0" applyFill="0" applyAlignment="0" applyProtection="0"/>
    <xf numFmtId="0" fontId="118" fillId="0" borderId="20" applyNumberFormat="0" applyFill="0" applyAlignment="0" applyProtection="0"/>
    <xf numFmtId="0" fontId="5" fillId="0" borderId="0" applyNumberFormat="0" applyFont="0" applyFill="0" applyBorder="0" applyAlignment="0" applyProtection="0"/>
    <xf numFmtId="187" fontId="116" fillId="0" borderId="35" applyNumberFormat="0" applyFill="0" applyAlignment="0" applyProtection="0"/>
    <xf numFmtId="0" fontId="116" fillId="0" borderId="35" applyNumberFormat="0" applyFill="0" applyAlignment="0" applyProtection="0"/>
    <xf numFmtId="0" fontId="116" fillId="0" borderId="35" applyNumberFormat="0" applyFill="0" applyAlignment="0" applyProtection="0"/>
    <xf numFmtId="0" fontId="118" fillId="0" borderId="20" applyNumberFormat="0" applyFill="0" applyAlignment="0" applyProtection="0"/>
    <xf numFmtId="0" fontId="5" fillId="0" borderId="0" applyNumberFormat="0" applyFont="0" applyFill="0" applyBorder="0" applyAlignment="0" applyProtection="0"/>
    <xf numFmtId="0" fontId="49" fillId="0" borderId="20" applyNumberFormat="0" applyFill="0" applyAlignment="0" applyProtection="0"/>
    <xf numFmtId="0" fontId="118" fillId="0" borderId="20" applyNumberFormat="0" applyFill="0" applyAlignment="0" applyProtection="0"/>
    <xf numFmtId="0" fontId="119" fillId="0" borderId="20" applyNumberFormat="0" applyFill="0" applyAlignment="0" applyProtection="0"/>
    <xf numFmtId="0" fontId="119" fillId="0" borderId="20" applyNumberFormat="0" applyFill="0" applyAlignment="0" applyProtection="0"/>
    <xf numFmtId="0" fontId="118" fillId="0" borderId="20" applyNumberFormat="0" applyFill="0" applyAlignment="0" applyProtection="0"/>
    <xf numFmtId="0" fontId="119" fillId="0" borderId="20" applyNumberFormat="0" applyFill="0" applyAlignment="0" applyProtection="0"/>
    <xf numFmtId="187" fontId="120"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0"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0" fillId="0" borderId="37" applyNumberFormat="0" applyFill="0" applyAlignment="0" applyProtection="0"/>
    <xf numFmtId="0" fontId="120" fillId="0" borderId="37"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2" fillId="0" borderId="21" applyNumberFormat="0" applyFill="0" applyAlignment="0" applyProtection="0"/>
    <xf numFmtId="0" fontId="119" fillId="0" borderId="21"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1" fillId="0" borderId="38" applyNumberFormat="0" applyFill="0" applyAlignment="0" applyProtection="0"/>
    <xf numFmtId="0" fontId="121" fillId="0" borderId="38" applyNumberFormat="0" applyFill="0" applyAlignment="0" applyProtection="0"/>
    <xf numFmtId="187" fontId="120" fillId="0" borderId="37" applyNumberFormat="0" applyFill="0" applyAlignment="0" applyProtection="0"/>
    <xf numFmtId="0" fontId="121" fillId="0" borderId="38" applyNumberFormat="0" applyFill="0" applyAlignment="0" applyProtection="0"/>
    <xf numFmtId="0" fontId="120" fillId="0" borderId="37" applyNumberFormat="0" applyFill="0" applyAlignment="0" applyProtection="0"/>
    <xf numFmtId="0" fontId="120" fillId="0" borderId="37" applyNumberFormat="0" applyFill="0" applyAlignment="0" applyProtection="0"/>
    <xf numFmtId="0" fontId="122" fillId="0" borderId="21" applyNumberFormat="0" applyFill="0" applyAlignment="0" applyProtection="0"/>
    <xf numFmtId="0" fontId="5" fillId="0" borderId="0" applyNumberFormat="0" applyFont="0" applyFill="0" applyBorder="0" applyAlignment="0" applyProtection="0"/>
    <xf numFmtId="187" fontId="120" fillId="0" borderId="37" applyNumberFormat="0" applyFill="0" applyAlignment="0" applyProtection="0"/>
    <xf numFmtId="0" fontId="120" fillId="0" borderId="37" applyNumberFormat="0" applyFill="0" applyAlignment="0" applyProtection="0"/>
    <xf numFmtId="0" fontId="120" fillId="0" borderId="37" applyNumberFormat="0" applyFill="0" applyAlignment="0" applyProtection="0"/>
    <xf numFmtId="0" fontId="122" fillId="0" borderId="21" applyNumberFormat="0" applyFill="0" applyAlignment="0" applyProtection="0"/>
    <xf numFmtId="0" fontId="5" fillId="0" borderId="0" applyNumberFormat="0" applyFont="0" applyFill="0" applyBorder="0" applyAlignment="0" applyProtection="0"/>
    <xf numFmtId="0" fontId="50" fillId="0" borderId="21" applyNumberFormat="0" applyFill="0" applyAlignment="0" applyProtection="0"/>
    <xf numFmtId="0" fontId="122" fillId="0" borderId="21" applyNumberFormat="0" applyFill="0" applyAlignment="0" applyProtection="0"/>
    <xf numFmtId="0" fontId="119" fillId="0" borderId="21" applyNumberFormat="0" applyFill="0" applyAlignment="0" applyProtection="0"/>
    <xf numFmtId="0" fontId="119" fillId="0" borderId="21" applyNumberFormat="0" applyFill="0" applyAlignment="0" applyProtection="0"/>
    <xf numFmtId="0" fontId="122" fillId="0" borderId="21" applyNumberFormat="0" applyFill="0" applyAlignment="0" applyProtection="0"/>
    <xf numFmtId="0" fontId="119" fillId="0" borderId="21" applyNumberFormat="0" applyFill="0" applyAlignment="0" applyProtection="0"/>
    <xf numFmtId="187" fontId="123"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1"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39" applyNumberFormat="0" applyFill="0" applyAlignment="0" applyProtection="0"/>
    <xf numFmtId="0" fontId="123" fillId="0" borderId="39"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22" applyNumberFormat="0" applyFill="0" applyAlignment="0" applyProtection="0"/>
    <xf numFmtId="0" fontId="119" fillId="0" borderId="22"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40" applyNumberFormat="0" applyFill="0" applyAlignment="0" applyProtection="0"/>
    <xf numFmtId="0" fontId="124" fillId="0" borderId="40" applyNumberFormat="0" applyFill="0" applyAlignment="0" applyProtection="0"/>
    <xf numFmtId="187" fontId="123" fillId="0" borderId="39" applyNumberFormat="0" applyFill="0" applyAlignment="0" applyProtection="0"/>
    <xf numFmtId="0" fontId="124" fillId="0" borderId="40"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125" fillId="0" borderId="22" applyNumberFormat="0" applyFill="0" applyAlignment="0" applyProtection="0"/>
    <xf numFmtId="0" fontId="5" fillId="0" borderId="0" applyNumberFormat="0" applyFont="0" applyFill="0" applyBorder="0" applyAlignment="0" applyProtection="0"/>
    <xf numFmtId="187" fontId="123" fillId="0" borderId="39" applyNumberFormat="0" applyFill="0" applyAlignment="0" applyProtection="0"/>
    <xf numFmtId="0" fontId="123" fillId="0" borderId="39" applyNumberFormat="0" applyFill="0" applyAlignment="0" applyProtection="0"/>
    <xf numFmtId="0" fontId="123" fillId="0" borderId="39" applyNumberFormat="0" applyFill="0" applyAlignment="0" applyProtection="0"/>
    <xf numFmtId="0" fontId="125" fillId="0" borderId="22" applyNumberFormat="0" applyFill="0" applyAlignment="0" applyProtection="0"/>
    <xf numFmtId="0" fontId="5" fillId="0" borderId="0" applyNumberFormat="0" applyFont="0" applyFill="0" applyBorder="0" applyAlignment="0" applyProtection="0"/>
    <xf numFmtId="0" fontId="51" fillId="0" borderId="22" applyNumberFormat="0" applyFill="0" applyAlignment="0" applyProtection="0"/>
    <xf numFmtId="0" fontId="125" fillId="0" borderId="22" applyNumberFormat="0" applyFill="0" applyAlignment="0" applyProtection="0"/>
    <xf numFmtId="0" fontId="119" fillId="0" borderId="22" applyNumberFormat="0" applyFill="0" applyAlignment="0" applyProtection="0"/>
    <xf numFmtId="0" fontId="119" fillId="0" borderId="22" applyNumberFormat="0" applyFill="0" applyAlignment="0" applyProtection="0"/>
    <xf numFmtId="0" fontId="125" fillId="0" borderId="22" applyNumberFormat="0" applyFill="0" applyAlignment="0" applyProtection="0"/>
    <xf numFmtId="0" fontId="119" fillId="0" borderId="22" applyNumberFormat="0" applyFill="0" applyAlignment="0" applyProtection="0"/>
    <xf numFmtId="187"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1"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4" fillId="0" borderId="0" applyNumberFormat="0" applyFill="0" applyBorder="0" applyAlignment="0" applyProtection="0"/>
    <xf numFmtId="0" fontId="124" fillId="0" borderId="0" applyNumberFormat="0" applyFill="0" applyBorder="0" applyAlignment="0" applyProtection="0"/>
    <xf numFmtId="187" fontId="123" fillId="0" borderId="0" applyNumberFormat="0" applyFill="0" applyBorder="0" applyAlignment="0" applyProtection="0"/>
    <xf numFmtId="0" fontId="124"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187"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5" fillId="0" borderId="0" applyNumberFormat="0" applyFill="0" applyBorder="0" applyAlignment="0" applyProtection="0"/>
    <xf numFmtId="0" fontId="5" fillId="0" borderId="0" applyNumberFormat="0" applyFont="0" applyFill="0" applyBorder="0" applyAlignment="0" applyProtection="0"/>
    <xf numFmtId="0" fontId="51"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25" fillId="0" borderId="0" applyNumberFormat="0" applyFill="0" applyBorder="0" applyAlignment="0" applyProtection="0"/>
    <xf numFmtId="0" fontId="119" fillId="0" borderId="0" applyNumberForma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4" fillId="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187" fontId="126" fillId="46" borderId="0" applyNumberFormat="0" applyBorder="0" applyAlignment="0" applyProtection="0"/>
    <xf numFmtId="0"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187" fontId="126" fillId="46" borderId="0" applyNumberFormat="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5" fillId="0" borderId="0" applyNumberFormat="0" applyFont="0" applyFill="0" applyBorder="0" applyAlignment="0" applyProtection="0"/>
    <xf numFmtId="0" fontId="126" fillId="46" borderId="0" applyNumberFormat="0" applyBorder="0" applyAlignment="0" applyProtection="0"/>
    <xf numFmtId="0" fontId="126" fillId="46" borderId="0" applyNumberFormat="0" applyBorder="0" applyAlignment="0" applyProtection="0"/>
    <xf numFmtId="0" fontId="127" fillId="6" borderId="0" applyNumberFormat="0" applyBorder="0" applyAlignment="0" applyProtection="0"/>
    <xf numFmtId="0" fontId="5" fillId="0" borderId="0" applyNumberFormat="0" applyFont="0" applyFill="0" applyBorder="0" applyAlignment="0" applyProtection="0"/>
    <xf numFmtId="0" fontId="54" fillId="6" borderId="0" applyNumberFormat="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127" fillId="0" borderId="0" applyNumberFormat="0" applyFill="0" applyBorder="0" applyAlignment="0" applyProtection="0"/>
    <xf numFmtId="0" fontId="127" fillId="6" borderId="0" applyNumberFormat="0" applyBorder="0" applyAlignment="0" applyProtection="0"/>
    <xf numFmtId="0" fontId="127" fillId="0" borderId="0" applyNumberFormat="0" applyFill="0" applyBorder="0" applyAlignment="0" applyProtection="0"/>
    <xf numFmtId="0" fontId="66" fillId="0" borderId="0"/>
    <xf numFmtId="0" fontId="70" fillId="0" borderId="0"/>
    <xf numFmtId="0" fontId="11" fillId="0" borderId="0"/>
    <xf numFmtId="0" fontId="11" fillId="0" borderId="0"/>
    <xf numFmtId="0" fontId="5" fillId="0" borderId="0" applyNumberFormat="0" applyFont="0" applyFill="0" applyBorder="0" applyAlignment="0" applyProtection="0"/>
    <xf numFmtId="0" fontId="5" fillId="0" borderId="0" applyNumberFormat="0" applyFont="0" applyFill="0" applyBorder="0" applyAlignment="0" applyProtection="0"/>
    <xf numFmtId="0" fontId="66" fillId="0" borderId="0"/>
    <xf numFmtId="0" fontId="128" fillId="0" borderId="0"/>
    <xf numFmtId="0" fontId="129" fillId="0" borderId="0" applyNumberFormat="0" applyFont="0" applyFill="0" applyBorder="0" applyAlignment="0" applyProtection="0">
      <protection locked="0"/>
    </xf>
    <xf numFmtId="187" fontId="42"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187" fontId="42"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70" fillId="0" borderId="0"/>
    <xf numFmtId="0" fontId="11"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70" fillId="0" borderId="0"/>
    <xf numFmtId="0"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70" fillId="0" borderId="0"/>
    <xf numFmtId="0" fontId="4" fillId="0" borderId="0"/>
    <xf numFmtId="0" fontId="4" fillId="0" borderId="0"/>
    <xf numFmtId="0" fontId="130" fillId="0" borderId="0"/>
    <xf numFmtId="0" fontId="4" fillId="0" borderId="0"/>
    <xf numFmtId="0" fontId="4" fillId="0" borderId="0"/>
    <xf numFmtId="0" fontId="4" fillId="0" borderId="0"/>
    <xf numFmtId="0" fontId="4" fillId="0" borderId="0"/>
    <xf numFmtId="0" fontId="4" fillId="0" borderId="0"/>
    <xf numFmtId="0" fontId="90" fillId="0" borderId="0"/>
    <xf numFmtId="0" fontId="4" fillId="0" borderId="0"/>
    <xf numFmtId="0" fontId="4" fillId="0" borderId="0"/>
    <xf numFmtId="187" fontId="42" fillId="0" borderId="0"/>
    <xf numFmtId="187" fontId="42" fillId="0" borderId="0"/>
    <xf numFmtId="0" fontId="11" fillId="0" borderId="0"/>
    <xf numFmtId="0" fontId="70" fillId="0" borderId="0"/>
    <xf numFmtId="0" fontId="11" fillId="0" borderId="0"/>
    <xf numFmtId="0" fontId="70"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187" fontId="70" fillId="0" borderId="0"/>
    <xf numFmtId="0" fontId="11" fillId="0" borderId="0"/>
    <xf numFmtId="0" fontId="11" fillId="0" borderId="0"/>
    <xf numFmtId="0" fontId="70" fillId="0" borderId="0"/>
    <xf numFmtId="0" fontId="70" fillId="0" borderId="0"/>
    <xf numFmtId="0" fontId="11" fillId="0" borderId="0" applyNumberFormat="0" applyFont="0" applyFill="0" applyBorder="0" applyAlignment="0" applyProtection="0"/>
    <xf numFmtId="0" fontId="66" fillId="0" borderId="0"/>
    <xf numFmtId="0" fontId="70" fillId="0" borderId="0"/>
    <xf numFmtId="187" fontId="42" fillId="0" borderId="0"/>
    <xf numFmtId="187" fontId="42" fillId="0" borderId="0"/>
    <xf numFmtId="0" fontId="11" fillId="0" borderId="0"/>
    <xf numFmtId="0" fontId="11" fillId="0" borderId="0"/>
    <xf numFmtId="0" fontId="66" fillId="0" borderId="0"/>
    <xf numFmtId="0" fontId="11" fillId="0" borderId="0" applyNumberFormat="0" applyFill="0" applyBorder="0" applyAlignment="0" applyProtection="0"/>
    <xf numFmtId="0" fontId="11" fillId="0" borderId="0"/>
    <xf numFmtId="0" fontId="11" fillId="0" borderId="0"/>
    <xf numFmtId="0" fontId="66" fillId="0" borderId="0"/>
    <xf numFmtId="0" fontId="11" fillId="0" borderId="0" applyNumberFormat="0" applyFill="0" applyBorder="0" applyAlignment="0" applyProtection="0"/>
    <xf numFmtId="187" fontId="42" fillId="0" borderId="0"/>
    <xf numFmtId="0" fontId="11" fillId="0" borderId="0"/>
    <xf numFmtId="0" fontId="66" fillId="0" borderId="0"/>
    <xf numFmtId="0"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187" fontId="70" fillId="0" borderId="0"/>
    <xf numFmtId="187" fontId="76" fillId="0" borderId="0" applyFill="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70" fillId="0" borderId="0"/>
    <xf numFmtId="0" fontId="67" fillId="0" borderId="0"/>
    <xf numFmtId="0" fontId="67" fillId="0" borderId="0"/>
    <xf numFmtId="0" fontId="11" fillId="0" borderId="0" applyNumberFormat="0" applyFont="0" applyFill="0" applyBorder="0" applyAlignment="0" applyProtection="0"/>
    <xf numFmtId="188" fontId="70" fillId="0" borderId="0"/>
    <xf numFmtId="0" fontId="67"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187" fontId="4" fillId="0" borderId="0"/>
    <xf numFmtId="0" fontId="70" fillId="0" borderId="0"/>
    <xf numFmtId="0" fontId="4" fillId="0" borderId="0" applyNumberFormat="0" applyFill="0" applyBorder="0" applyAlignment="0" applyProtection="0"/>
    <xf numFmtId="188" fontId="6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4" fillId="0" borderId="0"/>
    <xf numFmtId="0" fontId="11" fillId="0" borderId="0" applyNumberFormat="0" applyFont="0" applyFill="0" applyBorder="0" applyAlignment="0" applyProtection="0"/>
    <xf numFmtId="187" fontId="4" fillId="0" borderId="0"/>
    <xf numFmtId="187" fontId="11" fillId="0" borderId="0"/>
    <xf numFmtId="187" fontId="11" fillId="0" borderId="0"/>
    <xf numFmtId="0" fontId="4" fillId="0" borderId="0"/>
    <xf numFmtId="0" fontId="4" fillId="0" borderId="0"/>
    <xf numFmtId="0" fontId="66" fillId="0" borderId="0"/>
    <xf numFmtId="0" fontId="4" fillId="0" borderId="0"/>
    <xf numFmtId="0" fontId="4" fillId="0" borderId="0" applyNumberFormat="0" applyFill="0" applyBorder="0" applyAlignment="0" applyProtection="0"/>
    <xf numFmtId="187" fontId="5" fillId="0" borderId="0"/>
    <xf numFmtId="0" fontId="4" fillId="0" borderId="0"/>
    <xf numFmtId="0" fontId="4"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187" fontId="5" fillId="0" borderId="0"/>
    <xf numFmtId="0" fontId="4" fillId="0" borderId="0" applyNumberFormat="0" applyFill="0" applyBorder="0" applyAlignment="0" applyProtection="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67" fillId="0" borderId="0"/>
    <xf numFmtId="0" fontId="67"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ont="0" applyFill="0" applyBorder="0" applyAlignment="0" applyProtection="0"/>
    <xf numFmtId="0" fontId="70" fillId="0" borderId="0"/>
    <xf numFmtId="0" fontId="70"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ill="0" applyBorder="0" applyAlignment="0" applyProtection="0"/>
    <xf numFmtId="0" fontId="88" fillId="0" borderId="0"/>
    <xf numFmtId="0" fontId="88" fillId="0" borderId="0"/>
    <xf numFmtId="0" fontId="11" fillId="0" borderId="0" applyNumberFormat="0" applyFont="0" applyFill="0" applyBorder="0" applyAlignment="0" applyProtection="0"/>
    <xf numFmtId="0" fontId="70" fillId="0" borderId="0"/>
    <xf numFmtId="0" fontId="70" fillId="0" borderId="0"/>
    <xf numFmtId="0" fontId="70" fillId="0" borderId="0"/>
    <xf numFmtId="187" fontId="70" fillId="0" borderId="0"/>
    <xf numFmtId="0" fontId="70" fillId="0" borderId="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ill="0" applyBorder="0" applyAlignment="0" applyProtection="0"/>
    <xf numFmtId="0" fontId="11" fillId="0" borderId="0" applyNumberFormat="0" applyFon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31" fillId="0" borderId="0"/>
    <xf numFmtId="187" fontId="70"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66" fillId="0" borderId="0"/>
    <xf numFmtId="0" fontId="11" fillId="0" borderId="0" applyNumberFormat="0" applyFont="0" applyFill="0" applyBorder="0" applyAlignment="0" applyProtection="0"/>
    <xf numFmtId="0" fontId="66" fillId="0" borderId="0"/>
    <xf numFmtId="0" fontId="66" fillId="0" borderId="0"/>
    <xf numFmtId="0" fontId="67"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66" fillId="0" borderId="0"/>
    <xf numFmtId="187" fontId="66" fillId="0" borderId="0"/>
    <xf numFmtId="0" fontId="67" fillId="0" borderId="0"/>
    <xf numFmtId="187" fontId="11"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66" fillId="0" borderId="0"/>
    <xf numFmtId="0" fontId="67" fillId="0" borderId="0"/>
    <xf numFmtId="0" fontId="67" fillId="0" borderId="0"/>
    <xf numFmtId="0" fontId="11" fillId="0" borderId="0" applyNumberFormat="0" applyFont="0" applyFill="0" applyBorder="0" applyAlignment="0" applyProtection="0"/>
    <xf numFmtId="187" fontId="70" fillId="0" borderId="0"/>
    <xf numFmtId="187" fontId="42"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2" fillId="0" borderId="0"/>
    <xf numFmtId="0" fontId="4" fillId="0" borderId="0"/>
    <xf numFmtId="0" fontId="70"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11" fillId="0" borderId="0"/>
    <xf numFmtId="0" fontId="105" fillId="0" borderId="0"/>
    <xf numFmtId="0" fontId="4" fillId="0" borderId="0"/>
    <xf numFmtId="0" fontId="4" fillId="0" borderId="0"/>
    <xf numFmtId="0" fontId="4" fillId="0" borderId="0"/>
    <xf numFmtId="0" fontId="11" fillId="0" borderId="0"/>
    <xf numFmtId="0" fontId="4" fillId="0" borderId="0"/>
    <xf numFmtId="0" fontId="88" fillId="0" borderId="0"/>
    <xf numFmtId="0" fontId="4" fillId="0" borderId="0"/>
    <xf numFmtId="187"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70"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xf numFmtId="0" fontId="11" fillId="0" borderId="0"/>
    <xf numFmtId="0" fontId="11" fillId="0" borderId="0"/>
    <xf numFmtId="0" fontId="11"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applyNumberFormat="0" applyFont="0" applyFill="0" applyBorder="0" applyAlignment="0" applyProtection="0"/>
    <xf numFmtId="187" fontId="5" fillId="0" borderId="0"/>
    <xf numFmtId="0" fontId="89" fillId="0" borderId="0"/>
    <xf numFmtId="0" fontId="11" fillId="0" borderId="0"/>
    <xf numFmtId="187" fontId="5" fillId="0" borderId="0"/>
    <xf numFmtId="0" fontId="89" fillId="0" borderId="0"/>
    <xf numFmtId="0" fontId="11" fillId="0" borderId="0"/>
    <xf numFmtId="187" fontId="5" fillId="0" borderId="0"/>
    <xf numFmtId="187" fontId="70" fillId="0" borderId="0"/>
    <xf numFmtId="0" fontId="4" fillId="0" borderId="0"/>
    <xf numFmtId="0" fontId="11" fillId="0" borderId="0"/>
    <xf numFmtId="0" fontId="105" fillId="0" borderId="0"/>
    <xf numFmtId="0" fontId="4" fillId="0" borderId="0"/>
    <xf numFmtId="187" fontId="11" fillId="0" borderId="0"/>
    <xf numFmtId="0" fontId="4" fillId="0" borderId="0"/>
    <xf numFmtId="0" fontId="11" fillId="0" borderId="0"/>
    <xf numFmtId="0" fontId="4" fillId="0" borderId="0"/>
    <xf numFmtId="0" fontId="105"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66" fillId="0" borderId="0"/>
    <xf numFmtId="0" fontId="4" fillId="0" borderId="0"/>
    <xf numFmtId="0" fontId="4" fillId="0" borderId="0"/>
    <xf numFmtId="0" fontId="11" fillId="0" borderId="0"/>
    <xf numFmtId="0" fontId="70"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70" fillId="0" borderId="0"/>
    <xf numFmtId="0" fontId="4" fillId="0" borderId="0"/>
    <xf numFmtId="0" fontId="11" fillId="0" borderId="0"/>
    <xf numFmtId="0" fontId="4" fillId="0" borderId="0"/>
    <xf numFmtId="0" fontId="11" fillId="0" borderId="0"/>
    <xf numFmtId="187" fontId="42" fillId="0" borderId="0"/>
    <xf numFmtId="0" fontId="11" fillId="0" borderId="0"/>
    <xf numFmtId="0" fontId="11" fillId="0" borderId="0" applyNumberFormat="0" applyFill="0" applyBorder="0" applyAlignment="0" applyProtection="0"/>
    <xf numFmtId="187" fontId="4" fillId="0" borderId="0"/>
    <xf numFmtId="187" fontId="4" fillId="0" borderId="0"/>
    <xf numFmtId="0" fontId="11"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 fillId="0" borderId="0"/>
    <xf numFmtId="0" fontId="4" fillId="0" borderId="0"/>
    <xf numFmtId="0" fontId="70" fillId="0" borderId="0"/>
    <xf numFmtId="0" fontId="4" fillId="0" borderId="0" applyNumberFormat="0" applyFill="0" applyBorder="0" applyAlignment="0" applyProtection="0"/>
    <xf numFmtId="187" fontId="70" fillId="0" borderId="0"/>
    <xf numFmtId="0" fontId="11" fillId="0" borderId="0"/>
    <xf numFmtId="0" fontId="70" fillId="0" borderId="0"/>
    <xf numFmtId="0" fontId="70" fillId="0" borderId="0"/>
    <xf numFmtId="0" fontId="11" fillId="0" borderId="0" applyNumberFormat="0" applyFont="0" applyFill="0" applyBorder="0" applyAlignment="0" applyProtection="0"/>
    <xf numFmtId="187" fontId="70" fillId="0" borderId="0"/>
    <xf numFmtId="0" fontId="70" fillId="0" borderId="0"/>
    <xf numFmtId="0" fontId="70" fillId="0" borderId="0"/>
    <xf numFmtId="0" fontId="11" fillId="0" borderId="0" applyNumberFormat="0" applyFont="0" applyFill="0" applyBorder="0" applyAlignment="0" applyProtection="0"/>
    <xf numFmtId="187" fontId="42" fillId="0" borderId="0"/>
    <xf numFmtId="0" fontId="11" fillId="0" borderId="0"/>
    <xf numFmtId="0" fontId="11"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187" fontId="70" fillId="0" borderId="0"/>
    <xf numFmtId="0" fontId="70" fillId="0" borderId="0"/>
    <xf numFmtId="0" fontId="4" fillId="0" borderId="0"/>
    <xf numFmtId="0" fontId="11" fillId="0" borderId="0"/>
    <xf numFmtId="0" fontId="4" fillId="0" borderId="0"/>
    <xf numFmtId="187" fontId="11" fillId="0" borderId="0"/>
    <xf numFmtId="0" fontId="11"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8" fontId="11" fillId="0" borderId="0"/>
    <xf numFmtId="0" fontId="4" fillId="0" borderId="0"/>
    <xf numFmtId="0" fontId="11" fillId="0" borderId="0"/>
    <xf numFmtId="0" fontId="11" fillId="0" borderId="0"/>
    <xf numFmtId="0" fontId="4" fillId="0" borderId="0"/>
    <xf numFmtId="187" fontId="11"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187" fontId="132" fillId="0" borderId="0"/>
    <xf numFmtId="0" fontId="70" fillId="0" borderId="0"/>
    <xf numFmtId="0" fontId="11" fillId="0" borderId="0"/>
    <xf numFmtId="0" fontId="11" fillId="0" borderId="0" applyNumberFormat="0" applyFont="0" applyFill="0" applyBorder="0" applyAlignment="0" applyProtection="0"/>
    <xf numFmtId="0" fontId="42" fillId="0" borderId="0"/>
    <xf numFmtId="0" fontId="132" fillId="0" borderId="0" applyNumberFormat="0" applyFill="0" applyBorder="0" applyAlignment="0" applyProtection="0"/>
    <xf numFmtId="0" fontId="13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70"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11" fillId="0" borderId="0" applyNumberFormat="0" applyFont="0" applyFill="0" applyBorder="0" applyAlignment="0" applyProtection="0"/>
    <xf numFmtId="0" fontId="11" fillId="0" borderId="0"/>
    <xf numFmtId="0" fontId="4" fillId="0" borderId="0"/>
    <xf numFmtId="0" fontId="4" fillId="0" borderId="0" applyNumberFormat="0" applyFill="0" applyBorder="0" applyAlignment="0" applyProtection="0"/>
    <xf numFmtId="0" fontId="70" fillId="0" borderId="0"/>
    <xf numFmtId="0" fontId="4"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70" fillId="0" borderId="0"/>
    <xf numFmtId="0" fontId="11" fillId="0" borderId="0" applyNumberFormat="0" applyFont="0" applyFill="0" applyBorder="0" applyAlignment="0" applyProtection="0"/>
    <xf numFmtId="0" fontId="66" fillId="0" borderId="0"/>
    <xf numFmtId="0" fontId="132" fillId="0" borderId="0"/>
    <xf numFmtId="187" fontId="5" fillId="0" borderId="0"/>
    <xf numFmtId="0" fontId="11" fillId="0" borderId="0"/>
    <xf numFmtId="0" fontId="70" fillId="0" borderId="0"/>
    <xf numFmtId="0" fontId="11" fillId="0" borderId="0" applyNumberFormat="0" applyFont="0" applyFill="0" applyBorder="0" applyAlignment="0" applyProtection="0"/>
    <xf numFmtId="187" fontId="5" fillId="0" borderId="0"/>
    <xf numFmtId="0" fontId="132"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5" fillId="0" borderId="0"/>
    <xf numFmtId="0" fontId="11" fillId="0" borderId="0" applyNumberFormat="0" applyFont="0" applyFill="0" applyBorder="0" applyAlignment="0" applyProtection="0"/>
    <xf numFmtId="187" fontId="70"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11" fillId="0" borderId="0"/>
    <xf numFmtId="0" fontId="11" fillId="0" borderId="0"/>
    <xf numFmtId="0" fontId="4" fillId="0" borderId="0"/>
    <xf numFmtId="0" fontId="4" fillId="0" borderId="0"/>
    <xf numFmtId="0" fontId="4" fillId="0" borderId="0"/>
    <xf numFmtId="187" fontId="42" fillId="0" borderId="0"/>
    <xf numFmtId="187" fontId="42" fillId="0" borderId="0"/>
    <xf numFmtId="0" fontId="70" fillId="0" borderId="0"/>
    <xf numFmtId="0" fontId="11" fillId="0" borderId="0" applyNumberFormat="0" applyFill="0" applyBorder="0" applyAlignment="0" applyProtection="0"/>
    <xf numFmtId="187" fontId="42" fillId="0" borderId="0"/>
    <xf numFmtId="0" fontId="11" fillId="0" borderId="0" applyNumberFormat="0" applyFill="0" applyBorder="0" applyAlignment="0" applyProtection="0"/>
    <xf numFmtId="0" fontId="70" fillId="0" borderId="0"/>
    <xf numFmtId="0" fontId="11" fillId="0" borderId="0"/>
    <xf numFmtId="0" fontId="11" fillId="0" borderId="0" applyNumberFormat="0" applyFill="0" applyBorder="0" applyAlignment="0" applyProtection="0"/>
    <xf numFmtId="188" fontId="42" fillId="0" borderId="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42" fillId="0" borderId="0"/>
    <xf numFmtId="187" fontId="42" fillId="0" borderId="0"/>
    <xf numFmtId="0" fontId="11" fillId="0" borderId="0"/>
    <xf numFmtId="0" fontId="11" fillId="0" borderId="0" applyNumberFormat="0" applyFont="0" applyFill="0" applyBorder="0" applyAlignment="0" applyProtection="0"/>
    <xf numFmtId="0" fontId="70" fillId="0" borderId="0"/>
    <xf numFmtId="0" fontId="70" fillId="0" borderId="0"/>
    <xf numFmtId="0" fontId="11" fillId="0" borderId="0"/>
    <xf numFmtId="0" fontId="11" fillId="0" borderId="0" applyNumberFormat="0" applyFill="0" applyBorder="0" applyAlignment="0" applyProtection="0"/>
    <xf numFmtId="187" fontId="4" fillId="0" borderId="0"/>
    <xf numFmtId="0" fontId="11" fillId="0" borderId="0"/>
    <xf numFmtId="0" fontId="11" fillId="0" borderId="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11" fillId="0" borderId="0" applyNumberFormat="0" applyFont="0" applyFill="0" applyBorder="0" applyAlignment="0" applyProtection="0"/>
    <xf numFmtId="0" fontId="11" fillId="0" borderId="0"/>
    <xf numFmtId="0" fontId="4" fillId="0" borderId="0" applyNumberFormat="0" applyFill="0" applyBorder="0" applyAlignment="0" applyProtection="0"/>
    <xf numFmtId="0" fontId="11" fillId="0" borderId="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187" fontId="5" fillId="0" borderId="0"/>
    <xf numFmtId="0" fontId="70" fillId="0" borderId="0"/>
    <xf numFmtId="187" fontId="42" fillId="0" borderId="0"/>
    <xf numFmtId="187" fontId="42"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5" fillId="0" borderId="0"/>
    <xf numFmtId="0" fontId="70" fillId="0" borderId="0"/>
    <xf numFmtId="0" fontId="11" fillId="0" borderId="0" applyNumberFormat="0" applyFill="0" applyBorder="0" applyAlignment="0" applyProtection="0"/>
    <xf numFmtId="187" fontId="70"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70" fillId="0" borderId="0"/>
    <xf numFmtId="0" fontId="4" fillId="0" borderId="0"/>
    <xf numFmtId="0" fontId="4" fillId="0" borderId="0"/>
    <xf numFmtId="0" fontId="13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11" fillId="0" borderId="0"/>
    <xf numFmtId="0" fontId="11" fillId="0" borderId="0" applyNumberFormat="0" applyFill="0" applyBorder="0" applyAlignment="0" applyProtection="0"/>
    <xf numFmtId="187" fontId="4" fillId="0" borderId="0"/>
    <xf numFmtId="0" fontId="11" fillId="0" borderId="0"/>
    <xf numFmtId="0" fontId="4" fillId="0" borderId="0"/>
    <xf numFmtId="0" fontId="4" fillId="0" borderId="0"/>
    <xf numFmtId="0" fontId="11" fillId="0" borderId="0"/>
    <xf numFmtId="0" fontId="4" fillId="0" borderId="0" applyNumberFormat="0" applyFill="0" applyBorder="0" applyAlignment="0" applyProtection="0"/>
    <xf numFmtId="187" fontId="4" fillId="0" borderId="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11" fillId="0" borderId="0"/>
    <xf numFmtId="187" fontId="5" fillId="0" borderId="0"/>
    <xf numFmtId="0" fontId="11"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5" fillId="0" borderId="0"/>
    <xf numFmtId="187" fontId="5" fillId="0" borderId="0"/>
    <xf numFmtId="187" fontId="42" fillId="0" borderId="0"/>
    <xf numFmtId="187" fontId="42" fillId="0" borderId="0"/>
    <xf numFmtId="0" fontId="70" fillId="0" borderId="0"/>
    <xf numFmtId="0" fontId="11" fillId="0" borderId="0"/>
    <xf numFmtId="0" fontId="11" fillId="0" borderId="0" applyNumberFormat="0" applyFon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1" fillId="0" borderId="0"/>
    <xf numFmtId="0" fontId="4" fillId="0" borderId="0" applyNumberFormat="0" applyFill="0" applyBorder="0" applyAlignment="0" applyProtection="0"/>
    <xf numFmtId="0" fontId="4" fillId="0" borderId="0"/>
    <xf numFmtId="0" fontId="4" fillId="0" borderId="0"/>
    <xf numFmtId="0" fontId="11" fillId="0" borderId="0"/>
    <xf numFmtId="0" fontId="11" fillId="0" borderId="0" applyNumberFormat="0" applyFill="0" applyBorder="0" applyAlignment="0" applyProtection="0"/>
    <xf numFmtId="187"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187" fontId="4" fillId="0" borderId="0"/>
    <xf numFmtId="0" fontId="11" fillId="0" borderId="0"/>
    <xf numFmtId="0" fontId="4" fillId="0" borderId="0"/>
    <xf numFmtId="0" fontId="4" fillId="0" borderId="0"/>
    <xf numFmtId="0" fontId="4" fillId="0" borderId="0" applyNumberFormat="0" applyFill="0" applyBorder="0" applyAlignment="0" applyProtection="0"/>
    <xf numFmtId="187" fontId="4" fillId="0" borderId="0"/>
    <xf numFmtId="187" fontId="5" fillId="0" borderId="0"/>
    <xf numFmtId="0" fontId="66" fillId="0" borderId="0"/>
    <xf numFmtId="187" fontId="5" fillId="0" borderId="0"/>
    <xf numFmtId="0" fontId="66" fillId="0" borderId="0"/>
    <xf numFmtId="187" fontId="5" fillId="0" borderId="0"/>
    <xf numFmtId="187" fontId="5" fillId="0" borderId="0"/>
    <xf numFmtId="187" fontId="5" fillId="0" borderId="0"/>
    <xf numFmtId="187" fontId="5" fillId="0" borderId="0"/>
    <xf numFmtId="187" fontId="7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7" fontId="11" fillId="0" borderId="0"/>
    <xf numFmtId="187" fontId="11" fillId="0" borderId="0"/>
    <xf numFmtId="0" fontId="66" fillId="0" borderId="0"/>
    <xf numFmtId="187" fontId="42" fillId="0" borderId="0"/>
    <xf numFmtId="0" fontId="66" fillId="0" borderId="0"/>
    <xf numFmtId="187" fontId="42" fillId="0" borderId="0"/>
    <xf numFmtId="0" fontId="70" fillId="0" borderId="0"/>
    <xf numFmtId="0" fontId="11" fillId="0" borderId="0"/>
    <xf numFmtId="0" fontId="11" fillId="0" borderId="0" applyNumberFormat="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3" fillId="0" borderId="0" applyNumberFormat="0" applyFill="0" applyBorder="0" applyProtection="0">
      <alignment vertical="top" wrapText="1"/>
    </xf>
    <xf numFmtId="0" fontId="133" fillId="0" borderId="0" applyNumberFormat="0" applyFill="0" applyBorder="0" applyProtection="0">
      <alignment vertical="top" wrapText="1"/>
    </xf>
    <xf numFmtId="207" fontId="134" fillId="0" borderId="0" applyFill="0" applyBorder="0" applyProtection="0">
      <alignment horizontal="right" vertical="top"/>
    </xf>
    <xf numFmtId="187" fontId="135" fillId="40"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57" fillId="8" borderId="23"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40"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40"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6" fillId="8" borderId="23" applyNumberFormat="0" applyAlignment="0" applyProtection="0"/>
    <xf numFmtId="0" fontId="109" fillId="0" borderId="23"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35" fillId="58" borderId="29" applyNumberFormat="0" applyAlignment="0" applyProtection="0"/>
    <xf numFmtId="0" fontId="135" fillId="58" borderId="29" applyNumberFormat="0" applyAlignment="0" applyProtection="0"/>
    <xf numFmtId="0" fontId="135" fillId="58" borderId="29" applyNumberFormat="0" applyAlignment="0" applyProtection="0"/>
    <xf numFmtId="187" fontId="135" fillId="40" borderId="29" applyNumberFormat="0" applyAlignment="0" applyProtection="0"/>
    <xf numFmtId="0" fontId="135" fillId="58"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29" applyNumberFormat="0" applyAlignment="0" applyProtection="0"/>
    <xf numFmtId="0" fontId="135" fillId="40" borderId="29" applyNumberFormat="0" applyAlignment="0" applyProtection="0"/>
    <xf numFmtId="0" fontId="136" fillId="8" borderId="23" applyNumberFormat="0" applyAlignment="0" applyProtection="0"/>
    <xf numFmtId="0" fontId="11" fillId="0" borderId="0" applyNumberFormat="0" applyFont="0" applyFill="0" applyBorder="0" applyAlignment="0" applyProtection="0"/>
    <xf numFmtId="187" fontId="135" fillId="40" borderId="29" applyNumberForma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35" fillId="40" borderId="29" applyNumberFormat="0" applyAlignment="0" applyProtection="0"/>
    <xf numFmtId="0" fontId="135" fillId="40" borderId="29" applyNumberFormat="0" applyAlignment="0" applyProtection="0"/>
    <xf numFmtId="0" fontId="136" fillId="8" borderId="23" applyNumberFormat="0" applyAlignment="0" applyProtection="0"/>
    <xf numFmtId="0" fontId="11" fillId="0" borderId="0" applyNumberFormat="0" applyFont="0" applyFill="0" applyBorder="0" applyAlignment="0" applyProtection="0"/>
    <xf numFmtId="0" fontId="57" fillId="8" borderId="23" applyNumberFormat="0" applyAlignment="0" applyProtection="0"/>
    <xf numFmtId="0" fontId="136" fillId="8" borderId="23" applyNumberFormat="0" applyAlignment="0" applyProtection="0"/>
    <xf numFmtId="0" fontId="109" fillId="0" borderId="23" applyNumberFormat="0" applyFill="0" applyAlignment="0" applyProtection="0"/>
    <xf numFmtId="0" fontId="109" fillId="0" borderId="23" applyNumberFormat="0" applyFill="0" applyAlignment="0" applyProtection="0"/>
    <xf numFmtId="0" fontId="136" fillId="8" borderId="23" applyNumberFormat="0" applyAlignment="0" applyProtection="0"/>
    <xf numFmtId="0" fontId="109" fillId="0" borderId="23" applyNumberFormat="0" applyFill="0" applyAlignment="0" applyProtection="0"/>
    <xf numFmtId="208" fontId="137" fillId="0" borderId="0">
      <alignment horizontal="left"/>
    </xf>
    <xf numFmtId="40" fontId="138" fillId="53" borderId="0">
      <alignment horizontal="right"/>
    </xf>
    <xf numFmtId="0" fontId="139" fillId="53" borderId="0">
      <alignment horizontal="right"/>
    </xf>
    <xf numFmtId="0" fontId="140" fillId="53" borderId="41"/>
    <xf numFmtId="0" fontId="140" fillId="0" borderId="0" applyBorder="0">
      <alignment horizontal="centerContinuous"/>
    </xf>
    <xf numFmtId="0" fontId="141" fillId="0" borderId="0" applyBorder="0">
      <alignment horizontal="centerContinuous"/>
    </xf>
    <xf numFmtId="0" fontId="11" fillId="0" borderId="0" applyNumberFormat="0" applyFont="0" applyFill="0" applyBorder="0" applyAlignment="0" applyProtection="0"/>
    <xf numFmtId="0" fontId="11" fillId="0" borderId="0" applyNumberFormat="0" applyFont="0" applyFill="0" applyBorder="0" applyAlignment="0" applyProtection="0"/>
    <xf numFmtId="10" fontId="70" fillId="0" borderId="0" applyFont="0" applyFill="0" applyBorder="0" applyAlignment="0" applyProtection="0"/>
    <xf numFmtId="9" fontId="66" fillId="0" borderId="0" applyFon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Alignment="0" applyProtection="0"/>
    <xf numFmtId="187" fontId="142" fillId="0" borderId="0" applyNumberFormat="0" applyFill="0" applyBorder="0" applyProtection="0">
      <alignment horizontal="left"/>
    </xf>
    <xf numFmtId="187" fontId="142" fillId="0" borderId="0" applyNumberFormat="0" applyFill="0" applyBorder="0" applyAlignment="0" applyProtection="0"/>
    <xf numFmtId="2" fontId="143" fillId="53" borderId="0">
      <protection locked="0"/>
    </xf>
    <xf numFmtId="209" fontId="133" fillId="0" borderId="0"/>
    <xf numFmtId="9"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144"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9" fontId="88"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2"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9" fontId="4"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1" fillId="0" borderId="0" applyNumberFormat="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70"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1" fillId="0" borderId="0" applyFont="0" applyFill="0" applyBorder="0" applyAlignment="0" applyProtection="0"/>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 fontId="145" fillId="46" borderId="42" applyNumberFormat="0" applyProtection="0">
      <alignment vertical="center"/>
    </xf>
    <xf numFmtId="4" fontId="146" fillId="64" borderId="42" applyNumberFormat="0" applyProtection="0">
      <alignment vertical="center"/>
    </xf>
    <xf numFmtId="4" fontId="145" fillId="64" borderId="42" applyNumberFormat="0" applyProtection="0">
      <alignment horizontal="left" vertical="center" indent="1"/>
    </xf>
    <xf numFmtId="0" fontId="145" fillId="64" borderId="42" applyNumberFormat="0" applyProtection="0">
      <alignment horizontal="left" vertical="top" indent="1"/>
    </xf>
    <xf numFmtId="4" fontId="145" fillId="65" borderId="0" applyNumberFormat="0" applyProtection="0">
      <alignment horizontal="left" vertical="center" indent="1"/>
    </xf>
    <xf numFmtId="4" fontId="147" fillId="36" borderId="42" applyNumberFormat="0" applyProtection="0">
      <alignment horizontal="right" vertical="center"/>
    </xf>
    <xf numFmtId="4" fontId="147" fillId="45" borderId="42" applyNumberFormat="0" applyProtection="0">
      <alignment horizontal="right" vertical="center"/>
    </xf>
    <xf numFmtId="4" fontId="147" fillId="43" borderId="42" applyNumberFormat="0" applyProtection="0">
      <alignment horizontal="right" vertical="center"/>
    </xf>
    <xf numFmtId="4" fontId="147" fillId="48" borderId="42" applyNumberFormat="0" applyProtection="0">
      <alignment horizontal="right" vertical="center"/>
    </xf>
    <xf numFmtId="4" fontId="147" fillId="52" borderId="42" applyNumberFormat="0" applyProtection="0">
      <alignment horizontal="right" vertical="center"/>
    </xf>
    <xf numFmtId="4" fontId="147" fillId="57" borderId="42" applyNumberFormat="0" applyProtection="0">
      <alignment horizontal="right" vertical="center"/>
    </xf>
    <xf numFmtId="4" fontId="147" fillId="55" borderId="42" applyNumberFormat="0" applyProtection="0">
      <alignment horizontal="right" vertical="center"/>
    </xf>
    <xf numFmtId="4" fontId="147" fillId="66" borderId="42" applyNumberFormat="0" applyProtection="0">
      <alignment horizontal="right" vertical="center"/>
    </xf>
    <xf numFmtId="4" fontId="147" fillId="47" borderId="42" applyNumberFormat="0" applyProtection="0">
      <alignment horizontal="right" vertical="center"/>
    </xf>
    <xf numFmtId="4" fontId="145" fillId="67" borderId="43" applyNumberFormat="0" applyProtection="0">
      <alignment horizontal="left" vertical="center" indent="1"/>
    </xf>
    <xf numFmtId="4" fontId="147" fillId="68" borderId="0" applyNumberFormat="0" applyProtection="0">
      <alignment horizontal="left" vertical="center" indent="1"/>
    </xf>
    <xf numFmtId="4" fontId="148" fillId="69" borderId="0" applyNumberFormat="0" applyProtection="0">
      <alignment horizontal="left" vertical="center" indent="1"/>
    </xf>
    <xf numFmtId="4" fontId="147" fillId="70" borderId="42" applyNumberFormat="0" applyProtection="0">
      <alignment horizontal="right" vertical="center"/>
    </xf>
    <xf numFmtId="4" fontId="149" fillId="68" borderId="0" applyNumberFormat="0" applyProtection="0">
      <alignment horizontal="left" vertical="center" indent="1"/>
    </xf>
    <xf numFmtId="4" fontId="149" fillId="65" borderId="0"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center" indent="1"/>
    </xf>
    <xf numFmtId="0" fontId="70" fillId="69" borderId="42" applyNumberFormat="0" applyProtection="0">
      <alignment horizontal="left" vertical="top" indent="1"/>
    </xf>
    <xf numFmtId="0" fontId="70" fillId="69" borderId="42" applyNumberFormat="0" applyProtection="0">
      <alignment horizontal="left" vertical="top" indent="1"/>
    </xf>
    <xf numFmtId="0" fontId="70" fillId="69" borderId="42" applyNumberFormat="0" applyProtection="0">
      <alignment horizontal="left" vertical="top" indent="1"/>
    </xf>
    <xf numFmtId="0" fontId="70" fillId="65" borderId="42" applyNumberFormat="0" applyProtection="0">
      <alignment horizontal="left" vertical="center" indent="1"/>
    </xf>
    <xf numFmtId="0" fontId="70" fillId="65" borderId="42" applyNumberFormat="0" applyProtection="0">
      <alignment horizontal="left" vertical="center" indent="1"/>
    </xf>
    <xf numFmtId="0" fontId="70" fillId="65" borderId="42" applyNumberFormat="0" applyProtection="0">
      <alignment horizontal="left" vertical="center" indent="1"/>
    </xf>
    <xf numFmtId="0" fontId="70" fillId="65" borderId="42" applyNumberFormat="0" applyProtection="0">
      <alignment horizontal="left" vertical="top" indent="1"/>
    </xf>
    <xf numFmtId="0" fontId="70" fillId="65" borderId="42" applyNumberFormat="0" applyProtection="0">
      <alignment horizontal="left" vertical="top" indent="1"/>
    </xf>
    <xf numFmtId="0" fontId="70" fillId="65" borderId="42" applyNumberFormat="0" applyProtection="0">
      <alignment horizontal="left" vertical="top" indent="1"/>
    </xf>
    <xf numFmtId="0" fontId="70" fillId="71" borderId="42" applyNumberFormat="0" applyProtection="0">
      <alignment horizontal="left" vertical="center" indent="1"/>
    </xf>
    <xf numFmtId="0" fontId="70" fillId="71" borderId="42" applyNumberFormat="0" applyProtection="0">
      <alignment horizontal="left" vertical="center" indent="1"/>
    </xf>
    <xf numFmtId="0" fontId="70" fillId="71" borderId="42" applyNumberFormat="0" applyProtection="0">
      <alignment horizontal="left" vertical="center" indent="1"/>
    </xf>
    <xf numFmtId="0" fontId="70" fillId="71" borderId="42" applyNumberFormat="0" applyProtection="0">
      <alignment horizontal="left" vertical="top" indent="1"/>
    </xf>
    <xf numFmtId="0" fontId="70" fillId="71" borderId="42" applyNumberFormat="0" applyProtection="0">
      <alignment horizontal="left" vertical="top" indent="1"/>
    </xf>
    <xf numFmtId="0" fontId="70" fillId="71" borderId="42" applyNumberFormat="0" applyProtection="0">
      <alignment horizontal="left" vertical="top" indent="1"/>
    </xf>
    <xf numFmtId="0" fontId="70" fillId="72" borderId="42" applyNumberFormat="0" applyProtection="0">
      <alignment horizontal="left" vertical="center" indent="1"/>
    </xf>
    <xf numFmtId="0" fontId="70" fillId="72" borderId="42" applyNumberFormat="0" applyProtection="0">
      <alignment horizontal="left" vertical="center" indent="1"/>
    </xf>
    <xf numFmtId="0" fontId="70" fillId="72" borderId="42" applyNumberFormat="0" applyProtection="0">
      <alignment horizontal="left" vertical="center" indent="1"/>
    </xf>
    <xf numFmtId="0" fontId="70" fillId="72" borderId="42" applyNumberFormat="0" applyProtection="0">
      <alignment horizontal="left" vertical="top" indent="1"/>
    </xf>
    <xf numFmtId="0" fontId="70" fillId="72" borderId="42" applyNumberFormat="0" applyProtection="0">
      <alignment horizontal="left" vertical="top" indent="1"/>
    </xf>
    <xf numFmtId="0" fontId="70" fillId="72" borderId="42" applyNumberFormat="0" applyProtection="0">
      <alignment horizontal="left" vertical="top" indent="1"/>
    </xf>
    <xf numFmtId="4" fontId="147" fillId="61" borderId="42" applyNumberFormat="0" applyProtection="0">
      <alignment vertical="center"/>
    </xf>
    <xf numFmtId="4" fontId="150" fillId="61" borderId="42" applyNumberFormat="0" applyProtection="0">
      <alignment vertical="center"/>
    </xf>
    <xf numFmtId="4" fontId="147" fillId="61" borderId="42" applyNumberFormat="0" applyProtection="0">
      <alignment horizontal="left" vertical="center" indent="1"/>
    </xf>
    <xf numFmtId="0" fontId="147" fillId="61" borderId="42" applyNumberFormat="0" applyProtection="0">
      <alignment horizontal="left" vertical="top" indent="1"/>
    </xf>
    <xf numFmtId="4" fontId="147" fillId="68" borderId="42" applyNumberFormat="0" applyProtection="0">
      <alignment horizontal="right" vertical="center"/>
    </xf>
    <xf numFmtId="4" fontId="147" fillId="73" borderId="30" applyNumberFormat="0" applyProtection="0">
      <alignment horizontal="right" vertical="center"/>
    </xf>
    <xf numFmtId="4" fontId="150" fillId="68" borderId="42" applyNumberFormat="0" applyProtection="0">
      <alignment horizontal="right" vertical="center"/>
    </xf>
    <xf numFmtId="4" fontId="147" fillId="70" borderId="42" applyNumberFormat="0" applyProtection="0">
      <alignment horizontal="left" vertical="center" indent="1"/>
    </xf>
    <xf numFmtId="0" fontId="147" fillId="65" borderId="42" applyNumberFormat="0" applyProtection="0">
      <alignment horizontal="left" vertical="top" indent="1"/>
    </xf>
    <xf numFmtId="4" fontId="151" fillId="74" borderId="0" applyNumberFormat="0" applyProtection="0">
      <alignment horizontal="left" vertical="center" indent="1"/>
    </xf>
    <xf numFmtId="4" fontId="152" fillId="68" borderId="42" applyNumberFormat="0" applyProtection="0">
      <alignment horizontal="right" vertical="center"/>
    </xf>
    <xf numFmtId="0" fontId="11" fillId="0" borderId="0" applyNumberFormat="0" applyFont="0" applyFill="0" applyBorder="0" applyAlignment="0" applyProtection="0"/>
    <xf numFmtId="0" fontId="153" fillId="0" borderId="0"/>
    <xf numFmtId="0" fontId="149" fillId="0" borderId="0">
      <alignment vertical="top"/>
    </xf>
    <xf numFmtId="0" fontId="154" fillId="0" borderId="44"/>
    <xf numFmtId="187" fontId="111" fillId="0" borderId="45"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2" fillId="0" borderId="28"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1" fillId="0" borderId="45"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1" fillId="0" borderId="45"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0" fillId="0" borderId="46" applyNumberFormat="0" applyFill="0" applyAlignment="0" applyProtection="0"/>
    <xf numFmtId="0" fontId="110" fillId="0" borderId="46" applyNumberFormat="0" applyFill="0" applyAlignment="0" applyProtection="0"/>
    <xf numFmtId="0" fontId="110" fillId="0" borderId="46" applyNumberFormat="0" applyFill="0" applyAlignment="0" applyProtection="0"/>
    <xf numFmtId="187" fontId="111" fillId="0" borderId="45" applyNumberFormat="0" applyFill="0" applyAlignment="0" applyProtection="0"/>
    <xf numFmtId="0" fontId="110" fillId="0" borderId="46"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5" applyNumberFormat="0" applyFill="0" applyAlignment="0" applyProtection="0"/>
    <xf numFmtId="0" fontId="111" fillId="0" borderId="45" applyNumberFormat="0" applyFill="0" applyAlignment="0" applyProtection="0"/>
    <xf numFmtId="0" fontId="155" fillId="0" borderId="28" applyNumberFormat="0" applyFill="0" applyAlignment="0" applyProtection="0"/>
    <xf numFmtId="0" fontId="11" fillId="0" borderId="0" applyNumberFormat="0" applyFont="0" applyFill="0" applyBorder="0" applyAlignment="0" applyProtection="0"/>
    <xf numFmtId="187" fontId="111" fillId="0" borderId="45" applyNumberFormat="0" applyFill="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1" fillId="0" borderId="45" applyNumberFormat="0" applyFill="0" applyAlignment="0" applyProtection="0"/>
    <xf numFmtId="0" fontId="111" fillId="0" borderId="45" applyNumberFormat="0" applyFill="0" applyAlignment="0" applyProtection="0"/>
    <xf numFmtId="0" fontId="155" fillId="0" borderId="28" applyNumberFormat="0" applyFill="0" applyAlignment="0" applyProtection="0"/>
    <xf numFmtId="0" fontId="11" fillId="0" borderId="0" applyNumberFormat="0" applyFont="0" applyFill="0" applyBorder="0" applyAlignment="0" applyProtection="0"/>
    <xf numFmtId="0" fontId="12" fillId="0" borderId="28"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0" fontId="11" fillId="0" borderId="28" applyNumberFormat="0" applyFill="0" applyAlignment="0" applyProtection="0"/>
    <xf numFmtId="0" fontId="155" fillId="0" borderId="28" applyNumberFormat="0" applyFill="0" applyAlignment="0" applyProtection="0"/>
    <xf numFmtId="0" fontId="11" fillId="0" borderId="28" applyNumberFormat="0" applyFill="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187" fontId="156" fillId="0" borderId="0" applyNumberFormat="0" applyFill="0" applyBorder="0" applyAlignment="0" applyProtection="0"/>
    <xf numFmtId="0"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187" fontId="156"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6" fillId="0" borderId="0" applyNumberFormat="0" applyFill="0" applyBorder="0" applyAlignment="0" applyProtection="0"/>
    <xf numFmtId="0" fontId="156" fillId="0" borderId="0" applyNumberFormat="0" applyFill="0" applyBorder="0" applyAlignment="0" applyProtection="0"/>
    <xf numFmtId="0" fontId="157" fillId="0" borderId="0" applyNumberFormat="0" applyFill="0" applyBorder="0" applyAlignment="0" applyProtection="0"/>
    <xf numFmtId="0" fontId="11" fillId="0" borderId="0" applyNumberFormat="0" applyFont="0" applyFill="0" applyBorder="0" applyAlignment="0" applyProtection="0"/>
    <xf numFmtId="0" fontId="61"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7" fillId="0" borderId="0" applyNumberFormat="0" applyFill="0" applyBorder="0" applyAlignment="0" applyProtection="0"/>
    <xf numFmtId="0" fontId="158" fillId="0" borderId="0" applyNumberForma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87" fontId="159" fillId="0" borderId="0" applyNumberFormat="0" applyFill="0" applyBorder="0" applyAlignment="0" applyProtection="0"/>
    <xf numFmtId="0" fontId="160"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187" fontId="159"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59" fillId="0" borderId="0" applyNumberFormat="0" applyFill="0" applyBorder="0" applyAlignment="0" applyProtection="0"/>
    <xf numFmtId="0" fontId="159" fillId="0" borderId="0" applyNumberFormat="0" applyFill="0" applyBorder="0" applyAlignment="0" applyProtection="0"/>
    <xf numFmtId="0" fontId="161" fillId="0" borderId="0" applyNumberFormat="0" applyFill="0" applyBorder="0" applyAlignment="0" applyProtection="0"/>
    <xf numFmtId="0" fontId="11" fillId="0" borderId="0" applyNumberFormat="0" applyFont="0" applyFill="0" applyBorder="0" applyAlignment="0" applyProtection="0"/>
    <xf numFmtId="0" fontId="60"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0" fontId="161" fillId="0" borderId="0" applyNumberForma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3" fillId="0" borderId="0" applyNumberFormat="0" applyFill="0" applyBorder="0" applyAlignment="0" applyProtection="0"/>
    <xf numFmtId="0" fontId="163" fillId="0" borderId="0" applyNumberFormat="0" applyFill="0" applyBorder="0" applyAlignment="0" applyProtection="0"/>
    <xf numFmtId="187" fontId="162" fillId="0" borderId="0" applyNumberFormat="0" applyFill="0" applyBorder="0" applyAlignment="0" applyProtection="0"/>
    <xf numFmtId="0" fontId="163"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187" fontId="162"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2" fillId="0" borderId="0" applyNumberFormat="0" applyFill="0" applyBorder="0" applyAlignment="0" applyProtection="0"/>
    <xf numFmtId="0" fontId="162" fillId="0" borderId="0" applyNumberFormat="0" applyFill="0" applyBorder="0" applyAlignment="0" applyProtection="0"/>
    <xf numFmtId="0" fontId="11" fillId="0" borderId="0" applyNumberFormat="0" applyFon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4" fillId="0" borderId="0" applyNumberFormat="0" applyFill="0" applyBorder="0" applyAlignment="0" applyProtection="0"/>
    <xf numFmtId="0" fontId="165" fillId="0" borderId="0" applyNumberFormat="0" applyFill="0" applyBorder="0" applyAlignment="0" applyProtection="0"/>
    <xf numFmtId="3" fontId="166" fillId="0" borderId="0"/>
    <xf numFmtId="208" fontId="137" fillId="0" borderId="0">
      <alignment horizontal="left"/>
    </xf>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187" fontId="70" fillId="42" borderId="4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70" fillId="42" borderId="47"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70" fillId="42" borderId="47"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0" borderId="0" applyNumberFormat="0" applyFont="0" applyFill="0" applyBorder="0" applyAlignment="0" applyProtection="0"/>
    <xf numFmtId="0" fontId="5" fillId="42" borderId="48" applyNumberFormat="0" applyFont="0" applyAlignment="0" applyProtection="0"/>
    <xf numFmtId="0" fontId="5" fillId="42" borderId="48" applyNumberFormat="0" applyFont="0" applyAlignment="0" applyProtection="0"/>
    <xf numFmtId="0" fontId="5" fillId="42" borderId="48"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187" fontId="70" fillId="42" borderId="4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0" applyNumberFormat="0" applyFont="0" applyFill="0" applyBorder="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11" fillId="0" borderId="27" applyNumberFormat="0" applyFont="0" applyFill="0" applyAlignment="0" applyProtection="0"/>
    <xf numFmtId="0" fontId="5" fillId="10" borderId="27" applyNumberFormat="0" applyFont="0" applyAlignment="0" applyProtection="0"/>
    <xf numFmtId="0" fontId="70" fillId="42" borderId="47" applyNumberFormat="0" applyFont="0" applyAlignment="0" applyProtection="0"/>
    <xf numFmtId="0" fontId="5" fillId="10" borderId="27" applyNumberFormat="0" applyFont="0" applyAlignment="0" applyProtection="0"/>
    <xf numFmtId="0" fontId="70" fillId="42" borderId="4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5" fillId="10" borderId="27" applyNumberFormat="0" applyFont="0" applyAlignment="0" applyProtection="0"/>
    <xf numFmtId="0" fontId="5" fillId="10" borderId="27" applyNumberFormat="0" applyFont="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187" fontId="70" fillId="42" borderId="4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70" fillId="42" borderId="47" applyNumberFormat="0" applyFont="0" applyAlignment="0" applyProtection="0"/>
    <xf numFmtId="0" fontId="70" fillId="42" borderId="4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11" fillId="10" borderId="27" applyNumberFormat="0" applyFont="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0" borderId="27" applyNumberFormat="0" applyFont="0" applyFill="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11"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0" fontId="4" fillId="10" borderId="27" applyNumberFormat="0" applyFont="0" applyAlignment="0" applyProtection="0"/>
    <xf numFmtId="193" fontId="114" fillId="0" borderId="0"/>
    <xf numFmtId="210" fontId="75" fillId="0" borderId="0" applyFont="0" applyFill="0" applyBorder="0" applyAlignment="0" applyProtection="0"/>
    <xf numFmtId="189" fontId="74" fillId="0" borderId="0" applyFont="0" applyFill="0" applyBorder="0" applyAlignment="0" applyProtection="0"/>
    <xf numFmtId="211" fontId="70" fillId="0" borderId="0" applyFont="0" applyFill="0" applyBorder="0" applyAlignment="0" applyProtection="0"/>
    <xf numFmtId="212" fontId="70" fillId="0" borderId="0" applyFont="0" applyFill="0" applyBorder="0" applyAlignment="0" applyProtection="0"/>
    <xf numFmtId="44" fontId="11"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4" fillId="0" borderId="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70"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44" fontId="11" fillId="0" borderId="0" applyFont="0" applyFill="0" applyBorder="0" applyAlignment="0" applyProtection="0"/>
    <xf numFmtId="44" fontId="4" fillId="0" borderId="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187" fontId="167" fillId="36" borderId="0" applyNumberFormat="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1" fillId="0" borderId="0" applyNumberFormat="0" applyFont="0" applyFill="0" applyBorder="0" applyAlignment="0" applyProtection="0"/>
    <xf numFmtId="0" fontId="167" fillId="36" borderId="0" applyNumberFormat="0" applyBorder="0" applyAlignment="0" applyProtection="0"/>
    <xf numFmtId="0" fontId="167" fillId="36" borderId="0" applyNumberFormat="0" applyBorder="0" applyAlignment="0" applyProtection="0"/>
    <xf numFmtId="0" fontId="168" fillId="5" borderId="0" applyNumberFormat="0" applyBorder="0" applyAlignment="0" applyProtection="0"/>
    <xf numFmtId="0" fontId="11" fillId="0" borderId="0" applyNumberFormat="0" applyFont="0" applyFill="0" applyBorder="0" applyAlignment="0" applyProtection="0"/>
    <xf numFmtId="0" fontId="53" fillId="5" borderId="0" applyNumberFormat="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5" borderId="0" applyNumberFormat="0" applyBorder="0" applyAlignment="0" applyProtection="0"/>
    <xf numFmtId="0" fontId="168" fillId="0" borderId="0" applyNumberFormat="0" applyFill="0" applyBorder="0" applyAlignment="0" applyProtection="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9" fontId="63" fillId="0" borderId="0" applyFont="0" applyFill="0" applyBorder="0" applyAlignment="0" applyProtection="0"/>
    <xf numFmtId="0" fontId="2" fillId="0" borderId="0"/>
    <xf numFmtId="9" fontId="2" fillId="0" borderId="0" applyFont="0" applyFill="0" applyBorder="0" applyAlignment="0" applyProtection="0"/>
    <xf numFmtId="0" fontId="130" fillId="0" borderId="0"/>
    <xf numFmtId="0" fontId="2" fillId="0" borderId="0"/>
    <xf numFmtId="43" fontId="11" fillId="0" borderId="0" applyFont="0" applyFill="0" applyBorder="0" applyAlignment="0" applyProtection="0"/>
  </cellStyleXfs>
  <cellXfs count="946">
    <xf numFmtId="0" fontId="0" fillId="0" borderId="0" xfId="0"/>
    <xf numFmtId="0" fontId="6" fillId="0" borderId="0" xfId="0" applyFont="1" applyAlignment="1">
      <alignment vertical="center"/>
    </xf>
    <xf numFmtId="0" fontId="13" fillId="2" borderId="0" xfId="0" applyFont="1" applyFill="1" applyAlignment="1">
      <alignment vertical="center"/>
    </xf>
    <xf numFmtId="0" fontId="18" fillId="2" borderId="0" xfId="0" applyFont="1" applyFill="1" applyAlignment="1">
      <alignment vertical="center"/>
    </xf>
    <xf numFmtId="0" fontId="9" fillId="0" borderId="0" xfId="0" applyFont="1" applyAlignment="1">
      <alignment vertical="center"/>
    </xf>
    <xf numFmtId="0" fontId="9" fillId="0" borderId="0" xfId="0" applyFont="1"/>
    <xf numFmtId="0" fontId="9" fillId="2" borderId="0" xfId="0" applyFont="1" applyFill="1" applyAlignment="1">
      <alignment vertical="center"/>
    </xf>
    <xf numFmtId="0" fontId="9" fillId="2" borderId="0" xfId="0" applyFont="1" applyFill="1"/>
    <xf numFmtId="0" fontId="20" fillId="2" borderId="0" xfId="0" applyFont="1" applyFill="1"/>
    <xf numFmtId="0" fontId="25" fillId="2" borderId="0" xfId="0" applyFont="1" applyFill="1" applyAlignment="1">
      <alignment vertical="center"/>
    </xf>
    <xf numFmtId="0" fontId="25" fillId="0" borderId="0" xfId="0" applyFont="1" applyAlignment="1">
      <alignment vertical="center"/>
    </xf>
    <xf numFmtId="0" fontId="12" fillId="2" borderId="0" xfId="0" applyFont="1" applyFill="1" applyAlignment="1">
      <alignment vertical="center"/>
    </xf>
    <xf numFmtId="0" fontId="27" fillId="2" borderId="0" xfId="0" applyFont="1" applyFill="1"/>
    <xf numFmtId="0" fontId="25" fillId="2" borderId="0" xfId="0" applyFont="1" applyFill="1"/>
    <xf numFmtId="0" fontId="25" fillId="0" borderId="0" xfId="0" applyFont="1"/>
    <xf numFmtId="0" fontId="30" fillId="2" borderId="0" xfId="0" applyFont="1" applyFill="1"/>
    <xf numFmtId="170" fontId="9" fillId="2" borderId="0" xfId="0" applyNumberFormat="1" applyFont="1" applyFill="1" applyAlignment="1">
      <alignment vertical="center"/>
    </xf>
    <xf numFmtId="173" fontId="9" fillId="2" borderId="0" xfId="0" applyNumberFormat="1" applyFont="1" applyFill="1" applyAlignment="1">
      <alignment vertical="center"/>
    </xf>
    <xf numFmtId="174" fontId="28" fillId="2" borderId="0" xfId="1" applyNumberFormat="1" applyFont="1" applyFill="1" applyBorder="1" applyAlignment="1">
      <alignment horizontal="right" vertical="center"/>
    </xf>
    <xf numFmtId="174" fontId="9" fillId="2" borderId="0" xfId="0" applyNumberFormat="1" applyFont="1" applyFill="1" applyAlignment="1">
      <alignment vertical="center"/>
    </xf>
    <xf numFmtId="173" fontId="28" fillId="2" borderId="0" xfId="1" applyNumberFormat="1" applyFont="1" applyFill="1" applyBorder="1" applyAlignment="1">
      <alignment horizontal="right" vertical="center"/>
    </xf>
    <xf numFmtId="172" fontId="9" fillId="2" borderId="0" xfId="0" applyNumberFormat="1" applyFont="1" applyFill="1" applyAlignment="1">
      <alignment vertical="center"/>
    </xf>
    <xf numFmtId="173" fontId="30" fillId="2" borderId="0" xfId="0" applyNumberFormat="1" applyFont="1" applyFill="1" applyAlignment="1">
      <alignment vertical="center"/>
    </xf>
    <xf numFmtId="174" fontId="30" fillId="2" borderId="0" xfId="0" applyNumberFormat="1" applyFont="1" applyFill="1" applyAlignment="1">
      <alignment vertical="center"/>
    </xf>
    <xf numFmtId="165" fontId="28" fillId="2" borderId="0" xfId="0" applyNumberFormat="1" applyFont="1" applyFill="1" applyAlignment="1">
      <alignment horizontal="right" vertical="center"/>
    </xf>
    <xf numFmtId="170" fontId="30" fillId="2" borderId="0" xfId="0" applyNumberFormat="1" applyFont="1" applyFill="1" applyAlignment="1">
      <alignment vertical="center"/>
    </xf>
    <xf numFmtId="170" fontId="28" fillId="2" borderId="0" xfId="0" applyNumberFormat="1" applyFont="1" applyFill="1" applyAlignment="1">
      <alignment horizontal="right" vertical="center"/>
    </xf>
    <xf numFmtId="0" fontId="9" fillId="2" borderId="3" xfId="0" applyFont="1" applyFill="1" applyBorder="1" applyAlignment="1">
      <alignment horizontal="left" vertical="center"/>
    </xf>
    <xf numFmtId="0" fontId="9" fillId="2" borderId="0" xfId="0" applyFont="1" applyFill="1" applyAlignment="1">
      <alignment horizontal="left" vertical="center"/>
    </xf>
    <xf numFmtId="0" fontId="29" fillId="2" borderId="3" xfId="0" applyFont="1" applyFill="1" applyBorder="1" applyAlignment="1">
      <alignment horizontal="left" vertical="center" indent="2"/>
    </xf>
    <xf numFmtId="173" fontId="9" fillId="2" borderId="0" xfId="0" applyNumberFormat="1" applyFont="1" applyFill="1" applyAlignment="1">
      <alignment horizontal="right" vertical="center"/>
    </xf>
    <xf numFmtId="174" fontId="28" fillId="2" borderId="3" xfId="1" applyNumberFormat="1" applyFont="1" applyFill="1" applyBorder="1" applyAlignment="1">
      <alignment horizontal="right" vertical="center"/>
    </xf>
    <xf numFmtId="174" fontId="30" fillId="2" borderId="3" xfId="0" applyNumberFormat="1" applyFont="1" applyFill="1" applyBorder="1" applyAlignment="1">
      <alignment vertical="center"/>
    </xf>
    <xf numFmtId="0" fontId="6" fillId="2" borderId="0" xfId="0" applyFont="1" applyFill="1" applyAlignment="1">
      <alignment vertical="center"/>
    </xf>
    <xf numFmtId="181" fontId="28" fillId="2" borderId="0" xfId="1" applyNumberFormat="1" applyFont="1" applyFill="1" applyBorder="1" applyAlignment="1">
      <alignment horizontal="right" vertical="center"/>
    </xf>
    <xf numFmtId="0" fontId="40" fillId="2" borderId="0" xfId="0" applyFont="1" applyFill="1"/>
    <xf numFmtId="177" fontId="40" fillId="2" borderId="0" xfId="0" applyNumberFormat="1" applyFont="1" applyFill="1" applyAlignment="1">
      <alignment horizontal="right" vertical="center"/>
    </xf>
    <xf numFmtId="179" fontId="23" fillId="2" borderId="0" xfId="0" applyNumberFormat="1" applyFont="1" applyFill="1" applyAlignment="1">
      <alignment vertical="center"/>
    </xf>
    <xf numFmtId="0" fontId="40" fillId="2" borderId="0" xfId="0" applyFont="1" applyFill="1" applyAlignment="1">
      <alignment vertical="center"/>
    </xf>
    <xf numFmtId="0" fontId="40" fillId="0" borderId="0" xfId="0" applyFont="1" applyAlignment="1">
      <alignment vertical="center"/>
    </xf>
    <xf numFmtId="173" fontId="9" fillId="2" borderId="3" xfId="0" applyNumberFormat="1" applyFont="1" applyFill="1" applyBorder="1" applyAlignment="1">
      <alignment horizontal="right" vertical="center"/>
    </xf>
    <xf numFmtId="167" fontId="9" fillId="2" borderId="0" xfId="0" applyNumberFormat="1" applyFont="1" applyFill="1" applyAlignment="1">
      <alignment horizontal="right" vertical="center"/>
    </xf>
    <xf numFmtId="167" fontId="9" fillId="2" borderId="3" xfId="0" applyNumberFormat="1" applyFont="1" applyFill="1" applyBorder="1" applyAlignment="1">
      <alignment horizontal="right" vertical="center"/>
    </xf>
    <xf numFmtId="184" fontId="9" fillId="2" borderId="0" xfId="0" applyNumberFormat="1" applyFont="1" applyFill="1" applyAlignment="1">
      <alignment horizontal="right" vertical="center"/>
    </xf>
    <xf numFmtId="167" fontId="9" fillId="2" borderId="0" xfId="0" applyNumberFormat="1" applyFont="1" applyFill="1" applyAlignment="1">
      <alignment vertical="center"/>
    </xf>
    <xf numFmtId="182" fontId="9" fillId="2" borderId="0" xfId="0" applyNumberFormat="1" applyFont="1" applyFill="1" applyAlignment="1">
      <alignment horizontal="right" vertical="center"/>
    </xf>
    <xf numFmtId="182" fontId="40" fillId="2" borderId="0" xfId="0" applyNumberFormat="1" applyFont="1" applyFill="1" applyAlignment="1">
      <alignment horizontal="right" vertical="center"/>
    </xf>
    <xf numFmtId="0" fontId="9" fillId="2" borderId="0" xfId="0" applyFont="1" applyFill="1" applyAlignment="1">
      <alignment horizontal="right" vertical="center"/>
    </xf>
    <xf numFmtId="0" fontId="42" fillId="2" borderId="0" xfId="0" applyFont="1" applyFill="1"/>
    <xf numFmtId="0" fontId="9" fillId="0" borderId="3" xfId="0" applyFont="1" applyBorder="1" applyAlignment="1">
      <alignment horizontal="left" vertical="center" wrapText="1"/>
    </xf>
    <xf numFmtId="171" fontId="9" fillId="0" borderId="0" xfId="0" applyNumberFormat="1" applyFont="1" applyAlignment="1">
      <alignment horizontal="right" vertical="center"/>
    </xf>
    <xf numFmtId="171" fontId="9" fillId="0" borderId="3" xfId="0" applyNumberFormat="1" applyFont="1" applyBorder="1" applyAlignment="1">
      <alignment horizontal="right" vertical="center"/>
    </xf>
    <xf numFmtId="176" fontId="45" fillId="0" borderId="0" xfId="0" applyNumberFormat="1" applyFont="1" applyAlignment="1">
      <alignment horizontal="right" vertical="center"/>
    </xf>
    <xf numFmtId="0" fontId="20" fillId="0" borderId="0" xfId="0" applyFont="1"/>
    <xf numFmtId="177" fontId="9" fillId="0" borderId="0" xfId="0" applyNumberFormat="1" applyFont="1" applyAlignment="1">
      <alignment horizontal="right" vertical="center"/>
    </xf>
    <xf numFmtId="177" fontId="9" fillId="0" borderId="3" xfId="0" applyNumberFormat="1" applyFont="1" applyBorder="1" applyAlignment="1">
      <alignment horizontal="right" vertical="center"/>
    </xf>
    <xf numFmtId="177" fontId="9" fillId="2" borderId="0" xfId="0" applyNumberFormat="1" applyFont="1" applyFill="1" applyAlignment="1">
      <alignment horizontal="right" vertical="center"/>
    </xf>
    <xf numFmtId="176" fontId="28" fillId="0" borderId="0" xfId="0" applyNumberFormat="1" applyFont="1" applyAlignment="1">
      <alignment horizontal="right" vertical="center"/>
    </xf>
    <xf numFmtId="0" fontId="44" fillId="0" borderId="3" xfId="0" applyFont="1" applyBorder="1" applyAlignment="1">
      <alignment vertical="center"/>
    </xf>
    <xf numFmtId="179" fontId="20" fillId="0" borderId="0" xfId="0" applyNumberFormat="1" applyFont="1" applyAlignment="1">
      <alignment horizontal="right" vertical="center"/>
    </xf>
    <xf numFmtId="179" fontId="9" fillId="0" borderId="3" xfId="0" applyNumberFormat="1" applyFont="1" applyBorder="1" applyAlignment="1">
      <alignment horizontal="right" vertical="center"/>
    </xf>
    <xf numFmtId="179" fontId="20" fillId="0" borderId="3" xfId="0" applyNumberFormat="1" applyFont="1" applyBorder="1" applyAlignment="1">
      <alignment horizontal="right" vertical="center"/>
    </xf>
    <xf numFmtId="179" fontId="31" fillId="0" borderId="0" xfId="0" applyNumberFormat="1" applyFont="1" applyAlignment="1">
      <alignment horizontal="right" vertical="center"/>
    </xf>
    <xf numFmtId="179" fontId="20" fillId="2" borderId="0" xfId="0" applyNumberFormat="1" applyFont="1" applyFill="1" applyAlignment="1">
      <alignment horizontal="right" vertical="center"/>
    </xf>
    <xf numFmtId="0" fontId="9" fillId="0" borderId="0" xfId="0" applyFont="1" applyAlignment="1">
      <alignment horizontal="right" vertical="center"/>
    </xf>
    <xf numFmtId="0" fontId="12" fillId="0" borderId="0" xfId="0" applyFont="1" applyAlignment="1">
      <alignment vertical="center"/>
    </xf>
    <xf numFmtId="174" fontId="30" fillId="0" borderId="0" xfId="0" applyNumberFormat="1" applyFont="1" applyAlignment="1">
      <alignment vertical="center"/>
    </xf>
    <xf numFmtId="182" fontId="9" fillId="0" borderId="9" xfId="0" applyNumberFormat="1" applyFont="1" applyBorder="1" applyAlignment="1">
      <alignment vertical="center"/>
    </xf>
    <xf numFmtId="182" fontId="9" fillId="0" borderId="0" xfId="0" applyNumberFormat="1" applyFont="1" applyAlignment="1">
      <alignment vertical="center"/>
    </xf>
    <xf numFmtId="183" fontId="9" fillId="0" borderId="0" xfId="0" applyNumberFormat="1" applyFont="1" applyAlignment="1">
      <alignment vertical="center"/>
    </xf>
    <xf numFmtId="0" fontId="9" fillId="0" borderId="3" xfId="0" applyFont="1" applyBorder="1" applyAlignment="1">
      <alignment vertical="center" wrapText="1"/>
    </xf>
    <xf numFmtId="182" fontId="40" fillId="2" borderId="3" xfId="0" applyNumberFormat="1" applyFont="1" applyFill="1" applyBorder="1" applyAlignment="1">
      <alignment horizontal="right" vertical="center"/>
    </xf>
    <xf numFmtId="177" fontId="40" fillId="2" borderId="3" xfId="0" applyNumberFormat="1" applyFont="1" applyFill="1" applyBorder="1" applyAlignment="1">
      <alignment horizontal="right" vertical="center"/>
    </xf>
    <xf numFmtId="179" fontId="20" fillId="2" borderId="3" xfId="0" applyNumberFormat="1" applyFont="1" applyFill="1" applyBorder="1" applyAlignment="1">
      <alignment horizontal="right" vertical="center"/>
    </xf>
    <xf numFmtId="182" fontId="20" fillId="2" borderId="0" xfId="0" applyNumberFormat="1" applyFont="1" applyFill="1" applyAlignment="1">
      <alignment vertical="center"/>
    </xf>
    <xf numFmtId="182" fontId="40" fillId="0" borderId="0" xfId="0" applyNumberFormat="1" applyFont="1" applyAlignment="1">
      <alignment horizontal="right" vertical="center"/>
    </xf>
    <xf numFmtId="0" fontId="45" fillId="0" borderId="0" xfId="0" applyFont="1" applyAlignment="1">
      <alignment vertical="center" wrapText="1"/>
    </xf>
    <xf numFmtId="169" fontId="9" fillId="2" borderId="0" xfId="7" applyNumberFormat="1" applyFont="1" applyFill="1" applyAlignment="1">
      <alignment vertical="center"/>
    </xf>
    <xf numFmtId="3" fontId="34" fillId="0" borderId="0" xfId="0" applyNumberFormat="1" applyFont="1" applyAlignment="1">
      <alignment horizontal="right" vertical="center" wrapText="1"/>
    </xf>
    <xf numFmtId="3" fontId="17" fillId="0" borderId="0" xfId="0" applyNumberFormat="1" applyFont="1" applyAlignment="1">
      <alignment horizontal="right" vertical="center" wrapText="1"/>
    </xf>
    <xf numFmtId="3" fontId="17" fillId="0" borderId="19" xfId="0" applyNumberFormat="1" applyFont="1" applyBorder="1" applyAlignment="1">
      <alignment horizontal="right" vertical="center" wrapText="1"/>
    </xf>
    <xf numFmtId="169" fontId="17" fillId="0" borderId="0" xfId="0" applyNumberFormat="1" applyFont="1" applyAlignment="1">
      <alignment horizontal="right" vertical="center" wrapText="1"/>
    </xf>
    <xf numFmtId="3" fontId="37" fillId="0" borderId="0" xfId="6" applyNumberFormat="1" applyFont="1" applyFill="1" applyBorder="1" applyAlignment="1">
      <alignment horizontal="right" vertical="center" wrapText="1"/>
    </xf>
    <xf numFmtId="3" fontId="17" fillId="0" borderId="0" xfId="6" applyNumberFormat="1" applyFont="1" applyFill="1" applyBorder="1" applyAlignment="1">
      <alignment horizontal="right" vertical="center" wrapText="1"/>
    </xf>
    <xf numFmtId="185" fontId="40" fillId="2" borderId="0" xfId="0" applyNumberFormat="1" applyFont="1" applyFill="1" applyAlignment="1">
      <alignment horizontal="right" vertical="center"/>
    </xf>
    <xf numFmtId="181" fontId="28" fillId="2" borderId="0" xfId="8" applyNumberFormat="1" applyFont="1" applyFill="1" applyBorder="1" applyAlignment="1">
      <alignment horizontal="right" vertical="center"/>
    </xf>
    <xf numFmtId="181" fontId="9" fillId="2" borderId="0" xfId="0" applyNumberFormat="1" applyFont="1" applyFill="1" applyAlignment="1">
      <alignment vertical="center"/>
    </xf>
    <xf numFmtId="181" fontId="30" fillId="2" borderId="0" xfId="0" applyNumberFormat="1" applyFont="1" applyFill="1" applyAlignment="1">
      <alignment vertical="center"/>
    </xf>
    <xf numFmtId="3" fontId="37" fillId="0" borderId="0" xfId="0" applyNumberFormat="1" applyFont="1" applyAlignment="1">
      <alignment horizontal="right" vertical="center" wrapText="1"/>
    </xf>
    <xf numFmtId="167" fontId="17" fillId="0" borderId="0" xfId="0" applyNumberFormat="1" applyFont="1" applyAlignment="1">
      <alignment horizontal="right" vertical="center" wrapText="1"/>
    </xf>
    <xf numFmtId="182" fontId="9" fillId="2" borderId="0" xfId="0" applyNumberFormat="1" applyFont="1" applyFill="1" applyAlignment="1">
      <alignment vertical="center"/>
    </xf>
    <xf numFmtId="182" fontId="22" fillId="2" borderId="0" xfId="0" applyNumberFormat="1" applyFont="1" applyFill="1" applyAlignment="1">
      <alignment horizontal="right" vertical="center"/>
    </xf>
    <xf numFmtId="182" fontId="22" fillId="0" borderId="0" xfId="0" applyNumberFormat="1" applyFont="1" applyAlignment="1">
      <alignment horizontal="right" vertical="center"/>
    </xf>
    <xf numFmtId="182" fontId="20" fillId="0" borderId="0" xfId="0" applyNumberFormat="1" applyFont="1" applyAlignment="1">
      <alignment vertical="center"/>
    </xf>
    <xf numFmtId="3" fontId="46" fillId="2" borderId="0" xfId="0" applyNumberFormat="1" applyFont="1" applyFill="1" applyAlignment="1">
      <alignment horizontal="right" vertical="center" wrapText="1"/>
    </xf>
    <xf numFmtId="177" fontId="47" fillId="2" borderId="0" xfId="0" applyNumberFormat="1" applyFont="1" applyFill="1" applyAlignment="1">
      <alignment horizontal="right" vertical="center"/>
    </xf>
    <xf numFmtId="186" fontId="23" fillId="2" borderId="0" xfId="0" applyNumberFormat="1" applyFont="1" applyFill="1" applyAlignment="1">
      <alignment horizontal="right" vertical="center"/>
    </xf>
    <xf numFmtId="0" fontId="48" fillId="2" borderId="0" xfId="0" applyFont="1" applyFill="1"/>
    <xf numFmtId="0" fontId="28" fillId="2" borderId="0" xfId="0" applyFont="1" applyFill="1" applyAlignment="1">
      <alignment vertical="center"/>
    </xf>
    <xf numFmtId="0" fontId="28" fillId="2" borderId="0" xfId="0" applyFont="1" applyFill="1"/>
    <xf numFmtId="0" fontId="28" fillId="0" borderId="0" xfId="0" applyFont="1" applyAlignment="1">
      <alignment vertical="center"/>
    </xf>
    <xf numFmtId="171" fontId="9" fillId="2" borderId="3" xfId="0" applyNumberFormat="1" applyFont="1" applyFill="1" applyBorder="1" applyAlignment="1">
      <alignment horizontal="right" vertical="center"/>
    </xf>
    <xf numFmtId="177" fontId="9" fillId="2" borderId="3" xfId="0" applyNumberFormat="1" applyFont="1" applyFill="1" applyBorder="1" applyAlignment="1">
      <alignment horizontal="right" vertical="center"/>
    </xf>
    <xf numFmtId="171" fontId="40" fillId="2" borderId="3" xfId="0" applyNumberFormat="1" applyFont="1" applyFill="1" applyBorder="1" applyAlignment="1">
      <alignment horizontal="right" vertical="center"/>
    </xf>
    <xf numFmtId="0" fontId="28" fillId="0" borderId="3" xfId="0" applyFont="1" applyBorder="1" applyAlignment="1">
      <alignment horizontal="left" vertical="center" wrapText="1"/>
    </xf>
    <xf numFmtId="177" fontId="28" fillId="0" borderId="0" xfId="0" applyNumberFormat="1" applyFont="1" applyAlignment="1">
      <alignment horizontal="right" vertical="center"/>
    </xf>
    <xf numFmtId="177" fontId="28" fillId="0" borderId="3" xfId="0" applyNumberFormat="1" applyFont="1" applyBorder="1" applyAlignment="1">
      <alignment horizontal="right" vertical="center"/>
    </xf>
    <xf numFmtId="177" fontId="28" fillId="2" borderId="0" xfId="0" applyNumberFormat="1" applyFont="1" applyFill="1" applyAlignment="1">
      <alignment horizontal="right" vertical="center"/>
    </xf>
    <xf numFmtId="177" fontId="28" fillId="2" borderId="3" xfId="0" applyNumberFormat="1" applyFont="1" applyFill="1" applyBorder="1" applyAlignment="1">
      <alignment horizontal="right" vertical="center"/>
    </xf>
    <xf numFmtId="0" fontId="28" fillId="0" borderId="0" xfId="0" applyFont="1"/>
    <xf numFmtId="0" fontId="28" fillId="2" borderId="3" xfId="0" applyFont="1" applyFill="1" applyBorder="1" applyAlignment="1">
      <alignment horizontal="left" vertical="center"/>
    </xf>
    <xf numFmtId="0" fontId="27" fillId="2" borderId="0" xfId="0" applyFont="1" applyFill="1" applyAlignment="1">
      <alignment horizontal="left" vertical="top" wrapText="1"/>
    </xf>
    <xf numFmtId="185" fontId="24" fillId="2" borderId="16" xfId="0" applyNumberFormat="1" applyFont="1" applyFill="1" applyBorder="1" applyAlignment="1">
      <alignment vertical="center" wrapText="1"/>
    </xf>
    <xf numFmtId="185" fontId="24" fillId="2" borderId="16" xfId="0" applyNumberFormat="1" applyFont="1" applyFill="1" applyBorder="1" applyAlignment="1">
      <alignment wrapText="1"/>
    </xf>
    <xf numFmtId="185" fontId="24" fillId="2" borderId="16" xfId="0" applyNumberFormat="1" applyFont="1" applyFill="1" applyBorder="1" applyAlignment="1">
      <alignment horizontal="left" vertical="center" wrapText="1"/>
    </xf>
    <xf numFmtId="185" fontId="47" fillId="2" borderId="16" xfId="0" applyNumberFormat="1" applyFont="1" applyFill="1" applyBorder="1" applyAlignment="1">
      <alignment vertical="center" wrapText="1"/>
    </xf>
    <xf numFmtId="185" fontId="24" fillId="0" borderId="16" xfId="0" applyNumberFormat="1" applyFont="1" applyBorder="1" applyAlignment="1">
      <alignment vertical="center" wrapText="1"/>
    </xf>
    <xf numFmtId="185" fontId="21" fillId="2" borderId="16" xfId="0" applyNumberFormat="1" applyFont="1" applyFill="1" applyBorder="1" applyAlignment="1">
      <alignment vertical="center"/>
    </xf>
    <xf numFmtId="0" fontId="9" fillId="2" borderId="0" xfId="0" applyFont="1" applyFill="1" applyAlignment="1">
      <alignment vertical="center" wrapText="1"/>
    </xf>
    <xf numFmtId="185" fontId="9" fillId="0" borderId="0" xfId="0" applyNumberFormat="1" applyFont="1" applyAlignment="1">
      <alignment vertical="center"/>
    </xf>
    <xf numFmtId="185" fontId="9" fillId="0" borderId="0" xfId="0" applyNumberFormat="1" applyFont="1" applyAlignment="1">
      <alignment horizontal="right" vertical="center"/>
    </xf>
    <xf numFmtId="185" fontId="9" fillId="2" borderId="0" xfId="0" applyNumberFormat="1" applyFont="1" applyFill="1" applyAlignment="1">
      <alignment vertical="center"/>
    </xf>
    <xf numFmtId="185" fontId="9" fillId="2" borderId="0" xfId="0" applyNumberFormat="1" applyFont="1" applyFill="1" applyAlignment="1">
      <alignment horizontal="left" vertical="center" wrapText="1"/>
    </xf>
    <xf numFmtId="185" fontId="9" fillId="0" borderId="0" xfId="0" applyNumberFormat="1" applyFont="1" applyAlignment="1">
      <alignment horizontal="left" vertical="center" wrapText="1"/>
    </xf>
    <xf numFmtId="0" fontId="27" fillId="2" borderId="0" xfId="0" applyFont="1" applyFill="1" applyAlignment="1">
      <alignment vertical="top" wrapText="1"/>
    </xf>
    <xf numFmtId="0" fontId="40" fillId="2" borderId="0" xfId="0" applyFont="1" applyFill="1" applyAlignment="1">
      <alignment horizontal="left" vertical="center"/>
    </xf>
    <xf numFmtId="0" fontId="24" fillId="2" borderId="16" xfId="0" applyFont="1" applyFill="1" applyBorder="1" applyAlignment="1">
      <alignment vertical="center"/>
    </xf>
    <xf numFmtId="0" fontId="40" fillId="2" borderId="16" xfId="0" applyFont="1" applyFill="1" applyBorder="1" applyAlignment="1">
      <alignment horizontal="left" vertical="center"/>
    </xf>
    <xf numFmtId="0" fontId="47" fillId="2" borderId="16" xfId="0" applyFont="1" applyFill="1" applyBorder="1" applyAlignment="1">
      <alignment vertical="center"/>
    </xf>
    <xf numFmtId="0" fontId="24" fillId="0" borderId="16" xfId="0" applyFont="1" applyBorder="1" applyAlignment="1">
      <alignment vertical="center"/>
    </xf>
    <xf numFmtId="0" fontId="29" fillId="2" borderId="16" xfId="0" applyFont="1" applyFill="1" applyBorder="1" applyAlignment="1">
      <alignment horizontal="left" vertical="center" indent="3"/>
    </xf>
    <xf numFmtId="169" fontId="44" fillId="0" borderId="0" xfId="2" applyNumberFormat="1" applyFont="1" applyFill="1" applyBorder="1" applyAlignment="1">
      <alignment vertical="center" wrapText="1"/>
    </xf>
    <xf numFmtId="169" fontId="44" fillId="0" borderId="3" xfId="2" applyNumberFormat="1" applyFont="1" applyFill="1" applyBorder="1" applyAlignment="1">
      <alignment vertical="center" wrapText="1"/>
    </xf>
    <xf numFmtId="169" fontId="21" fillId="0" borderId="0" xfId="2" applyNumberFormat="1" applyFont="1" applyFill="1" applyBorder="1" applyAlignment="1">
      <alignment vertical="center" wrapText="1"/>
    </xf>
    <xf numFmtId="0" fontId="174" fillId="0" borderId="16" xfId="0" applyFont="1" applyBorder="1" applyAlignment="1">
      <alignment vertical="center" wrapText="1"/>
    </xf>
    <xf numFmtId="0" fontId="9" fillId="0" borderId="0" xfId="0" applyFont="1" applyAlignment="1">
      <alignment vertical="center" wrapText="1"/>
    </xf>
    <xf numFmtId="0" fontId="0" fillId="2" borderId="0" xfId="0" applyFill="1"/>
    <xf numFmtId="10" fontId="177" fillId="0" borderId="0" xfId="0" applyNumberFormat="1" applyFont="1" applyAlignment="1">
      <alignment horizontal="right" vertical="center" wrapText="1"/>
    </xf>
    <xf numFmtId="0" fontId="178" fillId="0" borderId="0" xfId="0" applyFont="1"/>
    <xf numFmtId="0" fontId="179" fillId="2" borderId="16" xfId="0" applyFont="1" applyFill="1" applyBorder="1" applyAlignment="1">
      <alignment vertical="center" wrapText="1"/>
    </xf>
    <xf numFmtId="3" fontId="170" fillId="0" borderId="0" xfId="0" applyNumberFormat="1" applyFont="1" applyAlignment="1">
      <alignment horizontal="right" vertical="center" wrapText="1"/>
    </xf>
    <xf numFmtId="10" fontId="46" fillId="0" borderId="0" xfId="7" applyNumberFormat="1" applyFont="1" applyFill="1" applyBorder="1" applyAlignment="1">
      <alignment horizontal="right" vertical="center" wrapText="1"/>
    </xf>
    <xf numFmtId="10" fontId="46" fillId="2" borderId="0" xfId="7" applyNumberFormat="1" applyFont="1" applyFill="1" applyBorder="1" applyAlignment="1">
      <alignment horizontal="right" vertical="center" wrapText="1"/>
    </xf>
    <xf numFmtId="3" fontId="46" fillId="2" borderId="31" xfId="7" applyNumberFormat="1" applyFont="1" applyFill="1" applyBorder="1" applyAlignment="1">
      <alignment horizontal="right" vertical="center" wrapText="1"/>
    </xf>
    <xf numFmtId="3" fontId="46" fillId="0" borderId="31" xfId="7" applyNumberFormat="1" applyFont="1" applyFill="1" applyBorder="1" applyAlignment="1">
      <alignment horizontal="right" vertical="center" wrapText="1"/>
    </xf>
    <xf numFmtId="3" fontId="46" fillId="0" borderId="31" xfId="0" applyNumberFormat="1" applyFont="1" applyBorder="1" applyAlignment="1">
      <alignment horizontal="right" vertical="center" wrapText="1"/>
    </xf>
    <xf numFmtId="3" fontId="46" fillId="0" borderId="0" xfId="0" applyNumberFormat="1" applyFont="1" applyAlignment="1">
      <alignment horizontal="right" vertical="center" wrapText="1"/>
    </xf>
    <xf numFmtId="3" fontId="177" fillId="0" borderId="0" xfId="0" applyNumberFormat="1" applyFont="1" applyAlignment="1">
      <alignment vertical="center" wrapText="1"/>
    </xf>
    <xf numFmtId="3" fontId="0" fillId="0" borderId="0" xfId="0" applyNumberFormat="1"/>
    <xf numFmtId="0" fontId="27" fillId="0" borderId="0" xfId="0" applyFont="1" applyAlignment="1">
      <alignment horizontal="left" vertical="top" wrapText="1"/>
    </xf>
    <xf numFmtId="0" fontId="27" fillId="2" borderId="0" xfId="0" applyFont="1" applyFill="1" applyAlignment="1">
      <alignment horizontal="left" vertical="top"/>
    </xf>
    <xf numFmtId="0" fontId="0" fillId="2" borderId="0" xfId="0" applyFill="1" applyAlignment="1">
      <alignment wrapText="1"/>
    </xf>
    <xf numFmtId="0" fontId="181" fillId="2" borderId="0" xfId="0" applyFont="1" applyFill="1" applyAlignment="1">
      <alignment vertical="center"/>
    </xf>
    <xf numFmtId="0" fontId="12" fillId="0" borderId="15" xfId="0" applyFont="1" applyBorder="1" applyAlignment="1">
      <alignment vertical="center"/>
    </xf>
    <xf numFmtId="3" fontId="177" fillId="2" borderId="0" xfId="0" applyNumberFormat="1" applyFont="1" applyFill="1" applyAlignment="1">
      <alignment horizontal="right" vertical="center" wrapText="1"/>
    </xf>
    <xf numFmtId="3" fontId="177" fillId="0" borderId="0" xfId="0" applyNumberFormat="1" applyFont="1" applyAlignment="1">
      <alignment horizontal="right" vertical="center" wrapText="1"/>
    </xf>
    <xf numFmtId="170" fontId="183" fillId="2" borderId="0" xfId="0" applyNumberFormat="1" applyFont="1" applyFill="1" applyAlignment="1">
      <alignment horizontal="right" vertical="center" wrapText="1"/>
    </xf>
    <xf numFmtId="170" fontId="177" fillId="2" borderId="0" xfId="0" applyNumberFormat="1" applyFont="1" applyFill="1" applyAlignment="1">
      <alignment horizontal="right" vertical="center" wrapText="1"/>
    </xf>
    <xf numFmtId="0" fontId="155" fillId="2" borderId="0" xfId="0" applyFont="1" applyFill="1" applyAlignment="1">
      <alignment vertical="center"/>
    </xf>
    <xf numFmtId="170" fontId="46" fillId="2" borderId="0" xfId="0" applyNumberFormat="1" applyFont="1" applyFill="1" applyAlignment="1">
      <alignment horizontal="right" vertical="center" wrapText="1"/>
    </xf>
    <xf numFmtId="0" fontId="0" fillId="2" borderId="0" xfId="0" applyFill="1" applyAlignment="1">
      <alignment vertical="center"/>
    </xf>
    <xf numFmtId="0" fontId="177" fillId="2" borderId="0" xfId="0" applyFont="1" applyFill="1" applyAlignment="1">
      <alignment vertical="center"/>
    </xf>
    <xf numFmtId="3" fontId="183" fillId="2" borderId="0" xfId="0" applyNumberFormat="1" applyFont="1" applyFill="1" applyAlignment="1">
      <alignment horizontal="right" vertical="center" wrapText="1"/>
    </xf>
    <xf numFmtId="0" fontId="155" fillId="2" borderId="0" xfId="0" applyFont="1" applyFill="1"/>
    <xf numFmtId="170" fontId="177" fillId="0" borderId="0" xfId="0" applyNumberFormat="1" applyFont="1" applyAlignment="1">
      <alignment horizontal="right" vertical="center" wrapText="1"/>
    </xf>
    <xf numFmtId="170" fontId="46" fillId="0" borderId="0" xfId="0" applyNumberFormat="1" applyFont="1" applyAlignment="1">
      <alignment horizontal="right" vertical="center" wrapText="1"/>
    </xf>
    <xf numFmtId="0" fontId="3" fillId="2" borderId="0" xfId="0" applyFont="1" applyFill="1"/>
    <xf numFmtId="0" fontId="3" fillId="0" borderId="0" xfId="0" applyFont="1"/>
    <xf numFmtId="0" fontId="3" fillId="2" borderId="0" xfId="0" applyFont="1" applyFill="1" applyAlignment="1">
      <alignment vertical="center"/>
    </xf>
    <xf numFmtId="169" fontId="60" fillId="0" borderId="0" xfId="0" applyNumberFormat="1" applyFont="1"/>
    <xf numFmtId="0" fontId="46" fillId="0" borderId="0" xfId="0" applyFont="1" applyAlignment="1">
      <alignment wrapText="1"/>
    </xf>
    <xf numFmtId="0" fontId="59" fillId="0" borderId="0" xfId="0" applyFont="1" applyAlignment="1">
      <alignment vertical="center"/>
    </xf>
    <xf numFmtId="0" fontId="59" fillId="0" borderId="0" xfId="0" applyFont="1"/>
    <xf numFmtId="170" fontId="46" fillId="0" borderId="0" xfId="0" applyNumberFormat="1" applyFont="1"/>
    <xf numFmtId="170" fontId="59" fillId="0" borderId="0" xfId="0" applyNumberFormat="1" applyFont="1"/>
    <xf numFmtId="170" fontId="62" fillId="0" borderId="0" xfId="0" applyNumberFormat="1" applyFont="1"/>
    <xf numFmtId="0" fontId="17" fillId="2" borderId="0" xfId="0" applyFont="1" applyFill="1" applyAlignment="1">
      <alignment horizontal="left" vertical="top" wrapText="1"/>
    </xf>
    <xf numFmtId="0" fontId="9" fillId="2" borderId="3" xfId="0" applyFont="1" applyFill="1" applyBorder="1" applyAlignment="1">
      <alignment horizontal="left" vertical="center" wrapText="1"/>
    </xf>
    <xf numFmtId="0" fontId="40" fillId="2" borderId="0" xfId="0" applyFont="1" applyFill="1" applyAlignment="1">
      <alignment horizontal="left" vertical="top" wrapText="1"/>
    </xf>
    <xf numFmtId="0" fontId="40" fillId="2" borderId="0" xfId="0" applyFont="1" applyFill="1" applyAlignment="1">
      <alignment vertical="top" wrapText="1"/>
    </xf>
    <xf numFmtId="0" fontId="9" fillId="2" borderId="0" xfId="0" applyFont="1" applyFill="1" applyAlignment="1">
      <alignment vertical="top"/>
    </xf>
    <xf numFmtId="0" fontId="40" fillId="0" borderId="0" xfId="0" applyFont="1" applyAlignment="1">
      <alignment horizontal="left" vertical="top" wrapText="1"/>
    </xf>
    <xf numFmtId="0" fontId="40" fillId="2" borderId="0" xfId="0" applyFont="1" applyFill="1" applyAlignment="1">
      <alignment vertical="top"/>
    </xf>
    <xf numFmtId="0" fontId="9" fillId="2" borderId="0" xfId="0" applyFont="1" applyFill="1" applyAlignment="1">
      <alignment horizontal="left" vertical="top" wrapText="1"/>
    </xf>
    <xf numFmtId="168" fontId="40" fillId="2" borderId="0" xfId="0" applyNumberFormat="1" applyFont="1" applyFill="1" applyAlignment="1">
      <alignment horizontal="left" vertical="top" wrapText="1"/>
    </xf>
    <xf numFmtId="168" fontId="9" fillId="2" borderId="0" xfId="0" applyNumberFormat="1" applyFont="1" applyFill="1" applyAlignment="1">
      <alignment horizontal="left" vertical="top" wrapText="1"/>
    </xf>
    <xf numFmtId="0" fontId="27" fillId="0" borderId="0" xfId="0" applyFont="1" applyAlignment="1">
      <alignment vertical="top" wrapText="1"/>
    </xf>
    <xf numFmtId="49" fontId="186" fillId="0" borderId="0" xfId="0" applyNumberFormat="1" applyFont="1"/>
    <xf numFmtId="0" fontId="179" fillId="2" borderId="16" xfId="0" applyFont="1" applyFill="1" applyBorder="1" applyAlignment="1">
      <alignment horizontal="left" vertical="center" wrapText="1" indent="2"/>
    </xf>
    <xf numFmtId="10" fontId="46" fillId="0" borderId="0" xfId="0" applyNumberFormat="1" applyFont="1" applyAlignment="1">
      <alignment horizontal="right" vertical="center" wrapText="1"/>
    </xf>
    <xf numFmtId="0" fontId="179" fillId="2" borderId="16" xfId="0" applyFont="1" applyFill="1" applyBorder="1" applyAlignment="1">
      <alignment horizontal="left" vertical="center" wrapText="1" indent="3"/>
    </xf>
    <xf numFmtId="0" fontId="9" fillId="2" borderId="0" xfId="0" applyFont="1" applyFill="1" applyAlignment="1">
      <alignment horizontal="left" vertical="center" wrapText="1"/>
    </xf>
    <xf numFmtId="10" fontId="0" fillId="0" borderId="0" xfId="0" applyNumberFormat="1"/>
    <xf numFmtId="10" fontId="0" fillId="2" borderId="0" xfId="0" applyNumberFormat="1" applyFill="1"/>
    <xf numFmtId="0" fontId="24" fillId="2" borderId="16" xfId="0" applyFont="1" applyFill="1" applyBorder="1" applyAlignment="1">
      <alignment vertical="center" wrapText="1"/>
    </xf>
    <xf numFmtId="0" fontId="18" fillId="2" borderId="0" xfId="0" applyFont="1" applyFill="1" applyAlignment="1">
      <alignment vertical="center" wrapText="1"/>
    </xf>
    <xf numFmtId="0" fontId="28" fillId="0" borderId="3" xfId="0" applyFont="1" applyBorder="1" applyAlignment="1">
      <alignment vertical="center" wrapText="1"/>
    </xf>
    <xf numFmtId="181" fontId="30" fillId="0" borderId="0" xfId="0" applyNumberFormat="1" applyFont="1" applyAlignment="1">
      <alignment vertical="center"/>
    </xf>
    <xf numFmtId="181" fontId="30" fillId="0" borderId="0" xfId="0" applyNumberFormat="1" applyFont="1" applyAlignment="1">
      <alignment horizontal="right" vertical="center"/>
    </xf>
    <xf numFmtId="0" fontId="44" fillId="77" borderId="6" xfId="0" applyFont="1" applyFill="1" applyBorder="1" applyAlignment="1">
      <alignment vertical="center" wrapText="1"/>
    </xf>
    <xf numFmtId="0" fontId="41" fillId="2" borderId="0" xfId="0" applyFont="1" applyFill="1" applyAlignment="1">
      <alignment horizontal="center" vertical="center"/>
    </xf>
    <xf numFmtId="170" fontId="174" fillId="80" borderId="9" xfId="0" applyNumberFormat="1" applyFont="1" applyFill="1" applyBorder="1" applyAlignment="1">
      <alignment vertical="center" wrapText="1"/>
    </xf>
    <xf numFmtId="182" fontId="174" fillId="80" borderId="9" xfId="0" applyNumberFormat="1" applyFont="1" applyFill="1" applyBorder="1" applyAlignment="1">
      <alignment vertical="center" wrapText="1"/>
    </xf>
    <xf numFmtId="182" fontId="44" fillId="80" borderId="9" xfId="0" applyNumberFormat="1" applyFont="1" applyFill="1" applyBorder="1" applyAlignment="1">
      <alignment vertical="center" wrapText="1"/>
    </xf>
    <xf numFmtId="0" fontId="191" fillId="75" borderId="4" xfId="0" applyFont="1" applyFill="1" applyBorder="1" applyAlignment="1">
      <alignment vertical="center" wrapText="1"/>
    </xf>
    <xf numFmtId="0" fontId="191" fillId="75" borderId="15" xfId="0" applyFont="1" applyFill="1" applyBorder="1" applyAlignment="1">
      <alignment vertical="center" wrapText="1"/>
    </xf>
    <xf numFmtId="0" fontId="191" fillId="75" borderId="5" xfId="0" applyFont="1" applyFill="1" applyBorder="1" applyAlignment="1">
      <alignment vertical="center" wrapText="1"/>
    </xf>
    <xf numFmtId="0" fontId="191" fillId="75" borderId="17" xfId="0" applyFont="1" applyFill="1" applyBorder="1" applyAlignment="1">
      <alignment vertical="center" wrapText="1"/>
    </xf>
    <xf numFmtId="0" fontId="9" fillId="0" borderId="9" xfId="0" applyFont="1" applyBorder="1" applyAlignment="1">
      <alignment horizontal="left" vertical="center"/>
    </xf>
    <xf numFmtId="170" fontId="171" fillId="0" borderId="0" xfId="0" applyNumberFormat="1" applyFont="1" applyAlignment="1">
      <alignment horizontal="right" vertical="center"/>
    </xf>
    <xf numFmtId="173" fontId="9" fillId="2" borderId="9" xfId="0" applyNumberFormat="1" applyFont="1" applyFill="1" applyBorder="1" applyAlignment="1">
      <alignment horizontal="right" vertical="center"/>
    </xf>
    <xf numFmtId="173" fontId="9" fillId="2" borderId="9" xfId="0" applyNumberFormat="1" applyFont="1" applyFill="1" applyBorder="1" applyAlignment="1">
      <alignment vertical="center"/>
    </xf>
    <xf numFmtId="174" fontId="28" fillId="2" borderId="9" xfId="1" applyNumberFormat="1" applyFont="1" applyFill="1" applyBorder="1" applyAlignment="1">
      <alignment horizontal="right" vertical="center"/>
    </xf>
    <xf numFmtId="167" fontId="9" fillId="2" borderId="9" xfId="0" applyNumberFormat="1" applyFont="1" applyFill="1" applyBorder="1" applyAlignment="1">
      <alignment horizontal="right" vertical="center"/>
    </xf>
    <xf numFmtId="165" fontId="28" fillId="2" borderId="9" xfId="0" applyNumberFormat="1" applyFont="1" applyFill="1" applyBorder="1" applyAlignment="1">
      <alignment horizontal="right" vertical="center"/>
    </xf>
    <xf numFmtId="174" fontId="30" fillId="0" borderId="9" xfId="0" applyNumberFormat="1" applyFont="1" applyBorder="1" applyAlignment="1">
      <alignment vertical="center"/>
    </xf>
    <xf numFmtId="174" fontId="30" fillId="2" borderId="9" xfId="0" applyNumberFormat="1" applyFont="1" applyFill="1" applyBorder="1" applyAlignment="1">
      <alignment vertical="center"/>
    </xf>
    <xf numFmtId="181" fontId="9" fillId="0" borderId="0" xfId="0" applyNumberFormat="1" applyFont="1" applyAlignment="1">
      <alignment vertical="center"/>
    </xf>
    <xf numFmtId="181" fontId="9" fillId="0" borderId="9" xfId="0" applyNumberFormat="1" applyFont="1" applyBorder="1" applyAlignment="1">
      <alignment vertical="center"/>
    </xf>
    <xf numFmtId="181" fontId="28" fillId="0" borderId="0" xfId="0" applyNumberFormat="1" applyFont="1" applyAlignment="1">
      <alignment horizontal="right" vertical="center"/>
    </xf>
    <xf numFmtId="181" fontId="9" fillId="0" borderId="0" xfId="0" applyNumberFormat="1" applyFont="1" applyAlignment="1">
      <alignment horizontal="right" vertical="center"/>
    </xf>
    <xf numFmtId="182" fontId="30" fillId="0" borderId="9" xfId="0" applyNumberFormat="1" applyFont="1" applyBorder="1" applyAlignment="1">
      <alignment vertical="center"/>
    </xf>
    <xf numFmtId="182" fontId="22" fillId="0" borderId="9" xfId="0" applyNumberFormat="1" applyFont="1" applyBorder="1" applyAlignment="1">
      <alignment horizontal="right" vertical="center"/>
    </xf>
    <xf numFmtId="181" fontId="22" fillId="0" borderId="0" xfId="0" applyNumberFormat="1" applyFont="1" applyAlignment="1">
      <alignment horizontal="right" vertical="center"/>
    </xf>
    <xf numFmtId="0" fontId="9" fillId="0" borderId="0" xfId="0" applyFont="1" applyAlignment="1">
      <alignment vertical="top"/>
    </xf>
    <xf numFmtId="0" fontId="9" fillId="2" borderId="16" xfId="0" applyFont="1" applyFill="1" applyBorder="1" applyAlignment="1">
      <alignment horizontal="left" vertical="center"/>
    </xf>
    <xf numFmtId="0" fontId="184" fillId="0" borderId="0" xfId="0" applyFont="1"/>
    <xf numFmtId="0" fontId="200" fillId="2" borderId="0" xfId="0" applyFont="1" applyFill="1"/>
    <xf numFmtId="165" fontId="28" fillId="0" borderId="9" xfId="0" applyNumberFormat="1" applyFont="1" applyBorder="1" applyAlignment="1">
      <alignment horizontal="right" vertical="center"/>
    </xf>
    <xf numFmtId="165" fontId="28" fillId="0" borderId="0" xfId="0" applyNumberFormat="1" applyFont="1" applyAlignment="1">
      <alignment horizontal="right" vertical="center"/>
    </xf>
    <xf numFmtId="165" fontId="28" fillId="0" borderId="3" xfId="0" applyNumberFormat="1" applyFont="1" applyBorder="1" applyAlignment="1">
      <alignment horizontal="right" vertical="center"/>
    </xf>
    <xf numFmtId="173" fontId="9" fillId="0" borderId="9" xfId="0" applyNumberFormat="1" applyFont="1" applyBorder="1" applyAlignment="1">
      <alignment vertical="center"/>
    </xf>
    <xf numFmtId="173" fontId="9" fillId="0" borderId="0" xfId="0" applyNumberFormat="1" applyFont="1" applyAlignment="1">
      <alignment vertical="center"/>
    </xf>
    <xf numFmtId="170" fontId="9" fillId="0" borderId="0" xfId="0" applyNumberFormat="1" applyFont="1" applyAlignment="1">
      <alignment horizontal="right" vertical="center"/>
    </xf>
    <xf numFmtId="170" fontId="9" fillId="0" borderId="9" xfId="0" applyNumberFormat="1" applyFont="1" applyBorder="1" applyAlignment="1">
      <alignment vertical="center"/>
    </xf>
    <xf numFmtId="170" fontId="9" fillId="0" borderId="0" xfId="0" applyNumberFormat="1" applyFont="1" applyAlignment="1">
      <alignment vertical="center"/>
    </xf>
    <xf numFmtId="167" fontId="9" fillId="0" borderId="9" xfId="0" applyNumberFormat="1" applyFont="1" applyBorder="1" applyAlignment="1">
      <alignment horizontal="right" vertical="center"/>
    </xf>
    <xf numFmtId="167" fontId="9" fillId="0" borderId="0" xfId="0" applyNumberFormat="1" applyFont="1" applyAlignment="1">
      <alignment horizontal="right" vertical="center"/>
    </xf>
    <xf numFmtId="173" fontId="9" fillId="0" borderId="0" xfId="0" applyNumberFormat="1" applyFont="1" applyAlignment="1">
      <alignment horizontal="right" vertical="center"/>
    </xf>
    <xf numFmtId="177" fontId="9" fillId="0" borderId="9" xfId="0" applyNumberFormat="1" applyFont="1" applyBorder="1" applyAlignment="1">
      <alignment vertical="center"/>
    </xf>
    <xf numFmtId="167" fontId="9" fillId="0" borderId="9" xfId="0" applyNumberFormat="1" applyFont="1" applyBorder="1" applyAlignment="1">
      <alignment vertical="center"/>
    </xf>
    <xf numFmtId="167" fontId="9" fillId="0" borderId="0" xfId="0" applyNumberFormat="1" applyFont="1" applyAlignment="1">
      <alignment vertical="center"/>
    </xf>
    <xf numFmtId="175" fontId="9" fillId="0" borderId="9" xfId="0" applyNumberFormat="1" applyFont="1" applyBorder="1" applyAlignment="1">
      <alignment vertical="center"/>
    </xf>
    <xf numFmtId="173" fontId="9" fillId="0" borderId="9" xfId="0" applyNumberFormat="1" applyFont="1" applyBorder="1" applyAlignment="1">
      <alignment horizontal="right" vertical="center"/>
    </xf>
    <xf numFmtId="173" fontId="9" fillId="0" borderId="3" xfId="0" applyNumberFormat="1" applyFont="1" applyBorder="1" applyAlignment="1">
      <alignment horizontal="right" vertical="center"/>
    </xf>
    <xf numFmtId="175" fontId="9" fillId="0" borderId="0" xfId="0" applyNumberFormat="1" applyFont="1" applyAlignment="1">
      <alignment vertical="center"/>
    </xf>
    <xf numFmtId="174" fontId="28" fillId="0" borderId="9" xfId="1" applyNumberFormat="1" applyFont="1" applyFill="1" applyBorder="1" applyAlignment="1">
      <alignment horizontal="right" vertical="center"/>
    </xf>
    <xf numFmtId="174" fontId="28" fillId="0" borderId="0" xfId="1" applyNumberFormat="1" applyFont="1" applyFill="1" applyBorder="1" applyAlignment="1">
      <alignment horizontal="right" vertical="center"/>
    </xf>
    <xf numFmtId="174" fontId="28" fillId="0" borderId="3" xfId="1" applyNumberFormat="1" applyFont="1" applyFill="1" applyBorder="1" applyAlignment="1">
      <alignment horizontal="right" vertical="center"/>
    </xf>
    <xf numFmtId="167" fontId="9" fillId="0" borderId="3" xfId="0" applyNumberFormat="1" applyFont="1" applyBorder="1" applyAlignment="1">
      <alignment horizontal="right" vertical="center"/>
    </xf>
    <xf numFmtId="175" fontId="30" fillId="0" borderId="9" xfId="0" applyNumberFormat="1" applyFont="1" applyBorder="1" applyAlignment="1">
      <alignment vertical="center"/>
    </xf>
    <xf numFmtId="175" fontId="30" fillId="0" borderId="0" xfId="0" applyNumberFormat="1" applyFont="1" applyAlignment="1">
      <alignment vertical="center"/>
    </xf>
    <xf numFmtId="170" fontId="30" fillId="0" borderId="0" xfId="0" applyNumberFormat="1" applyFont="1" applyAlignment="1">
      <alignment vertical="center"/>
    </xf>
    <xf numFmtId="174" fontId="9" fillId="0" borderId="9" xfId="0" applyNumberFormat="1" applyFont="1" applyBorder="1" applyAlignment="1">
      <alignment vertical="center"/>
    </xf>
    <xf numFmtId="174" fontId="9" fillId="0" borderId="0" xfId="0" applyNumberFormat="1" applyFont="1" applyAlignment="1">
      <alignment vertical="center"/>
    </xf>
    <xf numFmtId="174" fontId="9" fillId="0" borderId="3" xfId="0" applyNumberFormat="1" applyFont="1" applyBorder="1" applyAlignment="1">
      <alignment vertical="center"/>
    </xf>
    <xf numFmtId="174" fontId="30" fillId="0" borderId="3" xfId="0" applyNumberFormat="1" applyFont="1" applyBorder="1" applyAlignment="1">
      <alignment vertical="center"/>
    </xf>
    <xf numFmtId="173" fontId="30" fillId="0" borderId="0" xfId="0" applyNumberFormat="1" applyFont="1" applyAlignment="1">
      <alignment vertical="center"/>
    </xf>
    <xf numFmtId="165" fontId="32" fillId="0" borderId="0" xfId="0" applyNumberFormat="1" applyFont="1" applyAlignment="1">
      <alignment horizontal="right" vertical="center"/>
    </xf>
    <xf numFmtId="184" fontId="9" fillId="2" borderId="9" xfId="0" applyNumberFormat="1" applyFont="1" applyFill="1" applyBorder="1" applyAlignment="1">
      <alignment horizontal="right" vertical="center"/>
    </xf>
    <xf numFmtId="182" fontId="9" fillId="0" borderId="0" xfId="0" applyNumberFormat="1" applyFont="1" applyAlignment="1">
      <alignment horizontal="right" vertical="center"/>
    </xf>
    <xf numFmtId="182" fontId="28" fillId="0" borderId="0" xfId="0" applyNumberFormat="1" applyFont="1" applyAlignment="1">
      <alignment vertical="center"/>
    </xf>
    <xf numFmtId="183" fontId="28" fillId="0" borderId="0" xfId="0" applyNumberFormat="1" applyFont="1" applyAlignment="1">
      <alignment vertical="center"/>
    </xf>
    <xf numFmtId="182" fontId="32" fillId="0" borderId="0" xfId="0" applyNumberFormat="1" applyFont="1" applyAlignment="1">
      <alignment horizontal="right" vertical="center"/>
    </xf>
    <xf numFmtId="0" fontId="20" fillId="0" borderId="11" xfId="0" applyFont="1" applyBorder="1" applyAlignment="1">
      <alignment vertical="center" wrapText="1"/>
    </xf>
    <xf numFmtId="182" fontId="20" fillId="0" borderId="2" xfId="0" applyNumberFormat="1" applyFont="1" applyBorder="1" applyAlignment="1">
      <alignment vertical="center"/>
    </xf>
    <xf numFmtId="0" fontId="76" fillId="0" borderId="0" xfId="0" applyFont="1" applyAlignment="1">
      <alignment vertical="center"/>
    </xf>
    <xf numFmtId="3" fontId="17" fillId="0" borderId="3" xfId="0" applyNumberFormat="1" applyFont="1" applyBorder="1" applyAlignment="1">
      <alignment horizontal="right" vertical="center" wrapText="1"/>
    </xf>
    <xf numFmtId="3" fontId="6" fillId="0" borderId="0" xfId="0" applyNumberFormat="1" applyFont="1" applyAlignment="1">
      <alignment vertical="center"/>
    </xf>
    <xf numFmtId="0" fontId="35" fillId="0" borderId="3" xfId="0" applyFont="1" applyBorder="1" applyAlignment="1">
      <alignment horizontal="left" vertical="center" wrapText="1" indent="1"/>
    </xf>
    <xf numFmtId="3" fontId="27" fillId="0" borderId="0" xfId="0" applyNumberFormat="1" applyFont="1" applyAlignment="1">
      <alignment horizontal="right" vertical="center" wrapText="1"/>
    </xf>
    <xf numFmtId="0" fontId="36" fillId="0" borderId="3" xfId="0" applyFont="1" applyBorder="1" applyAlignment="1">
      <alignment horizontal="left" vertical="center" wrapText="1" indent="3"/>
    </xf>
    <xf numFmtId="3" fontId="37" fillId="0" borderId="3" xfId="0" applyNumberFormat="1" applyFont="1" applyBorder="1" applyAlignment="1">
      <alignment horizontal="right" vertical="center" wrapText="1"/>
    </xf>
    <xf numFmtId="3" fontId="10" fillId="0" borderId="0" xfId="0" applyNumberFormat="1" applyFont="1" applyAlignment="1">
      <alignment horizontal="right" vertical="center" wrapText="1"/>
    </xf>
    <xf numFmtId="3" fontId="17" fillId="0" borderId="18" xfId="0" applyNumberFormat="1" applyFont="1" applyBorder="1" applyAlignment="1">
      <alignment horizontal="right" vertical="center" wrapText="1"/>
    </xf>
    <xf numFmtId="170" fontId="27" fillId="0" borderId="0" xfId="0" applyNumberFormat="1" applyFont="1" applyAlignment="1">
      <alignment horizontal="right" vertical="center" wrapText="1"/>
    </xf>
    <xf numFmtId="0" fontId="35" fillId="0" borderId="16" xfId="0" applyFont="1" applyBorder="1" applyAlignment="1">
      <alignment horizontal="left" vertical="center"/>
    </xf>
    <xf numFmtId="167" fontId="17" fillId="0" borderId="3" xfId="0" applyNumberFormat="1" applyFont="1" applyBorder="1" applyAlignment="1">
      <alignment horizontal="right" vertical="center" wrapText="1"/>
    </xf>
    <xf numFmtId="0" fontId="35" fillId="0" borderId="3" xfId="0" applyFont="1" applyBorder="1" applyAlignment="1">
      <alignment horizontal="left" vertical="center" wrapText="1"/>
    </xf>
    <xf numFmtId="169" fontId="17" fillId="0" borderId="3" xfId="0" applyNumberFormat="1" applyFont="1" applyBorder="1" applyAlignment="1">
      <alignment horizontal="right" vertical="center" wrapText="1"/>
    </xf>
    <xf numFmtId="169" fontId="27" fillId="0" borderId="0" xfId="0" applyNumberFormat="1" applyFont="1" applyAlignment="1">
      <alignment horizontal="right" vertical="center" wrapText="1"/>
    </xf>
    <xf numFmtId="3" fontId="37" fillId="0" borderId="3" xfId="6" applyNumberFormat="1" applyFont="1" applyFill="1" applyBorder="1" applyAlignment="1">
      <alignment horizontal="right" vertical="center" wrapText="1"/>
    </xf>
    <xf numFmtId="3" fontId="17" fillId="0" borderId="3" xfId="6" applyNumberFormat="1" applyFont="1" applyFill="1" applyBorder="1" applyAlignment="1">
      <alignment horizontal="right" vertical="center" wrapText="1"/>
    </xf>
    <xf numFmtId="3" fontId="17" fillId="0" borderId="5" xfId="0" applyNumberFormat="1" applyFont="1" applyBorder="1" applyAlignment="1">
      <alignment horizontal="right" vertical="center" wrapText="1"/>
    </xf>
    <xf numFmtId="0" fontId="6" fillId="0" borderId="0" xfId="0" applyFont="1" applyAlignment="1">
      <alignment horizontal="left" vertical="top" wrapText="1"/>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vertical="center" wrapText="1"/>
    </xf>
    <xf numFmtId="0" fontId="191" fillId="75" borderId="5" xfId="0" applyFont="1" applyFill="1" applyBorder="1" applyAlignment="1">
      <alignment horizontal="center" vertical="center"/>
    </xf>
    <xf numFmtId="0" fontId="191" fillId="75" borderId="53" xfId="0" applyFont="1" applyFill="1" applyBorder="1" applyAlignment="1">
      <alignment horizontal="center" vertical="center"/>
    </xf>
    <xf numFmtId="0" fontId="204" fillId="0" borderId="0" xfId="0" applyFont="1" applyAlignment="1">
      <alignment vertical="center"/>
    </xf>
    <xf numFmtId="177" fontId="20" fillId="77" borderId="6" xfId="0" applyNumberFormat="1" applyFont="1" applyFill="1" applyBorder="1" applyAlignment="1">
      <alignment horizontal="right" vertical="center"/>
    </xf>
    <xf numFmtId="177" fontId="20" fillId="77" borderId="7" xfId="0" applyNumberFormat="1" applyFont="1" applyFill="1" applyBorder="1" applyAlignment="1">
      <alignment horizontal="right" vertical="center"/>
    </xf>
    <xf numFmtId="170" fontId="44" fillId="80" borderId="8" xfId="0" applyNumberFormat="1" applyFont="1" applyFill="1" applyBorder="1" applyAlignment="1">
      <alignment horizontal="right" vertical="center" wrapText="1"/>
    </xf>
    <xf numFmtId="170" fontId="193" fillId="80" borderId="9" xfId="0" applyNumberFormat="1" applyFont="1" applyFill="1" applyBorder="1" applyAlignment="1">
      <alignment horizontal="right" vertical="center" wrapText="1"/>
    </xf>
    <xf numFmtId="213" fontId="20" fillId="77" borderId="6" xfId="0" applyNumberFormat="1" applyFont="1" applyFill="1" applyBorder="1" applyAlignment="1">
      <alignment horizontal="right" vertical="center"/>
    </xf>
    <xf numFmtId="213" fontId="20" fillId="77" borderId="7" xfId="0" applyNumberFormat="1" applyFont="1" applyFill="1" applyBorder="1" applyAlignment="1">
      <alignment horizontal="right" vertical="center"/>
    </xf>
    <xf numFmtId="213" fontId="44" fillId="80" borderId="8" xfId="0" applyNumberFormat="1" applyFont="1" applyFill="1" applyBorder="1" applyAlignment="1">
      <alignment horizontal="right" vertical="center" wrapText="1"/>
    </xf>
    <xf numFmtId="169" fontId="193" fillId="80" borderId="9" xfId="0" applyNumberFormat="1" applyFont="1" applyFill="1" applyBorder="1" applyAlignment="1">
      <alignment horizontal="right" vertical="center" wrapText="1"/>
    </xf>
    <xf numFmtId="166" fontId="193" fillId="80" borderId="9" xfId="0" applyNumberFormat="1" applyFont="1" applyFill="1" applyBorder="1" applyAlignment="1">
      <alignment horizontal="right" vertical="center" wrapText="1"/>
    </xf>
    <xf numFmtId="0" fontId="15" fillId="0" borderId="55" xfId="0" applyFont="1" applyBorder="1" applyAlignment="1">
      <alignment horizontal="left" vertical="center" wrapText="1"/>
    </xf>
    <xf numFmtId="0" fontId="15" fillId="0" borderId="55" xfId="0" applyFont="1" applyBorder="1" applyAlignment="1">
      <alignment horizontal="left" vertical="center"/>
    </xf>
    <xf numFmtId="3" fontId="34" fillId="0" borderId="55" xfId="0" applyNumberFormat="1" applyFont="1" applyBorder="1" applyAlignment="1">
      <alignment horizontal="right" vertical="center" wrapText="1"/>
    </xf>
    <xf numFmtId="3" fontId="34" fillId="0" borderId="56" xfId="0" applyNumberFormat="1" applyFont="1" applyBorder="1" applyAlignment="1">
      <alignment horizontal="right" vertical="center" wrapText="1"/>
    </xf>
    <xf numFmtId="170" fontId="205" fillId="80" borderId="57" xfId="0" applyNumberFormat="1" applyFont="1" applyFill="1" applyBorder="1" applyAlignment="1">
      <alignment horizontal="right" vertical="center" wrapText="1"/>
    </xf>
    <xf numFmtId="170" fontId="34" fillId="0" borderId="55" xfId="0" applyNumberFormat="1" applyFont="1" applyBorder="1" applyAlignment="1">
      <alignment horizontal="right" vertical="center" wrapText="1"/>
    </xf>
    <xf numFmtId="170" fontId="34" fillId="0" borderId="56" xfId="0" applyNumberFormat="1" applyFont="1" applyBorder="1" applyAlignment="1">
      <alignment horizontal="right" vertical="center" wrapText="1"/>
    </xf>
    <xf numFmtId="170" fontId="15" fillId="0" borderId="55" xfId="0" applyNumberFormat="1" applyFont="1" applyBorder="1" applyAlignment="1">
      <alignment horizontal="left" vertical="center" wrapText="1"/>
    </xf>
    <xf numFmtId="170" fontId="15" fillId="0" borderId="55" xfId="0" applyNumberFormat="1" applyFont="1" applyBorder="1" applyAlignment="1">
      <alignment horizontal="left" vertical="center"/>
    </xf>
    <xf numFmtId="170" fontId="6" fillId="0" borderId="0" xfId="0" applyNumberFormat="1" applyFont="1" applyAlignment="1">
      <alignment vertical="center"/>
    </xf>
    <xf numFmtId="3" fontId="193" fillId="80" borderId="9" xfId="0" applyNumberFormat="1" applyFont="1" applyFill="1" applyBorder="1" applyAlignment="1">
      <alignment horizontal="right" vertical="center" wrapText="1"/>
    </xf>
    <xf numFmtId="3" fontId="205" fillId="80" borderId="57" xfId="0" applyNumberFormat="1" applyFont="1" applyFill="1" applyBorder="1" applyAlignment="1">
      <alignment horizontal="right" vertical="center" wrapText="1"/>
    </xf>
    <xf numFmtId="3" fontId="203" fillId="81" borderId="3" xfId="0" applyNumberFormat="1" applyFont="1" applyFill="1" applyBorder="1" applyAlignment="1">
      <alignment horizontal="right" vertical="center" wrapText="1"/>
    </xf>
    <xf numFmtId="3" fontId="203" fillId="81" borderId="0" xfId="0" applyNumberFormat="1" applyFont="1" applyFill="1" applyAlignment="1">
      <alignment horizontal="right" vertical="center" wrapText="1"/>
    </xf>
    <xf numFmtId="170" fontId="44" fillId="82" borderId="50" xfId="0" applyNumberFormat="1" applyFont="1" applyFill="1" applyBorder="1" applyAlignment="1">
      <alignment horizontal="right" vertical="center" wrapText="1"/>
    </xf>
    <xf numFmtId="3" fontId="203" fillId="81" borderId="4" xfId="0" applyNumberFormat="1" applyFont="1" applyFill="1" applyBorder="1" applyAlignment="1">
      <alignment horizontal="right" vertical="center" wrapText="1"/>
    </xf>
    <xf numFmtId="169" fontId="203" fillId="81" borderId="3" xfId="6" applyNumberFormat="1" applyFont="1" applyFill="1" applyBorder="1" applyAlignment="1">
      <alignment horizontal="right" vertical="center" wrapText="1"/>
    </xf>
    <xf numFmtId="169" fontId="203" fillId="81" borderId="0" xfId="6" applyNumberFormat="1" applyFont="1" applyFill="1" applyBorder="1" applyAlignment="1">
      <alignment horizontal="right" vertical="center" wrapText="1"/>
    </xf>
    <xf numFmtId="0" fontId="15" fillId="0" borderId="58" xfId="0" applyFont="1" applyBorder="1" applyAlignment="1">
      <alignment horizontal="left" vertical="center" wrapText="1"/>
    </xf>
    <xf numFmtId="0" fontId="15" fillId="0" borderId="58" xfId="0" applyFont="1" applyBorder="1" applyAlignment="1">
      <alignment horizontal="left" vertical="center"/>
    </xf>
    <xf numFmtId="3" fontId="34" fillId="0" borderId="58" xfId="0" applyNumberFormat="1" applyFont="1" applyBorder="1" applyAlignment="1">
      <alignment horizontal="right" vertical="center" wrapText="1"/>
    </xf>
    <xf numFmtId="3" fontId="34" fillId="0" borderId="59" xfId="0" applyNumberFormat="1" applyFont="1" applyBorder="1" applyAlignment="1">
      <alignment horizontal="right" vertical="center" wrapText="1"/>
    </xf>
    <xf numFmtId="3" fontId="205" fillId="80" borderId="60" xfId="0" applyNumberFormat="1" applyFont="1" applyFill="1" applyBorder="1" applyAlignment="1">
      <alignment horizontal="right" vertical="center" wrapText="1"/>
    </xf>
    <xf numFmtId="0" fontId="191" fillId="75" borderId="3" xfId="0" applyFont="1" applyFill="1" applyBorder="1" applyAlignment="1">
      <alignment vertical="center" wrapText="1"/>
    </xf>
    <xf numFmtId="170" fontId="44" fillId="82" borderId="9" xfId="0" applyNumberFormat="1" applyFont="1" applyFill="1" applyBorder="1" applyAlignment="1">
      <alignment horizontal="right" vertical="center" wrapText="1"/>
    </xf>
    <xf numFmtId="2" fontId="17" fillId="0" borderId="3" xfId="0" applyNumberFormat="1" applyFont="1" applyBorder="1" applyAlignment="1">
      <alignment horizontal="right" vertical="center" wrapText="1"/>
    </xf>
    <xf numFmtId="2" fontId="17" fillId="0" borderId="0" xfId="0" applyNumberFormat="1" applyFont="1" applyAlignment="1">
      <alignment horizontal="right" vertical="center" wrapText="1"/>
    </xf>
    <xf numFmtId="4" fontId="27" fillId="0" borderId="0" xfId="0" applyNumberFormat="1" applyFont="1" applyAlignment="1">
      <alignment horizontal="right" vertical="center" wrapText="1"/>
    </xf>
    <xf numFmtId="3" fontId="34" fillId="0" borderId="61" xfId="0" applyNumberFormat="1" applyFont="1" applyBorder="1" applyAlignment="1">
      <alignment horizontal="right" vertical="center" wrapText="1"/>
    </xf>
    <xf numFmtId="3" fontId="34" fillId="0" borderId="62" xfId="0" applyNumberFormat="1" applyFont="1" applyBorder="1" applyAlignment="1">
      <alignment horizontal="right" vertical="center" wrapText="1"/>
    </xf>
    <xf numFmtId="170" fontId="205" fillId="80" borderId="63" xfId="0" applyNumberFormat="1" applyFont="1" applyFill="1" applyBorder="1" applyAlignment="1">
      <alignment horizontal="right" vertical="center" wrapText="1"/>
    </xf>
    <xf numFmtId="3" fontId="206" fillId="80" borderId="9" xfId="0" applyNumberFormat="1" applyFont="1" applyFill="1" applyBorder="1" applyAlignment="1">
      <alignment horizontal="right" vertical="center" wrapText="1"/>
    </xf>
    <xf numFmtId="3" fontId="44" fillId="80" borderId="8" xfId="0" applyNumberFormat="1" applyFont="1" applyFill="1" applyBorder="1" applyAlignment="1">
      <alignment horizontal="right" vertical="center" wrapText="1"/>
    </xf>
    <xf numFmtId="3" fontId="205" fillId="80" borderId="63" xfId="0" applyNumberFormat="1" applyFont="1" applyFill="1" applyBorder="1" applyAlignment="1">
      <alignment horizontal="right" vertical="center" wrapText="1"/>
    </xf>
    <xf numFmtId="3" fontId="35" fillId="0" borderId="3" xfId="0" applyNumberFormat="1" applyFont="1" applyBorder="1" applyAlignment="1">
      <alignment horizontal="left" vertical="center" wrapText="1" indent="1"/>
    </xf>
    <xf numFmtId="3" fontId="35" fillId="0" borderId="5" xfId="0" applyNumberFormat="1" applyFont="1" applyBorder="1" applyAlignment="1">
      <alignment horizontal="left" vertical="center" wrapText="1" indent="1"/>
    </xf>
    <xf numFmtId="3" fontId="193" fillId="80" borderId="13" xfId="0" applyNumberFormat="1" applyFont="1" applyFill="1" applyBorder="1" applyAlignment="1">
      <alignment horizontal="right" vertical="center" wrapText="1"/>
    </xf>
    <xf numFmtId="3" fontId="15" fillId="0" borderId="55" xfId="0" applyNumberFormat="1" applyFont="1" applyBorder="1" applyAlignment="1">
      <alignment horizontal="left" vertical="center" wrapText="1"/>
    </xf>
    <xf numFmtId="3" fontId="15" fillId="0" borderId="55" xfId="0" applyNumberFormat="1" applyFont="1" applyBorder="1" applyAlignment="1">
      <alignment horizontal="left" vertical="center"/>
    </xf>
    <xf numFmtId="0" fontId="207" fillId="0" borderId="0" xfId="0" applyFont="1" applyAlignment="1">
      <alignment vertical="center"/>
    </xf>
    <xf numFmtId="0" fontId="191" fillId="75" borderId="10" xfId="0" applyFont="1" applyFill="1" applyBorder="1" applyAlignment="1">
      <alignment horizontal="center" vertical="center"/>
    </xf>
    <xf numFmtId="0" fontId="191" fillId="75" borderId="0" xfId="0" applyFont="1" applyFill="1" applyAlignment="1">
      <alignment horizontal="center" vertical="center"/>
    </xf>
    <xf numFmtId="0" fontId="0" fillId="0" borderId="0" xfId="0" applyAlignment="1">
      <alignment horizontal="right"/>
    </xf>
    <xf numFmtId="0" fontId="39" fillId="0" borderId="5" xfId="0" applyFont="1" applyBorder="1" applyAlignment="1">
      <alignment horizontal="right" vertical="center"/>
    </xf>
    <xf numFmtId="0" fontId="39" fillId="0" borderId="7" xfId="0" applyFont="1" applyBorder="1" applyAlignment="1">
      <alignment horizontal="right" vertical="center"/>
    </xf>
    <xf numFmtId="0" fontId="13" fillId="0" borderId="0" xfId="0" applyFont="1" applyAlignment="1">
      <alignment vertical="center"/>
    </xf>
    <xf numFmtId="0" fontId="59" fillId="0" borderId="14" xfId="0" applyFont="1" applyBorder="1" applyAlignment="1">
      <alignment horizontal="left" vertical="center" wrapText="1"/>
    </xf>
    <xf numFmtId="169" fontId="177" fillId="0" borderId="9" xfId="0" applyNumberFormat="1" applyFont="1" applyBorder="1" applyAlignment="1">
      <alignment horizontal="right" vertical="center" wrapText="1"/>
    </xf>
    <xf numFmtId="10" fontId="170" fillId="0" borderId="0" xfId="7" applyNumberFormat="1" applyFont="1" applyFill="1" applyBorder="1" applyAlignment="1">
      <alignment horizontal="right" vertical="center" wrapText="1"/>
    </xf>
    <xf numFmtId="3" fontId="46" fillId="0" borderId="9" xfId="0" applyNumberFormat="1" applyFont="1" applyBorder="1" applyAlignment="1">
      <alignment horizontal="right" vertical="center" wrapText="1"/>
    </xf>
    <xf numFmtId="3" fontId="177" fillId="0" borderId="9" xfId="0" applyNumberFormat="1" applyFont="1" applyBorder="1" applyAlignment="1">
      <alignment horizontal="right" vertical="center" wrapText="1"/>
    </xf>
    <xf numFmtId="3" fontId="177" fillId="0" borderId="13" xfId="0" applyNumberFormat="1" applyFont="1" applyBorder="1" applyAlignment="1">
      <alignment horizontal="right" vertical="center" wrapText="1"/>
    </xf>
    <xf numFmtId="0" fontId="27" fillId="0" borderId="0" xfId="0" applyFont="1" applyAlignment="1">
      <alignment horizontal="left" vertical="top"/>
    </xf>
    <xf numFmtId="0" fontId="181" fillId="0" borderId="0" xfId="0" applyFont="1" applyAlignment="1">
      <alignment vertical="center"/>
    </xf>
    <xf numFmtId="0" fontId="26" fillId="0" borderId="0" xfId="0" applyFont="1" applyAlignment="1">
      <alignment horizontal="left" vertical="center" wrapText="1"/>
    </xf>
    <xf numFmtId="0" fontId="177" fillId="0" borderId="0" xfId="0" applyFont="1" applyAlignment="1">
      <alignment vertical="center"/>
    </xf>
    <xf numFmtId="0" fontId="78" fillId="0" borderId="14" xfId="0" applyFont="1" applyBorder="1" applyAlignment="1">
      <alignment horizontal="left" vertical="center" wrapText="1"/>
    </xf>
    <xf numFmtId="0" fontId="0" fillId="0" borderId="0" xfId="0" applyAlignment="1">
      <alignment wrapText="1"/>
    </xf>
    <xf numFmtId="0" fontId="59" fillId="0" borderId="12" xfId="0" applyFont="1" applyBorder="1" applyAlignment="1">
      <alignment horizontal="left" vertical="center" wrapText="1"/>
    </xf>
    <xf numFmtId="0" fontId="59" fillId="81" borderId="5" xfId="0" applyFont="1" applyFill="1" applyBorder="1" applyAlignment="1">
      <alignment horizontal="right" vertical="center"/>
    </xf>
    <xf numFmtId="0" fontId="59" fillId="81" borderId="53" xfId="0" applyFont="1" applyFill="1" applyBorder="1" applyAlignment="1">
      <alignment horizontal="right" vertical="center"/>
    </xf>
    <xf numFmtId="0" fontId="59" fillId="0" borderId="5" xfId="0" applyFont="1" applyBorder="1" applyAlignment="1">
      <alignment horizontal="right" vertical="center"/>
    </xf>
    <xf numFmtId="0" fontId="59" fillId="0" borderId="7" xfId="0" applyFont="1" applyBorder="1" applyAlignment="1">
      <alignment horizontal="right" vertical="center"/>
    </xf>
    <xf numFmtId="0" fontId="59" fillId="0" borderId="4" xfId="0" applyFont="1" applyBorder="1" applyAlignment="1">
      <alignment horizontal="left" vertical="center" wrapText="1"/>
    </xf>
    <xf numFmtId="0" fontId="59" fillId="0" borderId="49" xfId="0" applyFont="1" applyBorder="1" applyAlignment="1">
      <alignment horizontal="left" vertical="center" wrapText="1"/>
    </xf>
    <xf numFmtId="0" fontId="78" fillId="0" borderId="49" xfId="0" applyFont="1" applyBorder="1" applyAlignment="1">
      <alignment horizontal="left" vertical="center" wrapText="1"/>
    </xf>
    <xf numFmtId="0" fontId="12" fillId="2" borderId="54" xfId="0" applyFont="1" applyFill="1" applyBorder="1" applyAlignment="1">
      <alignment vertical="center" wrapText="1"/>
    </xf>
    <xf numFmtId="10" fontId="177" fillId="0" borderId="56" xfId="7" applyNumberFormat="1" applyFont="1" applyFill="1" applyBorder="1" applyAlignment="1">
      <alignment horizontal="right" vertical="center" wrapText="1"/>
    </xf>
    <xf numFmtId="10" fontId="177" fillId="0" borderId="56" xfId="0" applyNumberFormat="1" applyFont="1" applyBorder="1" applyAlignment="1">
      <alignment horizontal="right" vertical="center" wrapText="1"/>
    </xf>
    <xf numFmtId="169" fontId="177" fillId="0" borderId="57" xfId="0" applyNumberFormat="1" applyFont="1" applyBorder="1" applyAlignment="1">
      <alignment horizontal="right" vertical="center" wrapText="1"/>
    </xf>
    <xf numFmtId="10" fontId="177" fillId="2" borderId="56" xfId="7" applyNumberFormat="1" applyFont="1" applyFill="1" applyBorder="1" applyAlignment="1">
      <alignment horizontal="right" vertical="center" wrapText="1"/>
    </xf>
    <xf numFmtId="169" fontId="177" fillId="2" borderId="56" xfId="7" applyNumberFormat="1" applyFont="1" applyFill="1" applyBorder="1" applyAlignment="1">
      <alignment horizontal="right" vertical="center" wrapText="1"/>
    </xf>
    <xf numFmtId="169" fontId="177" fillId="0" borderId="56" xfId="7" applyNumberFormat="1" applyFont="1" applyFill="1" applyBorder="1" applyAlignment="1">
      <alignment horizontal="right" vertical="center" wrapText="1"/>
    </xf>
    <xf numFmtId="169" fontId="177" fillId="0" borderId="56" xfId="0" applyNumberFormat="1" applyFont="1" applyBorder="1" applyAlignment="1">
      <alignment horizontal="right" vertical="center" wrapText="1"/>
    </xf>
    <xf numFmtId="3" fontId="12" fillId="2" borderId="54" xfId="0" applyNumberFormat="1" applyFont="1" applyFill="1" applyBorder="1" applyAlignment="1">
      <alignment vertical="center" wrapText="1"/>
    </xf>
    <xf numFmtId="3" fontId="177" fillId="0" borderId="56" xfId="7" applyNumberFormat="1" applyFont="1" applyFill="1" applyBorder="1" applyAlignment="1">
      <alignment horizontal="right" vertical="center" wrapText="1"/>
    </xf>
    <xf numFmtId="3" fontId="177" fillId="0" borderId="56" xfId="0" applyNumberFormat="1" applyFont="1" applyBorder="1" applyAlignment="1">
      <alignment horizontal="right" vertical="center" wrapText="1"/>
    </xf>
    <xf numFmtId="3" fontId="177" fillId="0" borderId="57" xfId="0" applyNumberFormat="1" applyFont="1" applyBorder="1" applyAlignment="1">
      <alignment horizontal="right" vertical="center" wrapText="1"/>
    </xf>
    <xf numFmtId="3" fontId="177" fillId="2" borderId="56" xfId="7" applyNumberFormat="1" applyFont="1" applyFill="1" applyBorder="1" applyAlignment="1">
      <alignment horizontal="right" vertical="center" wrapText="1"/>
    </xf>
    <xf numFmtId="0" fontId="208" fillId="2" borderId="0" xfId="0" applyFont="1" applyFill="1" applyAlignment="1">
      <alignment vertical="center"/>
    </xf>
    <xf numFmtId="0" fontId="78" fillId="0" borderId="0" xfId="0" applyFont="1"/>
    <xf numFmtId="0" fontId="78" fillId="0" borderId="0" xfId="0" applyFont="1" applyAlignment="1">
      <alignment horizontal="right"/>
    </xf>
    <xf numFmtId="0" fontId="112" fillId="0" borderId="0" xfId="0" applyFont="1"/>
    <xf numFmtId="0" fontId="112" fillId="0" borderId="0" xfId="0" applyFont="1" applyAlignment="1">
      <alignment horizontal="right"/>
    </xf>
    <xf numFmtId="168" fontId="9" fillId="0" borderId="0" xfId="0" applyNumberFormat="1" applyFont="1" applyAlignment="1">
      <alignment vertical="center"/>
    </xf>
    <xf numFmtId="168" fontId="9" fillId="0" borderId="3" xfId="0" applyNumberFormat="1" applyFont="1" applyBorder="1" applyAlignment="1">
      <alignment vertical="center"/>
    </xf>
    <xf numFmtId="0" fontId="188" fillId="83" borderId="3" xfId="0" applyFont="1" applyFill="1" applyBorder="1" applyAlignment="1">
      <alignment vertical="center" wrapText="1"/>
    </xf>
    <xf numFmtId="177" fontId="188" fillId="83" borderId="0" xfId="0" applyNumberFormat="1" applyFont="1" applyFill="1" applyAlignment="1">
      <alignment vertical="center"/>
    </xf>
    <xf numFmtId="0" fontId="19" fillId="0" borderId="65" xfId="0" applyFont="1" applyBorder="1" applyAlignment="1">
      <alignment vertical="center" wrapText="1"/>
    </xf>
    <xf numFmtId="182" fontId="20" fillId="0" borderId="66" xfId="0" applyNumberFormat="1" applyFont="1" applyBorder="1" applyAlignment="1">
      <alignment horizontal="right" vertical="center"/>
    </xf>
    <xf numFmtId="182" fontId="20" fillId="0" borderId="66" xfId="0" applyNumberFormat="1" applyFont="1" applyBorder="1" applyAlignment="1">
      <alignment vertical="center"/>
    </xf>
    <xf numFmtId="0" fontId="211" fillId="83" borderId="3" xfId="0" applyFont="1" applyFill="1" applyBorder="1" applyAlignment="1">
      <alignment vertical="center" wrapText="1"/>
    </xf>
    <xf numFmtId="177" fontId="211" fillId="83" borderId="3" xfId="0" applyNumberFormat="1" applyFont="1" applyFill="1" applyBorder="1" applyAlignment="1">
      <alignment vertical="center"/>
    </xf>
    <xf numFmtId="177" fontId="211" fillId="83" borderId="0" xfId="0" applyNumberFormat="1" applyFont="1" applyFill="1" applyAlignment="1">
      <alignment vertical="center"/>
    </xf>
    <xf numFmtId="177" fontId="211" fillId="83" borderId="9" xfId="0" applyNumberFormat="1" applyFont="1" applyFill="1" applyBorder="1" applyAlignment="1">
      <alignment vertical="center"/>
    </xf>
    <xf numFmtId="0" fontId="29" fillId="2" borderId="16" xfId="0" applyFont="1" applyFill="1" applyBorder="1" applyAlignment="1">
      <alignment horizontal="left" vertical="center" indent="2"/>
    </xf>
    <xf numFmtId="0" fontId="187" fillId="0" borderId="9" xfId="0" applyFont="1" applyBorder="1" applyAlignment="1">
      <alignment horizontal="left" vertical="center" indent="3"/>
    </xf>
    <xf numFmtId="0" fontId="198" fillId="75" borderId="0" xfId="0" applyFont="1" applyFill="1" applyAlignment="1">
      <alignment vertical="center" wrapText="1"/>
    </xf>
    <xf numFmtId="0" fontId="198" fillId="75" borderId="16" xfId="0" applyFont="1" applyFill="1" applyBorder="1" applyAlignment="1">
      <alignment vertical="center" wrapText="1"/>
    </xf>
    <xf numFmtId="0" fontId="199" fillId="0" borderId="0" xfId="0" applyFont="1"/>
    <xf numFmtId="0" fontId="43" fillId="0" borderId="65" xfId="0" applyFont="1" applyBorder="1" applyAlignment="1">
      <alignment vertical="center" wrapText="1"/>
    </xf>
    <xf numFmtId="177" fontId="184" fillId="0" borderId="65" xfId="0" applyNumberFormat="1" applyFont="1" applyBorder="1" applyAlignment="1">
      <alignment vertical="center"/>
    </xf>
    <xf numFmtId="177" fontId="184" fillId="0" borderId="66" xfId="0" applyNumberFormat="1" applyFont="1" applyBorder="1" applyAlignment="1">
      <alignment vertical="center"/>
    </xf>
    <xf numFmtId="177" fontId="184" fillId="0" borderId="67" xfId="0" applyNumberFormat="1" applyFont="1" applyBorder="1" applyAlignment="1">
      <alignment vertical="center"/>
    </xf>
    <xf numFmtId="0" fontId="43" fillId="0" borderId="64" xfId="0" applyFont="1" applyBorder="1" applyAlignment="1">
      <alignment vertical="center" wrapText="1"/>
    </xf>
    <xf numFmtId="0" fontId="189" fillId="83" borderId="3" xfId="0" applyFont="1" applyFill="1" applyBorder="1" applyAlignment="1">
      <alignment vertical="center" wrapText="1"/>
    </xf>
    <xf numFmtId="0" fontId="189" fillId="83" borderId="16" xfId="0" applyFont="1" applyFill="1" applyBorder="1" applyAlignment="1">
      <alignment vertical="center" wrapText="1"/>
    </xf>
    <xf numFmtId="171" fontId="189" fillId="83" borderId="0" xfId="0" applyNumberFormat="1" applyFont="1" applyFill="1" applyAlignment="1">
      <alignment vertical="center"/>
    </xf>
    <xf numFmtId="170" fontId="189" fillId="84" borderId="9" xfId="0" applyNumberFormat="1" applyFont="1" applyFill="1" applyBorder="1" applyAlignment="1">
      <alignment vertical="center" wrapText="1"/>
    </xf>
    <xf numFmtId="171" fontId="189" fillId="83" borderId="3" xfId="0" applyNumberFormat="1" applyFont="1" applyFill="1" applyBorder="1" applyAlignment="1">
      <alignment vertical="center"/>
    </xf>
    <xf numFmtId="171" fontId="191" fillId="83" borderId="0" xfId="0" applyNumberFormat="1" applyFont="1" applyFill="1" applyAlignment="1">
      <alignment vertical="center"/>
    </xf>
    <xf numFmtId="182" fontId="189" fillId="83" borderId="0" xfId="0" applyNumberFormat="1" applyFont="1" applyFill="1" applyAlignment="1">
      <alignment vertical="center"/>
    </xf>
    <xf numFmtId="0" fontId="207" fillId="78" borderId="0" xfId="0" applyFont="1" applyFill="1"/>
    <xf numFmtId="171" fontId="207" fillId="0" borderId="0" xfId="0" applyNumberFormat="1" applyFont="1"/>
    <xf numFmtId="185" fontId="171" fillId="2" borderId="16" xfId="0" applyNumberFormat="1" applyFont="1" applyFill="1" applyBorder="1" applyAlignment="1">
      <alignment vertical="center" wrapText="1"/>
    </xf>
    <xf numFmtId="0" fontId="175" fillId="0" borderId="0" xfId="0" applyFont="1" applyAlignment="1">
      <alignment horizontal="right" vertical="center" wrapText="1"/>
    </xf>
    <xf numFmtId="0" fontId="188" fillId="75" borderId="68" xfId="0" applyFont="1" applyFill="1" applyBorder="1" applyAlignment="1">
      <alignment horizontal="left" vertical="center" wrapText="1"/>
    </xf>
    <xf numFmtId="185" fontId="19" fillId="2" borderId="68" xfId="0" applyNumberFormat="1" applyFont="1" applyFill="1" applyBorder="1" applyAlignment="1">
      <alignment vertical="center" wrapText="1"/>
    </xf>
    <xf numFmtId="0" fontId="188" fillId="75" borderId="69" xfId="0" applyFont="1" applyFill="1" applyBorder="1" applyAlignment="1">
      <alignment horizontal="left" vertical="center" wrapText="1"/>
    </xf>
    <xf numFmtId="185" fontId="19" fillId="2" borderId="69" xfId="0" applyNumberFormat="1" applyFont="1" applyFill="1" applyBorder="1" applyAlignment="1">
      <alignment vertical="center" wrapText="1"/>
    </xf>
    <xf numFmtId="0" fontId="188" fillId="75" borderId="70" xfId="0" applyFont="1" applyFill="1" applyBorder="1" applyAlignment="1">
      <alignment horizontal="left" vertical="center" wrapText="1"/>
    </xf>
    <xf numFmtId="185" fontId="19" fillId="2" borderId="70" xfId="0" applyNumberFormat="1" applyFont="1" applyFill="1" applyBorder="1" applyAlignment="1">
      <alignment vertical="center" wrapText="1"/>
    </xf>
    <xf numFmtId="0" fontId="189" fillId="75" borderId="70" xfId="0" applyFont="1" applyFill="1" applyBorder="1" applyAlignment="1">
      <alignment horizontal="right" vertical="center"/>
    </xf>
    <xf numFmtId="0" fontId="191" fillId="75" borderId="70" xfId="0" applyFont="1" applyFill="1" applyBorder="1" applyAlignment="1">
      <alignment horizontal="right" vertical="center"/>
    </xf>
    <xf numFmtId="0" fontId="188" fillId="76" borderId="70" xfId="0" applyFont="1" applyFill="1" applyBorder="1" applyAlignment="1">
      <alignment horizontal="right" vertical="center"/>
    </xf>
    <xf numFmtId="0" fontId="188" fillId="75" borderId="70" xfId="0" applyFont="1" applyFill="1" applyBorder="1" applyAlignment="1">
      <alignment horizontal="right" vertical="center"/>
    </xf>
    <xf numFmtId="0" fontId="59" fillId="75" borderId="70" xfId="0" applyFont="1" applyFill="1" applyBorder="1" applyAlignment="1">
      <alignment horizontal="right" vertical="center"/>
    </xf>
    <xf numFmtId="0" fontId="12" fillId="2" borderId="66" xfId="0" applyFont="1" applyFill="1" applyBorder="1" applyAlignment="1">
      <alignment vertical="center" wrapText="1"/>
    </xf>
    <xf numFmtId="170" fontId="12" fillId="2" borderId="66" xfId="0" applyNumberFormat="1" applyFont="1" applyFill="1" applyBorder="1" applyAlignment="1">
      <alignment vertical="center"/>
    </xf>
    <xf numFmtId="170" fontId="169" fillId="3" borderId="67" xfId="0" applyNumberFormat="1" applyFont="1" applyFill="1" applyBorder="1" applyAlignment="1">
      <alignment horizontal="right" vertical="center"/>
    </xf>
    <xf numFmtId="0" fontId="12" fillId="2" borderId="71" xfId="0" applyFont="1" applyFill="1" applyBorder="1" applyAlignment="1">
      <alignment vertical="center" wrapText="1"/>
    </xf>
    <xf numFmtId="170" fontId="12" fillId="2" borderId="71" xfId="0" applyNumberFormat="1" applyFont="1" applyFill="1" applyBorder="1" applyAlignment="1">
      <alignment vertical="center"/>
    </xf>
    <xf numFmtId="170" fontId="169" fillId="3" borderId="72" xfId="0" applyNumberFormat="1" applyFont="1" applyFill="1" applyBorder="1" applyAlignment="1">
      <alignment horizontal="right" vertical="center"/>
    </xf>
    <xf numFmtId="169" fontId="12" fillId="2" borderId="66" xfId="0" applyNumberFormat="1" applyFont="1" applyFill="1" applyBorder="1" applyAlignment="1">
      <alignment vertical="center" wrapText="1"/>
    </xf>
    <xf numFmtId="169" fontId="12" fillId="2" borderId="66" xfId="0" applyNumberFormat="1" applyFont="1" applyFill="1" applyBorder="1" applyAlignment="1">
      <alignment vertical="center"/>
    </xf>
    <xf numFmtId="169" fontId="169" fillId="3" borderId="67" xfId="0" applyNumberFormat="1" applyFont="1" applyFill="1" applyBorder="1" applyAlignment="1">
      <alignment horizontal="right" vertical="center"/>
    </xf>
    <xf numFmtId="0" fontId="198" fillId="75" borderId="0" xfId="0" applyFont="1" applyFill="1" applyAlignment="1">
      <alignment horizontal="right" vertical="center" wrapText="1"/>
    </xf>
    <xf numFmtId="0" fontId="198" fillId="75" borderId="0" xfId="0" applyFont="1" applyFill="1" applyAlignment="1">
      <alignment horizontal="right" vertical="center"/>
    </xf>
    <xf numFmtId="0" fontId="198" fillId="75" borderId="9" xfId="0" applyFont="1" applyFill="1" applyBorder="1" applyAlignment="1">
      <alignment horizontal="right" vertical="center"/>
    </xf>
    <xf numFmtId="0" fontId="59" fillId="75" borderId="74" xfId="0" applyFont="1" applyFill="1" applyBorder="1" applyAlignment="1">
      <alignment vertical="center" wrapText="1"/>
    </xf>
    <xf numFmtId="0" fontId="59" fillId="75" borderId="75" xfId="0" applyFont="1" applyFill="1" applyBorder="1" applyAlignment="1">
      <alignment vertical="center" wrapText="1"/>
    </xf>
    <xf numFmtId="0" fontId="25" fillId="2" borderId="68" xfId="0" applyFont="1" applyFill="1" applyBorder="1"/>
    <xf numFmtId="0" fontId="25" fillId="0" borderId="68" xfId="0" applyFont="1" applyBorder="1"/>
    <xf numFmtId="0" fontId="59" fillId="75" borderId="77" xfId="0" applyFont="1" applyFill="1" applyBorder="1" applyAlignment="1">
      <alignment vertical="center" wrapText="1"/>
    </xf>
    <xf numFmtId="0" fontId="189" fillId="75" borderId="77" xfId="0" applyFont="1" applyFill="1" applyBorder="1" applyAlignment="1">
      <alignment horizontal="right" vertical="center"/>
    </xf>
    <xf numFmtId="0" fontId="189" fillId="75" borderId="69" xfId="0" applyFont="1" applyFill="1" applyBorder="1" applyAlignment="1">
      <alignment horizontal="right" vertical="center"/>
    </xf>
    <xf numFmtId="0" fontId="189" fillId="75" borderId="78" xfId="0" applyFont="1" applyFill="1" applyBorder="1" applyAlignment="1">
      <alignment horizontal="right" vertical="center"/>
    </xf>
    <xf numFmtId="0" fontId="189" fillId="75" borderId="78" xfId="0" applyFont="1" applyFill="1" applyBorder="1" applyAlignment="1">
      <alignment horizontal="right" vertical="center" wrapText="1"/>
    </xf>
    <xf numFmtId="0" fontId="191" fillId="75" borderId="69" xfId="0" applyFont="1" applyFill="1" applyBorder="1" applyAlignment="1">
      <alignment horizontal="right" vertical="center"/>
    </xf>
    <xf numFmtId="0" fontId="9" fillId="0" borderId="69" xfId="0" applyFont="1" applyBorder="1"/>
    <xf numFmtId="0" fontId="191" fillId="75" borderId="70" xfId="0" applyFont="1" applyFill="1" applyBorder="1" applyAlignment="1">
      <alignment vertical="center" wrapText="1"/>
    </xf>
    <xf numFmtId="0" fontId="191" fillId="75" borderId="79" xfId="0" applyFont="1" applyFill="1" applyBorder="1" applyAlignment="1">
      <alignment vertical="center" wrapText="1"/>
    </xf>
    <xf numFmtId="0" fontId="191" fillId="75" borderId="70" xfId="0" applyFont="1" applyFill="1" applyBorder="1" applyAlignment="1">
      <alignment horizontal="right" vertical="center" wrapText="1"/>
    </xf>
    <xf numFmtId="0" fontId="191" fillId="75" borderId="80" xfId="0" applyFont="1" applyFill="1" applyBorder="1" applyAlignment="1">
      <alignment horizontal="right" vertical="center"/>
    </xf>
    <xf numFmtId="0" fontId="9" fillId="0" borderId="70" xfId="0" applyFont="1" applyBorder="1"/>
    <xf numFmtId="0" fontId="212" fillId="2" borderId="0" xfId="0" applyFont="1" applyFill="1" applyAlignment="1">
      <alignment vertical="center"/>
    </xf>
    <xf numFmtId="0" fontId="6" fillId="0" borderId="0" xfId="0" applyFont="1"/>
    <xf numFmtId="0" fontId="188" fillId="75" borderId="81" xfId="0" applyFont="1" applyFill="1" applyBorder="1" applyAlignment="1">
      <alignment horizontal="left" vertical="center" wrapText="1"/>
    </xf>
    <xf numFmtId="0" fontId="189" fillId="79" borderId="82" xfId="0" applyFont="1" applyFill="1" applyBorder="1" applyAlignment="1">
      <alignment horizontal="right" vertical="center" wrapText="1"/>
    </xf>
    <xf numFmtId="0" fontId="188" fillId="75" borderId="81" xfId="0" applyFont="1" applyFill="1" applyBorder="1" applyAlignment="1">
      <alignment horizontal="right" vertical="center" wrapText="1"/>
    </xf>
    <xf numFmtId="182" fontId="189" fillId="79" borderId="82" xfId="0" applyNumberFormat="1" applyFont="1" applyFill="1" applyBorder="1" applyAlignment="1">
      <alignment horizontal="right" vertical="center" wrapText="1"/>
    </xf>
    <xf numFmtId="0" fontId="9" fillId="0" borderId="81" xfId="0" applyFont="1" applyBorder="1" applyAlignment="1">
      <alignment horizontal="center" vertical="center"/>
    </xf>
    <xf numFmtId="0" fontId="188" fillId="75" borderId="83" xfId="0" applyFont="1" applyFill="1" applyBorder="1" applyAlignment="1">
      <alignment horizontal="left" vertical="center" wrapText="1"/>
    </xf>
    <xf numFmtId="0" fontId="189" fillId="79" borderId="83" xfId="0" applyFont="1" applyFill="1" applyBorder="1" applyAlignment="1">
      <alignment horizontal="right" vertical="center" wrapText="1"/>
    </xf>
    <xf numFmtId="0" fontId="188" fillId="75" borderId="83" xfId="0" applyFont="1" applyFill="1" applyBorder="1" applyAlignment="1">
      <alignment horizontal="right" vertical="center" wrapText="1"/>
    </xf>
    <xf numFmtId="182" fontId="189" fillId="79" borderId="83" xfId="0" applyNumberFormat="1" applyFont="1" applyFill="1" applyBorder="1" applyAlignment="1">
      <alignment horizontal="right" vertical="center" wrapText="1"/>
    </xf>
    <xf numFmtId="0" fontId="9" fillId="0" borderId="84" xfId="0" applyFont="1" applyBorder="1" applyAlignment="1">
      <alignment horizontal="center" vertical="center"/>
    </xf>
    <xf numFmtId="0" fontId="9" fillId="0" borderId="0" xfId="0" applyFont="1" applyAlignment="1">
      <alignment horizontal="left" vertical="center"/>
    </xf>
    <xf numFmtId="169" fontId="28" fillId="80" borderId="0" xfId="2" applyNumberFormat="1" applyFont="1" applyFill="1" applyBorder="1" applyAlignment="1">
      <alignment horizontal="right" vertical="center"/>
    </xf>
    <xf numFmtId="169" fontId="9" fillId="0" borderId="0" xfId="2" applyNumberFormat="1" applyFont="1" applyFill="1" applyBorder="1" applyAlignment="1">
      <alignment horizontal="right" vertical="center"/>
    </xf>
    <xf numFmtId="0" fontId="9" fillId="0" borderId="0" xfId="0" applyFont="1" applyAlignment="1">
      <alignment horizontal="center" vertical="center"/>
    </xf>
    <xf numFmtId="167" fontId="28" fillId="80" borderId="0" xfId="2" applyNumberFormat="1" applyFont="1" applyFill="1" applyBorder="1" applyAlignment="1">
      <alignment horizontal="right" vertical="center"/>
    </xf>
    <xf numFmtId="167" fontId="9" fillId="0" borderId="0" xfId="2" applyNumberFormat="1" applyFont="1" applyFill="1" applyBorder="1" applyAlignment="1">
      <alignment horizontal="right" vertical="center"/>
    </xf>
    <xf numFmtId="49" fontId="215" fillId="0" borderId="0" xfId="0" applyNumberFormat="1" applyFont="1"/>
    <xf numFmtId="0" fontId="215" fillId="0" borderId="0" xfId="0" applyFont="1"/>
    <xf numFmtId="173" fontId="30" fillId="2" borderId="9" xfId="0" applyNumberFormat="1" applyFont="1" applyFill="1" applyBorder="1" applyAlignment="1">
      <alignment horizontal="right" vertical="center"/>
    </xf>
    <xf numFmtId="214" fontId="189" fillId="83" borderId="0" xfId="0" applyNumberFormat="1" applyFont="1" applyFill="1" applyAlignment="1">
      <alignment vertical="center"/>
    </xf>
    <xf numFmtId="215" fontId="189" fillId="84" borderId="9" xfId="0" applyNumberFormat="1" applyFont="1" applyFill="1" applyBorder="1" applyAlignment="1">
      <alignment vertical="center" wrapText="1"/>
    </xf>
    <xf numFmtId="0" fontId="188" fillId="75" borderId="69" xfId="0" applyFont="1" applyFill="1" applyBorder="1" applyAlignment="1">
      <alignment horizontal="center" vertical="center" wrapText="1"/>
    </xf>
    <xf numFmtId="169" fontId="207" fillId="0" borderId="0" xfId="0" applyNumberFormat="1" applyFont="1"/>
    <xf numFmtId="169" fontId="20" fillId="0" borderId="0" xfId="0" applyNumberFormat="1" applyFont="1"/>
    <xf numFmtId="0" fontId="189" fillId="75" borderId="0" xfId="0" applyFont="1" applyFill="1" applyAlignment="1">
      <alignment horizontal="center" vertical="center" wrapText="1"/>
    </xf>
    <xf numFmtId="0" fontId="19" fillId="0" borderId="3" xfId="0" applyFont="1" applyBorder="1" applyAlignment="1">
      <alignment vertical="center" wrapText="1"/>
    </xf>
    <xf numFmtId="0" fontId="191" fillId="75" borderId="74" xfId="0" applyFont="1" applyFill="1" applyBorder="1" applyAlignment="1">
      <alignment vertical="center" wrapText="1"/>
    </xf>
    <xf numFmtId="0" fontId="189" fillId="75" borderId="69" xfId="0" applyFont="1" applyFill="1" applyBorder="1" applyAlignment="1">
      <alignment horizontal="center" vertical="center" wrapText="1"/>
    </xf>
    <xf numFmtId="0" fontId="9" fillId="0" borderId="69" xfId="0" applyFont="1" applyBorder="1" applyAlignment="1">
      <alignment vertical="center"/>
    </xf>
    <xf numFmtId="0" fontId="9" fillId="0" borderId="86" xfId="0" applyFont="1" applyBorder="1" applyAlignment="1">
      <alignment vertical="center"/>
    </xf>
    <xf numFmtId="169" fontId="28" fillId="80" borderId="86" xfId="2" applyNumberFormat="1" applyFont="1" applyFill="1" applyBorder="1" applyAlignment="1">
      <alignment horizontal="right" vertical="center"/>
    </xf>
    <xf numFmtId="169" fontId="9" fillId="0" borderId="86" xfId="2" applyNumberFormat="1" applyFont="1" applyFill="1" applyBorder="1" applyAlignment="1">
      <alignment horizontal="right" vertical="center"/>
    </xf>
    <xf numFmtId="215" fontId="30" fillId="0" borderId="9" xfId="0" applyNumberFormat="1" applyFont="1" applyBorder="1" applyAlignment="1">
      <alignment horizontal="right" vertical="center"/>
    </xf>
    <xf numFmtId="0" fontId="188" fillId="75" borderId="87" xfId="0" applyFont="1" applyFill="1" applyBorder="1" applyAlignment="1">
      <alignment horizontal="left" vertical="center" wrapText="1"/>
    </xf>
    <xf numFmtId="0" fontId="188" fillId="75" borderId="78" xfId="0" applyFont="1" applyFill="1" applyBorder="1" applyAlignment="1">
      <alignment horizontal="center" vertical="center" wrapText="1"/>
    </xf>
    <xf numFmtId="0" fontId="188" fillId="75" borderId="77" xfId="0" applyFont="1" applyFill="1" applyBorder="1" applyAlignment="1">
      <alignment horizontal="center" vertical="center" wrapText="1"/>
    </xf>
    <xf numFmtId="0" fontId="188" fillId="75" borderId="88" xfId="0" applyFont="1" applyFill="1" applyBorder="1" applyAlignment="1">
      <alignment horizontal="left" vertical="center" wrapText="1"/>
    </xf>
    <xf numFmtId="0" fontId="188" fillId="75" borderId="79" xfId="0" applyFont="1" applyFill="1" applyBorder="1" applyAlignment="1">
      <alignment horizontal="left" vertical="center" wrapText="1"/>
    </xf>
    <xf numFmtId="0" fontId="189" fillId="79" borderId="70" xfId="0" applyFont="1" applyFill="1" applyBorder="1" applyAlignment="1">
      <alignment horizontal="right" vertical="center"/>
    </xf>
    <xf numFmtId="0" fontId="189" fillId="75" borderId="85" xfId="0" applyFont="1" applyFill="1" applyBorder="1" applyAlignment="1">
      <alignment horizontal="right" vertical="center"/>
    </xf>
    <xf numFmtId="0" fontId="189" fillId="79" borderId="80" xfId="0" applyFont="1" applyFill="1" applyBorder="1" applyAlignment="1">
      <alignment horizontal="right" vertical="center"/>
    </xf>
    <xf numFmtId="215" fontId="189" fillId="83" borderId="73" xfId="0" applyNumberFormat="1" applyFont="1" applyFill="1" applyBorder="1" applyAlignment="1">
      <alignment vertical="center"/>
    </xf>
    <xf numFmtId="185" fontId="9" fillId="0" borderId="0" xfId="0" applyNumberFormat="1" applyFont="1"/>
    <xf numFmtId="177" fontId="9" fillId="0" borderId="0" xfId="0" applyNumberFormat="1" applyFont="1"/>
    <xf numFmtId="185" fontId="28" fillId="0" borderId="0" xfId="0" applyNumberFormat="1" applyFont="1"/>
    <xf numFmtId="182" fontId="9" fillId="0" borderId="0" xfId="0" applyNumberFormat="1" applyFont="1"/>
    <xf numFmtId="185" fontId="20" fillId="0" borderId="0" xfId="0" applyNumberFormat="1" applyFont="1"/>
    <xf numFmtId="0" fontId="188" fillId="0" borderId="83" xfId="0" applyFont="1" applyBorder="1" applyAlignment="1">
      <alignment horizontal="right" vertical="center" wrapText="1"/>
    </xf>
    <xf numFmtId="182" fontId="189" fillId="0" borderId="83" xfId="0" applyNumberFormat="1" applyFont="1" applyBorder="1" applyAlignment="1">
      <alignment horizontal="right" vertical="center" wrapText="1"/>
    </xf>
    <xf numFmtId="169" fontId="43" fillId="85" borderId="57" xfId="0" applyNumberFormat="1" applyFont="1" applyFill="1" applyBorder="1" applyAlignment="1">
      <alignment vertical="center" wrapText="1"/>
    </xf>
    <xf numFmtId="10" fontId="43" fillId="85" borderId="57" xfId="0" applyNumberFormat="1" applyFont="1" applyFill="1" applyBorder="1" applyAlignment="1">
      <alignment vertical="center" wrapText="1"/>
    </xf>
    <xf numFmtId="10" fontId="42" fillId="85" borderId="60" xfId="0" applyNumberFormat="1" applyFont="1" applyFill="1" applyBorder="1" applyAlignment="1">
      <alignment vertical="center" wrapText="1"/>
    </xf>
    <xf numFmtId="10" fontId="42" fillId="85" borderId="9" xfId="0" applyNumberFormat="1" applyFont="1" applyFill="1" applyBorder="1" applyAlignment="1">
      <alignment vertical="center" wrapText="1"/>
    </xf>
    <xf numFmtId="10" fontId="42" fillId="85" borderId="13" xfId="0" applyNumberFormat="1" applyFont="1" applyFill="1" applyBorder="1" applyAlignment="1">
      <alignment vertical="center" wrapText="1"/>
    </xf>
    <xf numFmtId="169" fontId="43" fillId="85" borderId="9" xfId="0" applyNumberFormat="1" applyFont="1" applyFill="1" applyBorder="1" applyAlignment="1">
      <alignment vertical="center" wrapText="1"/>
    </xf>
    <xf numFmtId="3" fontId="42" fillId="85" borderId="52" xfId="0" applyNumberFormat="1" applyFont="1" applyFill="1" applyBorder="1" applyAlignment="1">
      <alignment vertical="center" wrapText="1"/>
    </xf>
    <xf numFmtId="3" fontId="43" fillId="85" borderId="57" xfId="0" applyNumberFormat="1" applyFont="1" applyFill="1" applyBorder="1" applyAlignment="1">
      <alignment vertical="center" wrapText="1"/>
    </xf>
    <xf numFmtId="170" fontId="209" fillId="85" borderId="50" xfId="0" applyNumberFormat="1" applyFont="1" applyFill="1" applyBorder="1" applyAlignment="1">
      <alignment vertical="center" wrapText="1"/>
    </xf>
    <xf numFmtId="170" fontId="48" fillId="85" borderId="9" xfId="0" applyNumberFormat="1" applyFont="1" applyFill="1" applyBorder="1" applyAlignment="1">
      <alignment vertical="center" wrapText="1"/>
    </xf>
    <xf numFmtId="170" fontId="48" fillId="85" borderId="13" xfId="0" applyNumberFormat="1" applyFont="1" applyFill="1" applyBorder="1" applyAlignment="1">
      <alignment vertical="center" wrapText="1"/>
    </xf>
    <xf numFmtId="170" fontId="169" fillId="85" borderId="50" xfId="0" applyNumberFormat="1" applyFont="1" applyFill="1" applyBorder="1" applyAlignment="1">
      <alignment vertical="center" wrapText="1"/>
    </xf>
    <xf numFmtId="3" fontId="169" fillId="85" borderId="50" xfId="0" applyNumberFormat="1" applyFont="1" applyFill="1" applyBorder="1" applyAlignment="1">
      <alignment vertical="center" wrapText="1"/>
    </xf>
    <xf numFmtId="3" fontId="48" fillId="85" borderId="9" xfId="0" applyNumberFormat="1" applyFont="1" applyFill="1" applyBorder="1" applyAlignment="1">
      <alignment vertical="center" wrapText="1"/>
    </xf>
    <xf numFmtId="3" fontId="48" fillId="85" borderId="13" xfId="0" applyNumberFormat="1" applyFont="1" applyFill="1" applyBorder="1" applyAlignment="1">
      <alignment vertical="center" wrapText="1"/>
    </xf>
    <xf numFmtId="3" fontId="210" fillId="85" borderId="50" xfId="0" applyNumberFormat="1" applyFont="1" applyFill="1" applyBorder="1" applyAlignment="1">
      <alignment vertical="center" wrapText="1"/>
    </xf>
    <xf numFmtId="0" fontId="47" fillId="2" borderId="0" xfId="0" applyFont="1" applyFill="1" applyAlignment="1">
      <alignment horizontal="left" vertical="center" wrapText="1" indent="3"/>
    </xf>
    <xf numFmtId="170" fontId="47" fillId="2" borderId="0" xfId="0" applyNumberFormat="1" applyFont="1" applyFill="1" applyAlignment="1">
      <alignment vertical="center"/>
    </xf>
    <xf numFmtId="170" fontId="28" fillId="3" borderId="9" xfId="0" applyNumberFormat="1" applyFont="1" applyFill="1" applyBorder="1" applyAlignment="1">
      <alignment horizontal="right" vertical="center"/>
    </xf>
    <xf numFmtId="0" fontId="47" fillId="2" borderId="0" xfId="0" applyFont="1" applyFill="1"/>
    <xf numFmtId="0" fontId="47" fillId="2" borderId="0" xfId="0" applyFont="1" applyFill="1" applyAlignment="1">
      <alignment horizontal="right" vertical="center" wrapText="1"/>
    </xf>
    <xf numFmtId="170" fontId="47" fillId="2" borderId="0" xfId="0" applyNumberFormat="1" applyFont="1" applyFill="1" applyAlignment="1">
      <alignment horizontal="right" vertical="center"/>
    </xf>
    <xf numFmtId="0" fontId="24" fillId="2" borderId="0" xfId="0" applyFont="1" applyFill="1" applyAlignment="1">
      <alignment horizontal="left" vertical="center" wrapText="1" indent="3"/>
    </xf>
    <xf numFmtId="170" fontId="24" fillId="2" borderId="0" xfId="0" applyNumberFormat="1" applyFont="1" applyFill="1" applyAlignment="1">
      <alignment vertical="center"/>
    </xf>
    <xf numFmtId="0" fontId="21" fillId="2" borderId="0" xfId="0" applyFont="1" applyFill="1" applyAlignment="1">
      <alignment vertical="center"/>
    </xf>
    <xf numFmtId="0" fontId="21" fillId="0" borderId="0" xfId="0" applyFont="1" applyAlignment="1">
      <alignment vertical="center"/>
    </xf>
    <xf numFmtId="0" fontId="24" fillId="2" borderId="0" xfId="0" applyFont="1" applyFill="1" applyAlignment="1">
      <alignment horizontal="left" vertical="center" wrapText="1" indent="2"/>
    </xf>
    <xf numFmtId="170" fontId="44" fillId="80" borderId="0" xfId="0" applyNumberFormat="1" applyFont="1" applyFill="1" applyAlignment="1">
      <alignment vertical="center" wrapText="1"/>
    </xf>
    <xf numFmtId="170" fontId="44" fillId="80" borderId="9" xfId="0" applyNumberFormat="1" applyFont="1" applyFill="1" applyBorder="1" applyAlignment="1">
      <alignment vertical="center" wrapText="1"/>
    </xf>
    <xf numFmtId="170" fontId="174" fillId="80" borderId="0" xfId="0" applyNumberFormat="1" applyFont="1" applyFill="1" applyAlignment="1">
      <alignment vertical="center" wrapText="1"/>
    </xf>
    <xf numFmtId="0" fontId="24" fillId="0" borderId="0" xfId="0" applyFont="1" applyAlignment="1">
      <alignment vertical="center" wrapText="1"/>
    </xf>
    <xf numFmtId="0" fontId="24" fillId="2" borderId="0" xfId="0" applyFont="1" applyFill="1" applyAlignment="1">
      <alignment vertical="center"/>
    </xf>
    <xf numFmtId="0" fontId="24" fillId="0" borderId="0" xfId="0" applyFont="1" applyAlignment="1">
      <alignment vertical="center"/>
    </xf>
    <xf numFmtId="184" fontId="24" fillId="2" borderId="0" xfId="0" applyNumberFormat="1" applyFont="1" applyFill="1" applyAlignment="1">
      <alignment vertical="center"/>
    </xf>
    <xf numFmtId="184" fontId="28" fillId="3" borderId="9" xfId="0" applyNumberFormat="1" applyFont="1" applyFill="1" applyBorder="1" applyAlignment="1">
      <alignment horizontal="right" vertical="center"/>
    </xf>
    <xf numFmtId="181" fontId="174" fillId="80" borderId="0" xfId="0" applyNumberFormat="1" applyFont="1" applyFill="1" applyAlignment="1">
      <alignment vertical="center" wrapText="1"/>
    </xf>
    <xf numFmtId="0" fontId="217" fillId="0" borderId="0" xfId="0" applyFont="1" applyAlignment="1">
      <alignment horizontal="right" vertical="center"/>
    </xf>
    <xf numFmtId="0" fontId="177" fillId="0" borderId="0" xfId="0" applyFont="1"/>
    <xf numFmtId="170" fontId="47" fillId="0" borderId="0" xfId="0" applyNumberFormat="1" applyFont="1" applyAlignment="1">
      <alignment vertical="center"/>
    </xf>
    <xf numFmtId="170" fontId="47" fillId="0" borderId="0" xfId="0" applyNumberFormat="1" applyFont="1" applyAlignment="1">
      <alignment horizontal="right" vertical="center"/>
    </xf>
    <xf numFmtId="0" fontId="188" fillId="75" borderId="90" xfId="0" applyFont="1" applyFill="1" applyBorder="1" applyAlignment="1">
      <alignment horizontal="left" vertical="center" wrapText="1"/>
    </xf>
    <xf numFmtId="0" fontId="12" fillId="2" borderId="91" xfId="0" applyFont="1" applyFill="1" applyBorder="1" applyAlignment="1">
      <alignment vertical="center" wrapText="1"/>
    </xf>
    <xf numFmtId="0" fontId="24" fillId="2" borderId="92" xfId="0" applyFont="1" applyFill="1" applyBorder="1" applyAlignment="1">
      <alignment horizontal="left" vertical="center" wrapText="1" indent="4"/>
    </xf>
    <xf numFmtId="0" fontId="12" fillId="2" borderId="93" xfId="0" applyFont="1" applyFill="1" applyBorder="1" applyAlignment="1">
      <alignment vertical="center" wrapText="1"/>
    </xf>
    <xf numFmtId="170" fontId="174" fillId="80" borderId="94" xfId="0" applyNumberFormat="1" applyFont="1" applyFill="1" applyBorder="1" applyAlignment="1">
      <alignment horizontal="left" vertical="center" wrapText="1" indent="4"/>
    </xf>
    <xf numFmtId="0" fontId="47" fillId="2" borderId="92" xfId="0" applyFont="1" applyFill="1" applyBorder="1" applyAlignment="1">
      <alignment horizontal="left" vertical="center" wrapText="1" indent="4"/>
    </xf>
    <xf numFmtId="169" fontId="12" fillId="2" borderId="93" xfId="0" applyNumberFormat="1" applyFont="1" applyFill="1" applyBorder="1" applyAlignment="1">
      <alignment vertical="center" wrapText="1"/>
    </xf>
    <xf numFmtId="170" fontId="43" fillId="80" borderId="71" xfId="0" applyNumberFormat="1" applyFont="1" applyFill="1" applyBorder="1" applyAlignment="1">
      <alignment vertical="center" wrapText="1"/>
    </xf>
    <xf numFmtId="170" fontId="43" fillId="80" borderId="66" xfId="0" applyNumberFormat="1" applyFont="1" applyFill="1" applyBorder="1" applyAlignment="1">
      <alignment vertical="center" wrapText="1"/>
    </xf>
    <xf numFmtId="169" fontId="43" fillId="80" borderId="66" xfId="0" applyNumberFormat="1" applyFont="1" applyFill="1" applyBorder="1" applyAlignment="1">
      <alignment vertical="center" wrapText="1"/>
    </xf>
    <xf numFmtId="0" fontId="189" fillId="75" borderId="96" xfId="0" applyFont="1" applyFill="1" applyBorder="1" applyAlignment="1">
      <alignment horizontal="right" vertical="center"/>
    </xf>
    <xf numFmtId="170" fontId="12" fillId="2" borderId="97" xfId="0" applyNumberFormat="1" applyFont="1" applyFill="1" applyBorder="1" applyAlignment="1">
      <alignment vertical="center"/>
    </xf>
    <xf numFmtId="170" fontId="43" fillId="80" borderId="98" xfId="0" applyNumberFormat="1" applyFont="1" applyFill="1" applyBorder="1" applyAlignment="1">
      <alignment vertical="center" wrapText="1"/>
    </xf>
    <xf numFmtId="170" fontId="24" fillId="2" borderId="99" xfId="0" applyNumberFormat="1" applyFont="1" applyFill="1" applyBorder="1" applyAlignment="1">
      <alignment vertical="center"/>
    </xf>
    <xf numFmtId="170" fontId="174" fillId="80" borderId="94" xfId="0" applyNumberFormat="1" applyFont="1" applyFill="1" applyBorder="1" applyAlignment="1">
      <alignment vertical="center" wrapText="1"/>
    </xf>
    <xf numFmtId="184" fontId="24" fillId="2" borderId="99" xfId="0" applyNumberFormat="1" applyFont="1" applyFill="1" applyBorder="1" applyAlignment="1">
      <alignment vertical="center"/>
    </xf>
    <xf numFmtId="170" fontId="12" fillId="2" borderId="100" xfId="0" applyNumberFormat="1" applyFont="1" applyFill="1" applyBorder="1" applyAlignment="1">
      <alignment vertical="center"/>
    </xf>
    <xf numFmtId="170" fontId="43" fillId="80" borderId="101" xfId="0" applyNumberFormat="1" applyFont="1" applyFill="1" applyBorder="1" applyAlignment="1">
      <alignment vertical="center" wrapText="1"/>
    </xf>
    <xf numFmtId="170" fontId="44" fillId="80" borderId="99" xfId="0" applyNumberFormat="1" applyFont="1" applyFill="1" applyBorder="1" applyAlignment="1">
      <alignment vertical="center" wrapText="1"/>
    </xf>
    <xf numFmtId="170" fontId="44" fillId="80" borderId="94" xfId="0" applyNumberFormat="1" applyFont="1" applyFill="1" applyBorder="1" applyAlignment="1">
      <alignment vertical="center" wrapText="1"/>
    </xf>
    <xf numFmtId="170" fontId="47" fillId="2" borderId="99" xfId="0" applyNumberFormat="1" applyFont="1" applyFill="1" applyBorder="1" applyAlignment="1">
      <alignment vertical="center"/>
    </xf>
    <xf numFmtId="170" fontId="47" fillId="2" borderId="99" xfId="0" applyNumberFormat="1" applyFont="1" applyFill="1" applyBorder="1" applyAlignment="1">
      <alignment horizontal="right" vertical="center"/>
    </xf>
    <xf numFmtId="169" fontId="12" fillId="2" borderId="100" xfId="0" applyNumberFormat="1" applyFont="1" applyFill="1" applyBorder="1" applyAlignment="1">
      <alignment vertical="center"/>
    </xf>
    <xf numFmtId="169" fontId="43" fillId="80" borderId="101" xfId="0" applyNumberFormat="1" applyFont="1" applyFill="1" applyBorder="1" applyAlignment="1">
      <alignment vertical="center" wrapText="1"/>
    </xf>
    <xf numFmtId="173" fontId="174" fillId="80" borderId="94" xfId="0" applyNumberFormat="1" applyFont="1" applyFill="1" applyBorder="1" applyAlignment="1">
      <alignment vertical="center" wrapText="1"/>
    </xf>
    <xf numFmtId="170" fontId="174" fillId="80" borderId="99" xfId="0" applyNumberFormat="1" applyFont="1" applyFill="1" applyBorder="1" applyAlignment="1">
      <alignment vertical="center" wrapText="1"/>
    </xf>
    <xf numFmtId="0" fontId="12" fillId="2" borderId="95" xfId="0" applyFont="1" applyFill="1" applyBorder="1" applyAlignment="1">
      <alignment vertical="center" wrapText="1"/>
    </xf>
    <xf numFmtId="0" fontId="24" fillId="2" borderId="102" xfId="0" applyFont="1" applyFill="1" applyBorder="1" applyAlignment="1">
      <alignment horizontal="left" vertical="center" wrapText="1" indent="3"/>
    </xf>
    <xf numFmtId="0" fontId="12" fillId="2" borderId="103" xfId="0" applyFont="1" applyFill="1" applyBorder="1" applyAlignment="1">
      <alignment vertical="center" wrapText="1"/>
    </xf>
    <xf numFmtId="170" fontId="174" fillId="80" borderId="102" xfId="0" applyNumberFormat="1" applyFont="1" applyFill="1" applyBorder="1" applyAlignment="1">
      <alignment horizontal="left" vertical="center" wrapText="1" indent="4"/>
    </xf>
    <xf numFmtId="0" fontId="47" fillId="2" borderId="102" xfId="0" applyFont="1" applyFill="1" applyBorder="1" applyAlignment="1">
      <alignment horizontal="left" vertical="center" wrapText="1" indent="3"/>
    </xf>
    <xf numFmtId="169" fontId="12" fillId="2" borderId="103" xfId="0" applyNumberFormat="1" applyFont="1" applyFill="1" applyBorder="1" applyAlignment="1">
      <alignment vertical="center" wrapText="1"/>
    </xf>
    <xf numFmtId="0" fontId="189" fillId="75" borderId="89" xfId="0" applyFont="1" applyFill="1" applyBorder="1" applyAlignment="1">
      <alignment horizontal="right" vertical="center"/>
    </xf>
    <xf numFmtId="182" fontId="174" fillId="80" borderId="94" xfId="0" applyNumberFormat="1" applyFont="1" applyFill="1" applyBorder="1" applyAlignment="1">
      <alignment vertical="center" wrapText="1"/>
    </xf>
    <xf numFmtId="169" fontId="43" fillId="80" borderId="101" xfId="7" applyNumberFormat="1" applyFont="1" applyFill="1" applyBorder="1" applyAlignment="1">
      <alignment vertical="center" wrapText="1"/>
    </xf>
    <xf numFmtId="0" fontId="18" fillId="2" borderId="0" xfId="20233" applyFont="1" applyFill="1" applyAlignment="1">
      <alignment vertical="center"/>
    </xf>
    <xf numFmtId="0" fontId="25" fillId="2" borderId="0" xfId="20233" applyFont="1" applyFill="1" applyAlignment="1">
      <alignment vertical="center"/>
    </xf>
    <xf numFmtId="0" fontId="25" fillId="0" borderId="0" xfId="20233" applyFont="1" applyAlignment="1">
      <alignment vertical="center"/>
    </xf>
    <xf numFmtId="4" fontId="6" fillId="2" borderId="0" xfId="20233" applyNumberFormat="1" applyFont="1" applyFill="1" applyAlignment="1">
      <alignment vertical="center"/>
    </xf>
    <xf numFmtId="0" fontId="6" fillId="2" borderId="0" xfId="20233" applyFont="1" applyFill="1" applyAlignment="1">
      <alignment vertical="center"/>
    </xf>
    <xf numFmtId="0" fontId="191" fillId="75" borderId="104" xfId="20233" applyFont="1" applyFill="1" applyBorder="1" applyAlignment="1">
      <alignment vertical="center" wrapText="1"/>
    </xf>
    <xf numFmtId="0" fontId="207" fillId="0" borderId="0" xfId="20233" applyFont="1" applyAlignment="1">
      <alignment vertical="center"/>
    </xf>
    <xf numFmtId="0" fontId="191" fillId="75" borderId="0" xfId="20233" applyFont="1" applyFill="1" applyAlignment="1">
      <alignment horizontal="center" vertical="center"/>
    </xf>
    <xf numFmtId="0" fontId="191" fillId="75" borderId="105" xfId="20233" applyFont="1" applyFill="1" applyBorder="1" applyAlignment="1">
      <alignment horizontal="center" vertical="center"/>
    </xf>
    <xf numFmtId="0" fontId="191" fillId="75" borderId="106" xfId="20233" applyFont="1" applyFill="1" applyBorder="1" applyAlignment="1">
      <alignment horizontal="center" vertical="center"/>
    </xf>
    <xf numFmtId="0" fontId="191" fillId="86" borderId="104" xfId="20233" applyFont="1" applyFill="1" applyBorder="1" applyAlignment="1">
      <alignment vertical="center" wrapText="1"/>
    </xf>
    <xf numFmtId="169" fontId="218" fillId="86" borderId="0" xfId="29659" applyNumberFormat="1" applyFont="1" applyFill="1" applyBorder="1" applyAlignment="1">
      <alignment horizontal="right" vertical="center" wrapText="1"/>
    </xf>
    <xf numFmtId="169" fontId="218" fillId="86" borderId="105" xfId="29659" applyNumberFormat="1" applyFont="1" applyFill="1" applyBorder="1" applyAlignment="1">
      <alignment horizontal="right" vertical="center" wrapText="1"/>
    </xf>
    <xf numFmtId="169" fontId="218" fillId="86" borderId="108" xfId="29659" applyNumberFormat="1" applyFont="1" applyFill="1" applyBorder="1" applyAlignment="1">
      <alignment horizontal="right" vertical="center" wrapText="1"/>
    </xf>
    <xf numFmtId="0" fontId="219" fillId="2" borderId="0" xfId="20233" applyFont="1" applyFill="1" applyAlignment="1">
      <alignment vertical="center"/>
    </xf>
    <xf numFmtId="0" fontId="15" fillId="0" borderId="104" xfId="20233" applyFont="1" applyBorder="1" applyAlignment="1">
      <alignment horizontal="left" vertical="center" wrapText="1"/>
    </xf>
    <xf numFmtId="0" fontId="15" fillId="0" borderId="104" xfId="20233" applyFont="1" applyBorder="1" applyAlignment="1">
      <alignment horizontal="left" vertical="center"/>
    </xf>
    <xf numFmtId="3" fontId="34" fillId="0" borderId="0" xfId="20233" applyNumberFormat="1" applyFont="1" applyAlignment="1">
      <alignment horizontal="right" vertical="center" wrapText="1"/>
    </xf>
    <xf numFmtId="3" fontId="34" fillId="0" borderId="105" xfId="20233" applyNumberFormat="1" applyFont="1" applyBorder="1" applyAlignment="1">
      <alignment horizontal="right" vertical="center" wrapText="1"/>
    </xf>
    <xf numFmtId="3" fontId="34" fillId="0" borderId="108" xfId="20233" applyNumberFormat="1" applyFont="1" applyBorder="1" applyAlignment="1">
      <alignment horizontal="right" vertical="center" wrapText="1"/>
    </xf>
    <xf numFmtId="3" fontId="6" fillId="0" borderId="0" xfId="20233" applyNumberFormat="1" applyFont="1" applyAlignment="1">
      <alignment vertical="center"/>
    </xf>
    <xf numFmtId="0" fontId="6" fillId="0" borderId="0" xfId="20233" applyFont="1" applyAlignment="1">
      <alignment vertical="center"/>
    </xf>
    <xf numFmtId="0" fontId="35" fillId="0" borderId="104" xfId="20233" applyFont="1" applyBorder="1" applyAlignment="1">
      <alignment horizontal="left" vertical="center" wrapText="1" indent="1"/>
    </xf>
    <xf numFmtId="216" fontId="6" fillId="0" borderId="0" xfId="42855" applyNumberFormat="1" applyFont="1" applyFill="1" applyBorder="1" applyAlignment="1">
      <alignment vertical="center"/>
    </xf>
    <xf numFmtId="216" fontId="6" fillId="0" borderId="108" xfId="42855" applyNumberFormat="1" applyFont="1" applyFill="1" applyBorder="1" applyAlignment="1">
      <alignment vertical="center"/>
    </xf>
    <xf numFmtId="216" fontId="6" fillId="0" borderId="107" xfId="42855" applyNumberFormat="1" applyFont="1" applyFill="1" applyBorder="1" applyAlignment="1">
      <alignment vertical="center"/>
    </xf>
    <xf numFmtId="0" fontId="220" fillId="0" borderId="0" xfId="20233" applyFont="1" applyAlignment="1">
      <alignment vertical="center"/>
    </xf>
    <xf numFmtId="170" fontId="35" fillId="0" borderId="104" xfId="20233" applyNumberFormat="1" applyFont="1" applyBorder="1" applyAlignment="1">
      <alignment horizontal="left" vertical="center" wrapText="1"/>
    </xf>
    <xf numFmtId="170" fontId="35" fillId="0" borderId="104" xfId="20233" applyNumberFormat="1" applyFont="1" applyBorder="1" applyAlignment="1">
      <alignment horizontal="left" vertical="center"/>
    </xf>
    <xf numFmtId="170" fontId="17" fillId="0" borderId="0" xfId="20233" applyNumberFormat="1" applyFont="1" applyAlignment="1">
      <alignment horizontal="right" vertical="center" wrapText="1"/>
    </xf>
    <xf numFmtId="170" fontId="17" fillId="0" borderId="105" xfId="20233" applyNumberFormat="1" applyFont="1" applyBorder="1" applyAlignment="1">
      <alignment horizontal="right" vertical="center" wrapText="1"/>
    </xf>
    <xf numFmtId="170" fontId="17" fillId="0" borderId="108" xfId="20233" applyNumberFormat="1" applyFont="1" applyBorder="1" applyAlignment="1">
      <alignment horizontal="right" vertical="center" wrapText="1"/>
    </xf>
    <xf numFmtId="170" fontId="6" fillId="0" borderId="0" xfId="20233" applyNumberFormat="1" applyFont="1" applyAlignment="1">
      <alignment vertical="center"/>
    </xf>
    <xf numFmtId="0" fontId="35" fillId="0" borderId="104" xfId="20233" applyFont="1" applyBorder="1" applyAlignment="1">
      <alignment horizontal="left" vertical="center" wrapText="1"/>
    </xf>
    <xf numFmtId="169" fontId="17" fillId="0" borderId="0" xfId="20233" applyNumberFormat="1" applyFont="1" applyAlignment="1">
      <alignment horizontal="right" vertical="center" wrapText="1"/>
    </xf>
    <xf numFmtId="169" fontId="17" fillId="0" borderId="105" xfId="20233" applyNumberFormat="1" applyFont="1" applyBorder="1" applyAlignment="1">
      <alignment horizontal="right" vertical="center" wrapText="1"/>
    </xf>
    <xf numFmtId="169" fontId="17" fillId="0" borderId="108" xfId="20233" applyNumberFormat="1" applyFont="1" applyBorder="1" applyAlignment="1">
      <alignment horizontal="right" vertical="center" wrapText="1"/>
    </xf>
    <xf numFmtId="2" fontId="17" fillId="0" borderId="0" xfId="20233" applyNumberFormat="1" applyFont="1" applyAlignment="1">
      <alignment horizontal="right" vertical="center" wrapText="1"/>
    </xf>
    <xf numFmtId="2" fontId="17" fillId="0" borderId="105" xfId="20233" applyNumberFormat="1" applyFont="1" applyBorder="1" applyAlignment="1">
      <alignment horizontal="right" vertical="center" wrapText="1"/>
    </xf>
    <xf numFmtId="2" fontId="17" fillId="0" borderId="108" xfId="20233" applyNumberFormat="1" applyFont="1" applyBorder="1" applyAlignment="1">
      <alignment horizontal="right" vertical="center" wrapText="1"/>
    </xf>
    <xf numFmtId="3" fontId="15" fillId="0" borderId="104" xfId="20233" applyNumberFormat="1" applyFont="1" applyBorder="1" applyAlignment="1">
      <alignment horizontal="left" vertical="center" wrapText="1"/>
    </xf>
    <xf numFmtId="3" fontId="15" fillId="0" borderId="104" xfId="20233" applyNumberFormat="1" applyFont="1" applyBorder="1" applyAlignment="1">
      <alignment horizontal="left" vertical="center"/>
    </xf>
    <xf numFmtId="3" fontId="35" fillId="0" borderId="104" xfId="20233" applyNumberFormat="1" applyFont="1" applyBorder="1" applyAlignment="1">
      <alignment horizontal="left" vertical="center" wrapText="1" indent="1"/>
    </xf>
    <xf numFmtId="3" fontId="17" fillId="0" borderId="0" xfId="20233" applyNumberFormat="1" applyFont="1" applyAlignment="1">
      <alignment horizontal="right" vertical="center" wrapText="1"/>
    </xf>
    <xf numFmtId="3" fontId="17" fillId="0" borderId="105" xfId="20233" applyNumberFormat="1" applyFont="1" applyBorder="1" applyAlignment="1">
      <alignment horizontal="right" vertical="center" wrapText="1"/>
    </xf>
    <xf numFmtId="3" fontId="17" fillId="0" borderId="108" xfId="20233" applyNumberFormat="1" applyFont="1" applyBorder="1" applyAlignment="1">
      <alignment horizontal="right" vertical="center" wrapText="1"/>
    </xf>
    <xf numFmtId="170" fontId="17" fillId="0" borderId="109" xfId="20233" applyNumberFormat="1" applyFont="1" applyBorder="1" applyAlignment="1">
      <alignment horizontal="left" vertical="center" wrapText="1"/>
    </xf>
    <xf numFmtId="170" fontId="35" fillId="0" borderId="109" xfId="20233" applyNumberFormat="1" applyFont="1" applyBorder="1" applyAlignment="1">
      <alignment horizontal="left" vertical="center"/>
    </xf>
    <xf numFmtId="170" fontId="17" fillId="0" borderId="110" xfId="20233" applyNumberFormat="1" applyFont="1" applyBorder="1" applyAlignment="1">
      <alignment horizontal="right" vertical="center" wrapText="1"/>
    </xf>
    <xf numFmtId="170" fontId="17" fillId="0" borderId="111" xfId="20233" applyNumberFormat="1" applyFont="1" applyBorder="1" applyAlignment="1">
      <alignment horizontal="right" vertical="center" wrapText="1"/>
    </xf>
    <xf numFmtId="170" fontId="17" fillId="0" borderId="112" xfId="20233" applyNumberFormat="1" applyFont="1" applyBorder="1" applyAlignment="1">
      <alignment horizontal="right" vertical="center" wrapText="1"/>
    </xf>
    <xf numFmtId="170" fontId="35" fillId="0" borderId="113" xfId="20233" applyNumberFormat="1" applyFont="1" applyBorder="1" applyAlignment="1">
      <alignment horizontal="left" vertical="center" wrapText="1"/>
    </xf>
    <xf numFmtId="170" fontId="35" fillId="0" borderId="113" xfId="20233" applyNumberFormat="1" applyFont="1" applyBorder="1" applyAlignment="1">
      <alignment horizontal="left" vertical="center"/>
    </xf>
    <xf numFmtId="3" fontId="17" fillId="0" borderId="114" xfId="20233" applyNumberFormat="1" applyFont="1" applyBorder="1" applyAlignment="1">
      <alignment horizontal="right" vertical="center" wrapText="1"/>
    </xf>
    <xf numFmtId="3" fontId="17" fillId="0" borderId="115" xfId="20233" applyNumberFormat="1" applyFont="1" applyBorder="1" applyAlignment="1">
      <alignment horizontal="right" vertical="center" wrapText="1"/>
    </xf>
    <xf numFmtId="3" fontId="17" fillId="0" borderId="116" xfId="20233" applyNumberFormat="1" applyFont="1" applyBorder="1" applyAlignment="1">
      <alignment horizontal="right" vertical="center" wrapText="1"/>
    </xf>
    <xf numFmtId="0" fontId="45" fillId="0" borderId="0" xfId="20233" applyFont="1" applyAlignment="1">
      <alignment horizontal="left" vertical="top" wrapText="1"/>
    </xf>
    <xf numFmtId="0" fontId="6" fillId="0" borderId="0" xfId="20233" applyFont="1" applyAlignment="1">
      <alignment horizontal="left" vertical="top" wrapText="1"/>
    </xf>
    <xf numFmtId="170" fontId="6" fillId="0" borderId="0" xfId="20233" applyNumberFormat="1" applyFont="1" applyAlignment="1">
      <alignment vertical="top"/>
    </xf>
    <xf numFmtId="0" fontId="6" fillId="0" borderId="0" xfId="20233" applyFont="1" applyAlignment="1">
      <alignment vertical="top"/>
    </xf>
    <xf numFmtId="3" fontId="6" fillId="0" borderId="0" xfId="26619" applyNumberFormat="1" applyFont="1" applyFill="1" applyBorder="1" applyAlignment="1">
      <alignment vertical="center"/>
    </xf>
    <xf numFmtId="0" fontId="45" fillId="0" borderId="0" xfId="20233" applyFont="1" applyAlignment="1">
      <alignment vertical="top" wrapText="1"/>
    </xf>
    <xf numFmtId="0" fontId="222" fillId="0" borderId="0" xfId="20233" applyFont="1" applyAlignment="1">
      <alignment horizontal="left" vertical="top" wrapText="1"/>
    </xf>
    <xf numFmtId="0" fontId="179" fillId="2" borderId="51" xfId="0" applyFont="1" applyFill="1" applyBorder="1" applyAlignment="1">
      <alignment vertical="center" wrapText="1"/>
    </xf>
    <xf numFmtId="3" fontId="46" fillId="0" borderId="52" xfId="0" applyNumberFormat="1" applyFont="1" applyBorder="1" applyAlignment="1">
      <alignment horizontal="right" vertical="center" wrapText="1"/>
    </xf>
    <xf numFmtId="217" fontId="28" fillId="2" borderId="9" xfId="0" applyNumberFormat="1" applyFont="1" applyFill="1" applyBorder="1" applyAlignment="1">
      <alignment horizontal="right" vertical="center"/>
    </xf>
    <xf numFmtId="181" fontId="30" fillId="2" borderId="9" xfId="0" applyNumberFormat="1" applyFont="1" applyFill="1" applyBorder="1" applyAlignment="1">
      <alignment vertical="center"/>
    </xf>
    <xf numFmtId="181" fontId="30" fillId="0" borderId="9" xfId="0" applyNumberFormat="1" applyFont="1" applyBorder="1" applyAlignment="1">
      <alignment vertical="center"/>
    </xf>
    <xf numFmtId="0" fontId="189" fillId="75" borderId="99" xfId="0" applyFont="1" applyFill="1" applyBorder="1" applyAlignment="1">
      <alignment horizontal="center" vertical="center" wrapText="1"/>
    </xf>
    <xf numFmtId="0" fontId="189" fillId="75" borderId="94" xfId="0" applyFont="1" applyFill="1" applyBorder="1" applyAlignment="1">
      <alignment horizontal="center" vertical="center" wrapText="1"/>
    </xf>
    <xf numFmtId="0" fontId="189" fillId="75" borderId="117" xfId="0" applyFont="1" applyFill="1" applyBorder="1" applyAlignment="1">
      <alignment horizontal="center" vertical="center" wrapText="1"/>
    </xf>
    <xf numFmtId="0" fontId="189" fillId="75" borderId="118" xfId="0" applyFont="1" applyFill="1" applyBorder="1" applyAlignment="1">
      <alignment horizontal="center" vertical="center" wrapText="1"/>
    </xf>
    <xf numFmtId="182" fontId="20" fillId="0" borderId="99" xfId="0" applyNumberFormat="1" applyFont="1" applyBorder="1" applyAlignment="1">
      <alignment vertical="center"/>
    </xf>
    <xf numFmtId="182" fontId="20" fillId="0" borderId="94" xfId="0" applyNumberFormat="1" applyFont="1" applyBorder="1" applyAlignment="1">
      <alignment vertical="center"/>
    </xf>
    <xf numFmtId="182" fontId="20" fillId="0" borderId="100" xfId="0" applyNumberFormat="1" applyFont="1" applyBorder="1" applyAlignment="1">
      <alignment vertical="center"/>
    </xf>
    <xf numFmtId="182" fontId="20" fillId="0" borderId="101" xfId="0" applyNumberFormat="1" applyFont="1" applyBorder="1" applyAlignment="1">
      <alignment vertical="center"/>
    </xf>
    <xf numFmtId="182" fontId="9" fillId="0" borderId="99" xfId="0" applyNumberFormat="1" applyFont="1" applyBorder="1" applyAlignment="1">
      <alignment vertical="center"/>
    </xf>
    <xf numFmtId="182" fontId="9" fillId="0" borderId="94" xfId="0" applyNumberFormat="1" applyFont="1" applyBorder="1" applyAlignment="1">
      <alignment vertical="center"/>
    </xf>
    <xf numFmtId="182" fontId="22" fillId="0" borderId="99" xfId="0" applyNumberFormat="1" applyFont="1" applyBorder="1" applyAlignment="1">
      <alignment horizontal="right" vertical="center"/>
    </xf>
    <xf numFmtId="182" fontId="22" fillId="0" borderId="94" xfId="0" applyNumberFormat="1" applyFont="1" applyBorder="1" applyAlignment="1">
      <alignment horizontal="right" vertical="center"/>
    </xf>
    <xf numFmtId="182" fontId="9" fillId="0" borderId="94" xfId="0" applyNumberFormat="1" applyFont="1" applyBorder="1" applyAlignment="1">
      <alignment horizontal="right" vertical="center"/>
    </xf>
    <xf numFmtId="177" fontId="188" fillId="83" borderId="99" xfId="0" applyNumberFormat="1" applyFont="1" applyFill="1" applyBorder="1" applyAlignment="1">
      <alignment vertical="center"/>
    </xf>
    <xf numFmtId="177" fontId="188" fillId="83" borderId="94" xfId="0" applyNumberFormat="1" applyFont="1" applyFill="1" applyBorder="1" applyAlignment="1">
      <alignment vertical="center"/>
    </xf>
    <xf numFmtId="182" fontId="28" fillId="0" borderId="99" xfId="0" applyNumberFormat="1" applyFont="1" applyBorder="1" applyAlignment="1">
      <alignment vertical="center"/>
    </xf>
    <xf numFmtId="182" fontId="28" fillId="0" borderId="94" xfId="0" applyNumberFormat="1" applyFont="1" applyBorder="1" applyAlignment="1">
      <alignment vertical="center"/>
    </xf>
    <xf numFmtId="0" fontId="171" fillId="0" borderId="0" xfId="0" applyFont="1"/>
    <xf numFmtId="167" fontId="171" fillId="0" borderId="0" xfId="0" applyNumberFormat="1" applyFont="1"/>
    <xf numFmtId="182" fontId="20" fillId="0" borderId="119" xfId="0" applyNumberFormat="1" applyFont="1" applyBorder="1" applyAlignment="1">
      <alignment vertical="center"/>
    </xf>
    <xf numFmtId="182" fontId="20" fillId="0" borderId="120" xfId="0" applyNumberFormat="1" applyFont="1" applyBorder="1" applyAlignment="1">
      <alignment vertical="center"/>
    </xf>
    <xf numFmtId="0" fontId="191" fillId="75" borderId="102" xfId="0" applyFont="1" applyFill="1" applyBorder="1" applyAlignment="1">
      <alignment vertical="center" wrapText="1"/>
    </xf>
    <xf numFmtId="0" fontId="191" fillId="75" borderId="121" xfId="0" applyFont="1" applyFill="1" applyBorder="1" applyAlignment="1">
      <alignment vertical="center" wrapText="1"/>
    </xf>
    <xf numFmtId="0" fontId="19" fillId="0" borderId="102" xfId="0" applyFont="1" applyBorder="1" applyAlignment="1">
      <alignment vertical="center" wrapText="1"/>
    </xf>
    <xf numFmtId="0" fontId="19" fillId="0" borderId="103" xfId="0" applyFont="1" applyBorder="1" applyAlignment="1">
      <alignment vertical="center" wrapText="1"/>
    </xf>
    <xf numFmtId="0" fontId="9" fillId="0" borderId="102" xfId="0" applyFont="1" applyBorder="1" applyAlignment="1">
      <alignment vertical="center" wrapText="1"/>
    </xf>
    <xf numFmtId="0" fontId="28" fillId="0" borderId="102" xfId="0" applyFont="1" applyBorder="1" applyAlignment="1">
      <alignment vertical="center" wrapText="1"/>
    </xf>
    <xf numFmtId="0" fontId="188" fillId="83" borderId="102" xfId="0" applyFont="1" applyFill="1" applyBorder="1" applyAlignment="1">
      <alignment vertical="center" wrapText="1"/>
    </xf>
    <xf numFmtId="0" fontId="20" fillId="0" borderId="122" xfId="0" applyFont="1" applyBorder="1" applyAlignment="1">
      <alignment vertical="center" wrapText="1"/>
    </xf>
    <xf numFmtId="183" fontId="9" fillId="0" borderId="99" xfId="0" applyNumberFormat="1" applyFont="1" applyBorder="1" applyAlignment="1">
      <alignment vertical="center"/>
    </xf>
    <xf numFmtId="183" fontId="9" fillId="0" borderId="94" xfId="0" applyNumberFormat="1" applyFont="1" applyBorder="1" applyAlignment="1">
      <alignment vertical="center"/>
    </xf>
    <xf numFmtId="183" fontId="28" fillId="0" borderId="99" xfId="0" applyNumberFormat="1" applyFont="1" applyBorder="1" applyAlignment="1">
      <alignment vertical="center"/>
    </xf>
    <xf numFmtId="183" fontId="28" fillId="0" borderId="94" xfId="0" applyNumberFormat="1" applyFont="1" applyBorder="1" applyAlignment="1">
      <alignment vertical="center"/>
    </xf>
    <xf numFmtId="169" fontId="218" fillId="86" borderId="106" xfId="29659" applyNumberFormat="1" applyFont="1" applyFill="1" applyBorder="1" applyAlignment="1">
      <alignment horizontal="right" vertical="center" wrapText="1"/>
    </xf>
    <xf numFmtId="3" fontId="34" fillId="0" borderId="106" xfId="20233" applyNumberFormat="1" applyFont="1" applyBorder="1" applyAlignment="1">
      <alignment horizontal="right" vertical="center" wrapText="1"/>
    </xf>
    <xf numFmtId="216" fontId="6" fillId="0" borderId="106" xfId="42855" applyNumberFormat="1" applyFont="1" applyFill="1" applyBorder="1" applyAlignment="1">
      <alignment vertical="center"/>
    </xf>
    <xf numFmtId="170" fontId="17" fillId="0" borderId="106" xfId="20233" applyNumberFormat="1" applyFont="1" applyBorder="1" applyAlignment="1">
      <alignment horizontal="right" vertical="center" wrapText="1"/>
    </xf>
    <xf numFmtId="169" fontId="17" fillId="0" borderId="106" xfId="20233" applyNumberFormat="1" applyFont="1" applyBorder="1" applyAlignment="1">
      <alignment horizontal="right" vertical="center" wrapText="1"/>
    </xf>
    <xf numFmtId="2" fontId="17" fillId="0" borderId="106" xfId="20233" applyNumberFormat="1" applyFont="1" applyBorder="1" applyAlignment="1">
      <alignment horizontal="right" vertical="center" wrapText="1"/>
    </xf>
    <xf numFmtId="3" fontId="17" fillId="0" borderId="106" xfId="20233" applyNumberFormat="1" applyFont="1" applyBorder="1" applyAlignment="1">
      <alignment horizontal="right" vertical="center" wrapText="1"/>
    </xf>
    <xf numFmtId="170" fontId="17" fillId="0" borderId="124" xfId="20233" applyNumberFormat="1" applyFont="1" applyBorder="1" applyAlignment="1">
      <alignment horizontal="right" vertical="center" wrapText="1"/>
    </xf>
    <xf numFmtId="3" fontId="17" fillId="0" borderId="123" xfId="20233" applyNumberFormat="1" applyFont="1" applyBorder="1" applyAlignment="1">
      <alignment horizontal="right" vertical="center" wrapText="1"/>
    </xf>
    <xf numFmtId="169" fontId="31" fillId="0" borderId="3" xfId="2" applyNumberFormat="1" applyFont="1" applyFill="1" applyBorder="1" applyAlignment="1">
      <alignment vertical="center" wrapText="1"/>
    </xf>
    <xf numFmtId="181" fontId="189" fillId="87" borderId="9" xfId="0" applyNumberFormat="1" applyFont="1" applyFill="1" applyBorder="1" applyAlignment="1">
      <alignment vertical="center" wrapText="1"/>
    </xf>
    <xf numFmtId="186" fontId="44" fillId="85" borderId="9" xfId="0" applyNumberFormat="1" applyFont="1" applyFill="1" applyBorder="1" applyAlignment="1">
      <alignment vertical="center" wrapText="1"/>
    </xf>
    <xf numFmtId="170" fontId="189" fillId="87" borderId="9" xfId="0" applyNumberFormat="1" applyFont="1" applyFill="1" applyBorder="1" applyAlignment="1">
      <alignment vertical="center" wrapText="1"/>
    </xf>
    <xf numFmtId="182" fontId="44" fillId="85" borderId="9" xfId="0" applyNumberFormat="1" applyFont="1" applyFill="1" applyBorder="1" applyAlignment="1">
      <alignment vertical="center" wrapText="1"/>
    </xf>
    <xf numFmtId="0" fontId="43" fillId="2" borderId="0" xfId="0" applyFont="1" applyFill="1"/>
    <xf numFmtId="170" fontId="44" fillId="85" borderId="9" xfId="0" applyNumberFormat="1" applyFont="1" applyFill="1" applyBorder="1" applyAlignment="1">
      <alignment vertical="center" wrapText="1"/>
    </xf>
    <xf numFmtId="169" fontId="20" fillId="2" borderId="0" xfId="7" applyNumberFormat="1" applyFont="1" applyFill="1" applyAlignment="1">
      <alignment vertical="center"/>
    </xf>
    <xf numFmtId="0" fontId="20" fillId="2" borderId="0" xfId="0" applyFont="1" applyFill="1" applyAlignment="1">
      <alignment horizontal="left" vertical="center" wrapText="1"/>
    </xf>
    <xf numFmtId="0" fontId="20" fillId="2" borderId="0" xfId="0" applyFont="1" applyFill="1" applyAlignment="1">
      <alignment vertical="center"/>
    </xf>
    <xf numFmtId="0" fontId="20" fillId="0" borderId="0" xfId="0" applyFont="1" applyAlignment="1">
      <alignment vertical="center"/>
    </xf>
    <xf numFmtId="0" fontId="169" fillId="2" borderId="0" xfId="0" applyFont="1" applyFill="1"/>
    <xf numFmtId="169" fontId="31" fillId="2" borderId="0" xfId="7" applyNumberFormat="1" applyFont="1" applyFill="1" applyAlignment="1">
      <alignment vertical="center"/>
    </xf>
    <xf numFmtId="0" fontId="31" fillId="2" borderId="0" xfId="0" applyFont="1" applyFill="1" applyAlignment="1">
      <alignment horizontal="left" vertical="center" wrapText="1"/>
    </xf>
    <xf numFmtId="0" fontId="31" fillId="2" borderId="0" xfId="0" applyFont="1" applyFill="1" applyAlignment="1">
      <alignment vertical="center"/>
    </xf>
    <xf numFmtId="0" fontId="31" fillId="2" borderId="0" xfId="0" applyFont="1" applyFill="1"/>
    <xf numFmtId="0" fontId="31" fillId="0" borderId="0" xfId="0" applyFont="1" applyAlignment="1">
      <alignment vertical="center"/>
    </xf>
    <xf numFmtId="0" fontId="189" fillId="88" borderId="80" xfId="0" applyFont="1" applyFill="1" applyBorder="1" applyAlignment="1">
      <alignment horizontal="right" vertical="center"/>
    </xf>
    <xf numFmtId="170" fontId="31" fillId="85" borderId="9" xfId="0" applyNumberFormat="1" applyFont="1" applyFill="1" applyBorder="1" applyAlignment="1">
      <alignment vertical="center" wrapText="1"/>
    </xf>
    <xf numFmtId="182" fontId="31" fillId="85" borderId="9" xfId="0" applyNumberFormat="1" applyFont="1" applyFill="1" applyBorder="1" applyAlignment="1">
      <alignment vertical="center" wrapText="1"/>
    </xf>
    <xf numFmtId="0" fontId="9" fillId="0" borderId="3" xfId="0" applyFont="1" applyBorder="1" applyAlignment="1">
      <alignment horizontal="left" vertical="center"/>
    </xf>
    <xf numFmtId="0" fontId="26" fillId="0" borderId="53" xfId="0" applyFont="1" applyBorder="1" applyAlignment="1">
      <alignment horizontal="left" vertical="center" wrapText="1"/>
    </xf>
    <xf numFmtId="170" fontId="46" fillId="2" borderId="53" xfId="0" applyNumberFormat="1" applyFont="1" applyFill="1" applyBorder="1" applyAlignment="1">
      <alignment horizontal="right" vertical="center" wrapText="1"/>
    </xf>
    <xf numFmtId="3" fontId="46" fillId="2" borderId="53" xfId="0" applyNumberFormat="1" applyFont="1" applyFill="1" applyBorder="1" applyAlignment="1">
      <alignment horizontal="right" vertical="center" wrapText="1"/>
    </xf>
    <xf numFmtId="3" fontId="46" fillId="0" borderId="53" xfId="0" applyNumberFormat="1" applyFont="1" applyBorder="1" applyAlignment="1">
      <alignment horizontal="right" vertical="center" wrapText="1"/>
    </xf>
    <xf numFmtId="3" fontId="17" fillId="0" borderId="53" xfId="0" applyNumberFormat="1" applyFont="1" applyBorder="1" applyAlignment="1">
      <alignment horizontal="right" vertical="center" wrapText="1"/>
    </xf>
    <xf numFmtId="3" fontId="27" fillId="0" borderId="53" xfId="0" applyNumberFormat="1" applyFont="1" applyBorder="1" applyAlignment="1">
      <alignment horizontal="right" vertical="center" wrapText="1"/>
    </xf>
    <xf numFmtId="170" fontId="46" fillId="2" borderId="125" xfId="0" applyNumberFormat="1" applyFont="1" applyFill="1" applyBorder="1" applyAlignment="1">
      <alignment horizontal="right" vertical="center" wrapText="1"/>
    </xf>
    <xf numFmtId="3" fontId="46" fillId="2" borderId="125" xfId="0" applyNumberFormat="1" applyFont="1" applyFill="1" applyBorder="1" applyAlignment="1">
      <alignment horizontal="right" vertical="center" wrapText="1"/>
    </xf>
    <xf numFmtId="170" fontId="48" fillId="85" borderId="126" xfId="0" applyNumberFormat="1" applyFont="1" applyFill="1" applyBorder="1" applyAlignment="1">
      <alignment vertical="center" wrapText="1"/>
    </xf>
    <xf numFmtId="3" fontId="48" fillId="85" borderId="126" xfId="0" applyNumberFormat="1" applyFont="1" applyFill="1" applyBorder="1" applyAlignment="1">
      <alignment vertical="center" wrapText="1"/>
    </xf>
    <xf numFmtId="0" fontId="224" fillId="0" borderId="0" xfId="0" applyFont="1"/>
    <xf numFmtId="170" fontId="6" fillId="0" borderId="0" xfId="26619" applyNumberFormat="1" applyFont="1" applyFill="1" applyBorder="1" applyAlignment="1">
      <alignment vertical="center"/>
    </xf>
    <xf numFmtId="169" fontId="6" fillId="0" borderId="0" xfId="7" applyNumberFormat="1" applyFont="1" applyFill="1" applyBorder="1" applyAlignment="1">
      <alignment vertical="center"/>
    </xf>
    <xf numFmtId="180" fontId="45" fillId="0" borderId="0" xfId="0" applyNumberFormat="1" applyFont="1" applyAlignment="1">
      <alignment horizontal="right" vertical="center"/>
    </xf>
    <xf numFmtId="171" fontId="9" fillId="2" borderId="0" xfId="0" applyNumberFormat="1" applyFont="1" applyFill="1" applyAlignment="1">
      <alignment horizontal="right" vertical="center"/>
    </xf>
    <xf numFmtId="171" fontId="40" fillId="2" borderId="0" xfId="0" applyNumberFormat="1" applyFont="1" applyFill="1" applyAlignment="1">
      <alignment horizontal="right" vertical="center"/>
    </xf>
    <xf numFmtId="171" fontId="9" fillId="0" borderId="0" xfId="0" applyNumberFormat="1" applyFont="1"/>
    <xf numFmtId="215" fontId="207" fillId="78" borderId="0" xfId="0" applyNumberFormat="1" applyFont="1" applyFill="1"/>
    <xf numFmtId="0" fontId="189" fillId="83" borderId="128" xfId="0" applyFont="1" applyFill="1" applyBorder="1" applyAlignment="1">
      <alignment vertical="center" wrapText="1"/>
    </xf>
    <xf numFmtId="0" fontId="189" fillId="83" borderId="127" xfId="0" applyFont="1" applyFill="1" applyBorder="1" applyAlignment="1">
      <alignment vertical="center" wrapText="1"/>
    </xf>
    <xf numFmtId="171" fontId="189" fillId="83" borderId="129" xfId="0" applyNumberFormat="1" applyFont="1" applyFill="1" applyBorder="1" applyAlignment="1">
      <alignment vertical="center"/>
    </xf>
    <xf numFmtId="170" fontId="189" fillId="84" borderId="130" xfId="0" applyNumberFormat="1" applyFont="1" applyFill="1" applyBorder="1" applyAlignment="1">
      <alignment vertical="center" wrapText="1"/>
    </xf>
    <xf numFmtId="171" fontId="189" fillId="83" borderId="128" xfId="0" applyNumberFormat="1" applyFont="1" applyFill="1" applyBorder="1" applyAlignment="1">
      <alignment vertical="center"/>
    </xf>
    <xf numFmtId="171" fontId="191" fillId="83" borderId="129" xfId="0" applyNumberFormat="1" applyFont="1" applyFill="1" applyBorder="1" applyAlignment="1">
      <alignment vertical="center"/>
    </xf>
    <xf numFmtId="182" fontId="189" fillId="83" borderId="129" xfId="0" applyNumberFormat="1" applyFont="1" applyFill="1" applyBorder="1" applyAlignment="1">
      <alignment vertical="center"/>
    </xf>
    <xf numFmtId="171" fontId="207" fillId="0" borderId="129" xfId="0" applyNumberFormat="1" applyFont="1" applyBorder="1"/>
    <xf numFmtId="170" fontId="189" fillId="87" borderId="130" xfId="0" applyNumberFormat="1" applyFont="1" applyFill="1" applyBorder="1" applyAlignment="1">
      <alignment vertical="center" wrapText="1"/>
    </xf>
    <xf numFmtId="215" fontId="189" fillId="83" borderId="128" xfId="0" applyNumberFormat="1" applyFont="1" applyFill="1" applyBorder="1" applyAlignment="1">
      <alignment vertical="center" wrapText="1"/>
    </xf>
    <xf numFmtId="215" fontId="189" fillId="83" borderId="127" xfId="0" applyNumberFormat="1" applyFont="1" applyFill="1" applyBorder="1" applyAlignment="1">
      <alignment vertical="center" wrapText="1"/>
    </xf>
    <xf numFmtId="215" fontId="189" fillId="83" borderId="129" xfId="0" applyNumberFormat="1" applyFont="1" applyFill="1" applyBorder="1" applyAlignment="1">
      <alignment vertical="center"/>
    </xf>
    <xf numFmtId="215" fontId="189" fillId="84" borderId="130" xfId="0" applyNumberFormat="1" applyFont="1" applyFill="1" applyBorder="1" applyAlignment="1">
      <alignment vertical="center" wrapText="1"/>
    </xf>
    <xf numFmtId="215" fontId="189" fillId="83" borderId="128" xfId="0" applyNumberFormat="1" applyFont="1" applyFill="1" applyBorder="1" applyAlignment="1">
      <alignment vertical="center"/>
    </xf>
    <xf numFmtId="215" fontId="191" fillId="83" borderId="129" xfId="0" applyNumberFormat="1" applyFont="1" applyFill="1" applyBorder="1" applyAlignment="1">
      <alignment vertical="center"/>
    </xf>
    <xf numFmtId="215" fontId="207" fillId="0" borderId="129" xfId="0" applyNumberFormat="1" applyFont="1" applyBorder="1"/>
    <xf numFmtId="215" fontId="189" fillId="87" borderId="130" xfId="0" applyNumberFormat="1" applyFont="1" applyFill="1" applyBorder="1" applyAlignment="1">
      <alignment vertical="center" wrapText="1"/>
    </xf>
    <xf numFmtId="181" fontId="189" fillId="83" borderId="3" xfId="0" applyNumberFormat="1" applyFont="1" applyFill="1" applyBorder="1" applyAlignment="1">
      <alignment vertical="center"/>
    </xf>
    <xf numFmtId="181" fontId="189" fillId="83" borderId="0" xfId="0" applyNumberFormat="1" applyFont="1" applyFill="1" applyAlignment="1">
      <alignment vertical="center"/>
    </xf>
    <xf numFmtId="182" fontId="174" fillId="80" borderId="0" xfId="0" applyNumberFormat="1" applyFont="1" applyFill="1" applyAlignment="1">
      <alignment vertical="center" wrapText="1"/>
    </xf>
    <xf numFmtId="170" fontId="9" fillId="0" borderId="0" xfId="0" applyNumberFormat="1" applyFont="1"/>
    <xf numFmtId="182" fontId="20" fillId="0" borderId="131" xfId="0" applyNumberFormat="1" applyFont="1" applyBorder="1" applyAlignment="1">
      <alignment vertical="center"/>
    </xf>
    <xf numFmtId="182" fontId="44" fillId="0" borderId="66" xfId="0" applyNumberFormat="1" applyFont="1" applyBorder="1" applyAlignment="1">
      <alignment vertical="center"/>
    </xf>
    <xf numFmtId="181" fontId="28" fillId="2" borderId="0" xfId="0" applyNumberFormat="1" applyFont="1" applyFill="1" applyAlignment="1">
      <alignment vertical="center"/>
    </xf>
    <xf numFmtId="181" fontId="225" fillId="0" borderId="0" xfId="0" applyNumberFormat="1" applyFont="1" applyAlignment="1">
      <alignment vertical="center"/>
    </xf>
    <xf numFmtId="177" fontId="169" fillId="0" borderId="66" xfId="0" applyNumberFormat="1" applyFont="1" applyBorder="1" applyAlignment="1">
      <alignment vertical="center"/>
    </xf>
    <xf numFmtId="181" fontId="225" fillId="2" borderId="0" xfId="0" applyNumberFormat="1" applyFont="1" applyFill="1" applyAlignment="1">
      <alignment vertical="center"/>
    </xf>
    <xf numFmtId="181" fontId="28" fillId="0" borderId="0" xfId="0" applyNumberFormat="1" applyFont="1" applyAlignment="1">
      <alignment vertical="center"/>
    </xf>
    <xf numFmtId="181" fontId="225" fillId="0" borderId="0" xfId="0" applyNumberFormat="1" applyFont="1" applyAlignment="1">
      <alignment horizontal="right" vertical="center"/>
    </xf>
    <xf numFmtId="181" fontId="32" fillId="0" borderId="0" xfId="0" applyNumberFormat="1" applyFont="1" applyAlignment="1">
      <alignment horizontal="right" vertical="center"/>
    </xf>
    <xf numFmtId="184" fontId="47" fillId="2" borderId="0" xfId="0" applyNumberFormat="1" applyFont="1" applyFill="1" applyAlignment="1">
      <alignment vertical="center"/>
    </xf>
    <xf numFmtId="170" fontId="177" fillId="2" borderId="66" xfId="0" applyNumberFormat="1" applyFont="1" applyFill="1" applyBorder="1" applyAlignment="1">
      <alignment vertical="center"/>
    </xf>
    <xf numFmtId="170" fontId="28" fillId="80" borderId="0" xfId="0" applyNumberFormat="1" applyFont="1" applyFill="1" applyAlignment="1">
      <alignment vertical="center" wrapText="1"/>
    </xf>
    <xf numFmtId="182" fontId="28" fillId="80" borderId="0" xfId="0" applyNumberFormat="1" applyFont="1" applyFill="1" applyAlignment="1">
      <alignment vertical="center" wrapText="1"/>
    </xf>
    <xf numFmtId="182" fontId="31" fillId="80" borderId="0" xfId="0" applyNumberFormat="1" applyFont="1" applyFill="1" applyAlignment="1">
      <alignment vertical="center" wrapText="1"/>
    </xf>
    <xf numFmtId="171" fontId="28" fillId="0" borderId="0" xfId="0" applyNumberFormat="1" applyFont="1" applyAlignment="1">
      <alignment horizontal="right" vertical="center"/>
    </xf>
    <xf numFmtId="186" fontId="201" fillId="2" borderId="0" xfId="0" applyNumberFormat="1" applyFont="1" applyFill="1" applyAlignment="1">
      <alignment horizontal="right" vertical="center"/>
    </xf>
    <xf numFmtId="182" fontId="31" fillId="0" borderId="0" xfId="0" applyNumberFormat="1" applyFont="1" applyAlignment="1">
      <alignment vertical="center"/>
    </xf>
    <xf numFmtId="182" fontId="31" fillId="0" borderId="66" xfId="0" applyNumberFormat="1" applyFont="1" applyBorder="1" applyAlignment="1">
      <alignment vertical="center"/>
    </xf>
    <xf numFmtId="169" fontId="0" fillId="0" borderId="0" xfId="7" applyNumberFormat="1" applyFont="1"/>
    <xf numFmtId="0" fontId="226" fillId="0" borderId="0" xfId="0" applyFont="1" applyAlignment="1">
      <alignment horizontal="right" vertical="center"/>
    </xf>
    <xf numFmtId="0" fontId="228" fillId="0" borderId="0" xfId="0" applyFont="1" applyAlignment="1">
      <alignment horizontal="right" vertical="center"/>
    </xf>
    <xf numFmtId="170" fontId="226" fillId="0" borderId="0" xfId="0" applyNumberFormat="1" applyFont="1" applyAlignment="1">
      <alignment horizontal="right" vertical="center"/>
    </xf>
    <xf numFmtId="170" fontId="228" fillId="0" borderId="0" xfId="0" applyNumberFormat="1" applyFont="1" applyAlignment="1">
      <alignment horizontal="right" vertical="center"/>
    </xf>
    <xf numFmtId="0" fontId="45" fillId="0" borderId="71" xfId="0" applyFont="1" applyBorder="1" applyAlignment="1">
      <alignment horizontal="right" vertical="center"/>
    </xf>
    <xf numFmtId="0" fontId="230" fillId="0" borderId="0" xfId="0" applyFont="1" applyAlignment="1">
      <alignment horizontal="right" vertical="center"/>
    </xf>
    <xf numFmtId="170" fontId="230" fillId="0" borderId="0" xfId="0" applyNumberFormat="1" applyFont="1"/>
    <xf numFmtId="170" fontId="217" fillId="0" borderId="132" xfId="0" applyNumberFormat="1" applyFont="1" applyBorder="1" applyAlignment="1">
      <alignment horizontal="right" vertical="center"/>
    </xf>
    <xf numFmtId="186" fontId="201" fillId="0" borderId="0" xfId="0" applyNumberFormat="1" applyFont="1" applyAlignment="1">
      <alignment horizontal="right" vertical="center"/>
    </xf>
    <xf numFmtId="0" fontId="227" fillId="0" borderId="0" xfId="0" applyFont="1" applyAlignment="1">
      <alignment horizontal="right" vertical="center"/>
    </xf>
    <xf numFmtId="0" fontId="229" fillId="0" borderId="0" xfId="0" applyFont="1" applyAlignment="1">
      <alignment horizontal="right" vertical="center"/>
    </xf>
    <xf numFmtId="0" fontId="1" fillId="0" borderId="0" xfId="0" applyFont="1"/>
    <xf numFmtId="0" fontId="1" fillId="0" borderId="16" xfId="0" applyFont="1" applyBorder="1" applyAlignment="1">
      <alignment vertical="center"/>
    </xf>
    <xf numFmtId="0" fontId="1" fillId="0" borderId="0" xfId="0" applyFont="1" applyAlignment="1">
      <alignment vertical="center"/>
    </xf>
    <xf numFmtId="170" fontId="1" fillId="2" borderId="0" xfId="0" applyNumberFormat="1" applyFont="1" applyFill="1" applyAlignment="1">
      <alignment vertical="center"/>
    </xf>
    <xf numFmtId="0" fontId="1" fillId="0" borderId="17" xfId="0" applyFont="1" applyBorder="1" applyAlignment="1">
      <alignment vertical="center"/>
    </xf>
    <xf numFmtId="0" fontId="1" fillId="0" borderId="53" xfId="0" applyFont="1" applyBorder="1" applyAlignment="1">
      <alignment vertical="center"/>
    </xf>
    <xf numFmtId="170" fontId="1" fillId="2" borderId="53" xfId="0" applyNumberFormat="1" applyFont="1" applyFill="1" applyBorder="1" applyAlignment="1">
      <alignment vertical="center"/>
    </xf>
    <xf numFmtId="3" fontId="1" fillId="2" borderId="0" xfId="0" applyNumberFormat="1" applyFont="1" applyFill="1" applyAlignment="1">
      <alignment vertical="center"/>
    </xf>
    <xf numFmtId="3" fontId="1" fillId="2" borderId="53" xfId="0" applyNumberFormat="1" applyFont="1" applyFill="1" applyBorder="1" applyAlignment="1">
      <alignment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vertical="center" wrapText="1"/>
    </xf>
    <xf numFmtId="169" fontId="1" fillId="0" borderId="0" xfId="0" applyNumberFormat="1" applyFont="1"/>
    <xf numFmtId="170" fontId="1" fillId="0" borderId="0" xfId="0" applyNumberFormat="1" applyFont="1" applyAlignment="1">
      <alignment vertical="center"/>
    </xf>
    <xf numFmtId="169" fontId="1" fillId="0" borderId="0" xfId="0" applyNumberFormat="1" applyFont="1" applyAlignment="1">
      <alignment vertical="center"/>
    </xf>
    <xf numFmtId="170" fontId="1" fillId="0" borderId="0" xfId="0" applyNumberFormat="1" applyFont="1"/>
    <xf numFmtId="0" fontId="1" fillId="0" borderId="0" xfId="0" quotePrefix="1" applyFont="1"/>
    <xf numFmtId="170" fontId="227" fillId="0" borderId="0" xfId="0" applyNumberFormat="1" applyFont="1" applyAlignment="1">
      <alignment horizontal="right" vertical="center"/>
    </xf>
    <xf numFmtId="0" fontId="232" fillId="0" borderId="0" xfId="0" applyFont="1" applyAlignment="1">
      <alignment vertical="top"/>
    </xf>
    <xf numFmtId="167" fontId="171" fillId="0" borderId="0" xfId="0" applyNumberFormat="1" applyFont="1" applyAlignment="1">
      <alignment vertical="center"/>
    </xf>
    <xf numFmtId="0" fontId="231" fillId="0" borderId="0" xfId="20233" applyFont="1" applyAlignment="1">
      <alignment vertical="center"/>
    </xf>
    <xf numFmtId="182" fontId="225" fillId="0" borderId="9" xfId="0" applyNumberFormat="1" applyFont="1" applyBorder="1" applyAlignment="1">
      <alignment vertical="center"/>
    </xf>
    <xf numFmtId="177" fontId="169" fillId="0" borderId="67" xfId="0" applyNumberFormat="1" applyFont="1" applyBorder="1" applyAlignment="1">
      <alignment vertical="center"/>
    </xf>
    <xf numFmtId="182" fontId="28" fillId="0" borderId="9" xfId="0" applyNumberFormat="1" applyFont="1" applyBorder="1" applyAlignment="1">
      <alignment vertical="center"/>
    </xf>
    <xf numFmtId="181" fontId="28" fillId="0" borderId="9" xfId="0" applyNumberFormat="1" applyFont="1" applyBorder="1" applyAlignment="1">
      <alignment vertical="center"/>
    </xf>
    <xf numFmtId="173" fontId="28" fillId="2" borderId="9" xfId="0" applyNumberFormat="1" applyFont="1" applyFill="1" applyBorder="1" applyAlignment="1">
      <alignment horizontal="right" vertical="center"/>
    </xf>
    <xf numFmtId="181" fontId="225" fillId="2" borderId="9" xfId="0" applyNumberFormat="1" applyFont="1" applyFill="1" applyBorder="1" applyAlignment="1">
      <alignment vertical="center"/>
    </xf>
    <xf numFmtId="182" fontId="31" fillId="0" borderId="101" xfId="0" applyNumberFormat="1" applyFont="1" applyBorder="1" applyAlignment="1">
      <alignment vertical="center"/>
    </xf>
    <xf numFmtId="217" fontId="28" fillId="0" borderId="9" xfId="0" applyNumberFormat="1" applyFont="1" applyBorder="1" applyAlignment="1">
      <alignment horizontal="right" vertical="center"/>
    </xf>
    <xf numFmtId="172" fontId="9" fillId="0" borderId="0" xfId="0" applyNumberFormat="1" applyFont="1" applyAlignment="1">
      <alignment vertical="center"/>
    </xf>
    <xf numFmtId="173" fontId="28" fillId="0" borderId="9" xfId="0" applyNumberFormat="1" applyFont="1" applyBorder="1" applyAlignment="1">
      <alignment horizontal="right" vertical="center"/>
    </xf>
    <xf numFmtId="0" fontId="233" fillId="0" borderId="3" xfId="0" applyFont="1" applyBorder="1" applyAlignment="1">
      <alignment horizontal="left" vertical="center" wrapText="1" indent="2"/>
    </xf>
    <xf numFmtId="0" fontId="29" fillId="0" borderId="16" xfId="0" applyFont="1" applyBorder="1" applyAlignment="1">
      <alignment horizontal="left" vertical="center" indent="3"/>
    </xf>
    <xf numFmtId="173" fontId="30" fillId="0" borderId="9" xfId="0" applyNumberFormat="1" applyFont="1" applyBorder="1" applyAlignment="1">
      <alignment horizontal="right" vertical="center"/>
    </xf>
    <xf numFmtId="181" fontId="225" fillId="0" borderId="9" xfId="0" applyNumberFormat="1" applyFont="1" applyBorder="1" applyAlignment="1">
      <alignment vertical="center"/>
    </xf>
    <xf numFmtId="170" fontId="228" fillId="0" borderId="0" xfId="1" applyNumberFormat="1" applyFont="1" applyFill="1" applyAlignment="1">
      <alignment horizontal="right" vertical="center"/>
    </xf>
    <xf numFmtId="181" fontId="28" fillId="0" borderId="0" xfId="1" applyNumberFormat="1" applyFont="1" applyFill="1" applyBorder="1" applyAlignment="1">
      <alignment horizontal="right" vertical="center"/>
    </xf>
    <xf numFmtId="181" fontId="28" fillId="0" borderId="0" xfId="8" applyNumberFormat="1" applyFont="1" applyFill="1" applyBorder="1" applyAlignment="1">
      <alignment horizontal="right" vertical="center"/>
    </xf>
    <xf numFmtId="218" fontId="9" fillId="0" borderId="0" xfId="1" applyNumberFormat="1" applyFont="1" applyFill="1" applyAlignment="1">
      <alignment vertical="center"/>
    </xf>
    <xf numFmtId="218" fontId="28" fillId="0" borderId="0" xfId="1" applyNumberFormat="1" applyFont="1" applyFill="1" applyAlignment="1">
      <alignment vertical="center"/>
    </xf>
    <xf numFmtId="170" fontId="169" fillId="85" borderId="9" xfId="0" applyNumberFormat="1" applyFont="1" applyFill="1" applyBorder="1" applyAlignment="1">
      <alignment vertical="center" wrapText="1"/>
    </xf>
    <xf numFmtId="0" fontId="9" fillId="0" borderId="134" xfId="0" applyFont="1" applyBorder="1" applyAlignment="1">
      <alignment horizontal="left" vertical="center" wrapText="1"/>
    </xf>
    <xf numFmtId="185" fontId="171" fillId="2" borderId="133" xfId="0" applyNumberFormat="1" applyFont="1" applyFill="1" applyBorder="1" applyAlignment="1">
      <alignment vertical="center" wrapText="1"/>
    </xf>
    <xf numFmtId="177" fontId="9" fillId="0" borderId="135" xfId="0" applyNumberFormat="1" applyFont="1" applyBorder="1" applyAlignment="1">
      <alignment horizontal="right" vertical="center"/>
    </xf>
    <xf numFmtId="182" fontId="174" fillId="80" borderId="136" xfId="0" applyNumberFormat="1" applyFont="1" applyFill="1" applyBorder="1" applyAlignment="1">
      <alignment vertical="center" wrapText="1"/>
    </xf>
    <xf numFmtId="177" fontId="9" fillId="0" borderId="134" xfId="0" applyNumberFormat="1" applyFont="1" applyBorder="1" applyAlignment="1">
      <alignment horizontal="right" vertical="center"/>
    </xf>
    <xf numFmtId="176" fontId="45" fillId="0" borderId="135" xfId="0" applyNumberFormat="1" applyFont="1" applyBorder="1" applyAlignment="1">
      <alignment horizontal="right" vertical="center"/>
    </xf>
    <xf numFmtId="177" fontId="9" fillId="2" borderId="135" xfId="0" applyNumberFormat="1" applyFont="1" applyFill="1" applyBorder="1" applyAlignment="1">
      <alignment horizontal="right" vertical="center"/>
    </xf>
    <xf numFmtId="177" fontId="40" fillId="2" borderId="135" xfId="0" applyNumberFormat="1" applyFont="1" applyFill="1" applyBorder="1" applyAlignment="1">
      <alignment horizontal="right" vertical="center"/>
    </xf>
    <xf numFmtId="185" fontId="9" fillId="0" borderId="135" xfId="0" applyNumberFormat="1" applyFont="1" applyBorder="1"/>
    <xf numFmtId="177" fontId="9" fillId="2" borderId="134" xfId="0" applyNumberFormat="1" applyFont="1" applyFill="1" applyBorder="1" applyAlignment="1">
      <alignment horizontal="right" vertical="center"/>
    </xf>
    <xf numFmtId="182" fontId="31" fillId="85" borderId="136" xfId="0" applyNumberFormat="1" applyFont="1" applyFill="1" applyBorder="1" applyAlignment="1">
      <alignment vertical="center" wrapText="1"/>
    </xf>
    <xf numFmtId="182" fontId="44" fillId="85" borderId="136" xfId="0" applyNumberFormat="1" applyFont="1" applyFill="1" applyBorder="1" applyAlignment="1">
      <alignment vertical="center" wrapText="1"/>
    </xf>
    <xf numFmtId="185" fontId="40" fillId="2" borderId="0" xfId="0" applyNumberFormat="1" applyFont="1" applyFill="1" applyAlignment="1">
      <alignment vertical="center"/>
    </xf>
    <xf numFmtId="169" fontId="189" fillId="83" borderId="3" xfId="0" applyNumberFormat="1" applyFont="1" applyFill="1" applyBorder="1" applyAlignment="1">
      <alignment vertical="center" wrapText="1"/>
    </xf>
    <xf numFmtId="169" fontId="189" fillId="83" borderId="16" xfId="0" applyNumberFormat="1" applyFont="1" applyFill="1" applyBorder="1" applyAlignment="1">
      <alignment vertical="center" wrapText="1"/>
    </xf>
    <xf numFmtId="169" fontId="189" fillId="83" borderId="0" xfId="0" applyNumberFormat="1" applyFont="1" applyFill="1" applyAlignment="1">
      <alignment vertical="center"/>
    </xf>
    <xf numFmtId="169" fontId="189" fillId="84" borderId="9" xfId="0" applyNumberFormat="1" applyFont="1" applyFill="1" applyBorder="1" applyAlignment="1">
      <alignment vertical="center" wrapText="1"/>
    </xf>
    <xf numFmtId="169" fontId="189" fillId="83" borderId="3" xfId="0" applyNumberFormat="1" applyFont="1" applyFill="1" applyBorder="1" applyAlignment="1">
      <alignment vertical="center"/>
    </xf>
    <xf numFmtId="169" fontId="191" fillId="83" borderId="0" xfId="0" applyNumberFormat="1" applyFont="1" applyFill="1" applyAlignment="1">
      <alignment vertical="center"/>
    </xf>
    <xf numFmtId="169" fontId="189" fillId="87" borderId="9" xfId="0" applyNumberFormat="1" applyFont="1" applyFill="1" applyBorder="1" applyAlignment="1">
      <alignment vertical="center" wrapText="1"/>
    </xf>
    <xf numFmtId="169" fontId="189" fillId="83" borderId="0" xfId="7" applyNumberFormat="1" applyFont="1" applyFill="1" applyBorder="1" applyAlignment="1">
      <alignment vertical="center"/>
    </xf>
    <xf numFmtId="169" fontId="189" fillId="87" borderId="9" xfId="7" applyNumberFormat="1" applyFont="1" applyFill="1" applyBorder="1" applyAlignment="1">
      <alignment vertical="center" wrapText="1"/>
    </xf>
    <xf numFmtId="170" fontId="189" fillId="87" borderId="129" xfId="0" applyNumberFormat="1" applyFont="1" applyFill="1" applyBorder="1" applyAlignment="1">
      <alignment vertical="center" wrapText="1"/>
    </xf>
    <xf numFmtId="182" fontId="44" fillId="85" borderId="0" xfId="0" applyNumberFormat="1" applyFont="1" applyFill="1" applyAlignment="1">
      <alignment vertical="center" wrapText="1"/>
    </xf>
    <xf numFmtId="215" fontId="189" fillId="87" borderId="129" xfId="0" applyNumberFormat="1" applyFont="1" applyFill="1" applyBorder="1" applyAlignment="1">
      <alignment vertical="center" wrapText="1"/>
    </xf>
    <xf numFmtId="182" fontId="31" fillId="85" borderId="0" xfId="0" applyNumberFormat="1" applyFont="1" applyFill="1" applyAlignment="1">
      <alignment vertical="center" wrapText="1"/>
    </xf>
    <xf numFmtId="181" fontId="189" fillId="87" borderId="0" xfId="0" applyNumberFormat="1" applyFont="1" applyFill="1" applyAlignment="1">
      <alignment vertical="center" wrapText="1"/>
    </xf>
    <xf numFmtId="182" fontId="44" fillId="85" borderId="135" xfId="0" applyNumberFormat="1" applyFont="1" applyFill="1" applyBorder="1" applyAlignment="1">
      <alignment vertical="center" wrapText="1"/>
    </xf>
    <xf numFmtId="170" fontId="189" fillId="87" borderId="0" xfId="0" applyNumberFormat="1" applyFont="1" applyFill="1" applyAlignment="1">
      <alignment vertical="center" wrapText="1"/>
    </xf>
    <xf numFmtId="186" fontId="31" fillId="85" borderId="0" xfId="0" applyNumberFormat="1" applyFont="1" applyFill="1" applyAlignment="1">
      <alignment vertical="center" wrapText="1"/>
    </xf>
    <xf numFmtId="169" fontId="189" fillId="87" borderId="0" xfId="0" applyNumberFormat="1" applyFont="1" applyFill="1" applyAlignment="1">
      <alignment vertical="center" wrapText="1"/>
    </xf>
    <xf numFmtId="169" fontId="189" fillId="87" borderId="0" xfId="7" applyNumberFormat="1" applyFont="1" applyFill="1" applyBorder="1" applyAlignment="1">
      <alignment vertical="center" wrapText="1"/>
    </xf>
    <xf numFmtId="0" fontId="189" fillId="75" borderId="139" xfId="0" applyFont="1" applyFill="1" applyBorder="1" applyAlignment="1">
      <alignment horizontal="right" vertical="center"/>
    </xf>
    <xf numFmtId="0" fontId="189" fillId="75" borderId="140" xfId="0" applyFont="1" applyFill="1" applyBorder="1" applyAlignment="1">
      <alignment horizontal="right" vertical="center"/>
    </xf>
    <xf numFmtId="171" fontId="189" fillId="83" borderId="141" xfId="0" applyNumberFormat="1" applyFont="1" applyFill="1" applyBorder="1" applyAlignment="1">
      <alignment vertical="center"/>
    </xf>
    <xf numFmtId="171" fontId="189" fillId="83" borderId="142" xfId="0" applyNumberFormat="1" applyFont="1" applyFill="1" applyBorder="1" applyAlignment="1">
      <alignment vertical="center"/>
    </xf>
    <xf numFmtId="171" fontId="40" fillId="2" borderId="143" xfId="0" applyNumberFormat="1" applyFont="1" applyFill="1" applyBorder="1" applyAlignment="1">
      <alignment horizontal="right" vertical="center"/>
    </xf>
    <xf numFmtId="171" fontId="40" fillId="2" borderId="144" xfId="0" applyNumberFormat="1" applyFont="1" applyFill="1" applyBorder="1" applyAlignment="1">
      <alignment horizontal="right" vertical="center"/>
    </xf>
    <xf numFmtId="215" fontId="189" fillId="83" borderId="141" xfId="0" applyNumberFormat="1" applyFont="1" applyFill="1" applyBorder="1" applyAlignment="1">
      <alignment vertical="center"/>
    </xf>
    <xf numFmtId="215" fontId="189" fillId="83" borderId="142" xfId="0" applyNumberFormat="1" applyFont="1" applyFill="1" applyBorder="1" applyAlignment="1">
      <alignment vertical="center"/>
    </xf>
    <xf numFmtId="177" fontId="9" fillId="2" borderId="143" xfId="0" applyNumberFormat="1" applyFont="1" applyFill="1" applyBorder="1" applyAlignment="1">
      <alignment horizontal="right" vertical="center"/>
    </xf>
    <xf numFmtId="177" fontId="40" fillId="2" borderId="144" xfId="0" applyNumberFormat="1" applyFont="1" applyFill="1" applyBorder="1" applyAlignment="1">
      <alignment horizontal="right" vertical="center"/>
    </xf>
    <xf numFmtId="177" fontId="47" fillId="2" borderId="144" xfId="0" applyNumberFormat="1" applyFont="1" applyFill="1" applyBorder="1" applyAlignment="1">
      <alignment horizontal="right" vertical="center"/>
    </xf>
    <xf numFmtId="181" fontId="189" fillId="83" borderId="143" xfId="0" applyNumberFormat="1" applyFont="1" applyFill="1" applyBorder="1" applyAlignment="1">
      <alignment vertical="center"/>
    </xf>
    <xf numFmtId="214" fontId="189" fillId="83" borderId="144" xfId="0" applyNumberFormat="1" applyFont="1" applyFill="1" applyBorder="1" applyAlignment="1">
      <alignment vertical="center"/>
    </xf>
    <xf numFmtId="214" fontId="189" fillId="83" borderId="143" xfId="0" applyNumberFormat="1" applyFont="1" applyFill="1" applyBorder="1" applyAlignment="1">
      <alignment vertical="center"/>
    </xf>
    <xf numFmtId="171" fontId="189" fillId="83" borderId="144" xfId="0" applyNumberFormat="1" applyFont="1" applyFill="1" applyBorder="1" applyAlignment="1">
      <alignment vertical="center"/>
    </xf>
    <xf numFmtId="177" fontId="9" fillId="0" borderId="145" xfId="0" applyNumberFormat="1" applyFont="1" applyBorder="1" applyAlignment="1">
      <alignment horizontal="right" vertical="center"/>
    </xf>
    <xf numFmtId="177" fontId="40" fillId="2" borderId="146" xfId="0" applyNumberFormat="1" applyFont="1" applyFill="1" applyBorder="1" applyAlignment="1">
      <alignment horizontal="right" vertical="center"/>
    </xf>
    <xf numFmtId="177" fontId="9" fillId="0" borderId="143" xfId="0" applyNumberFormat="1" applyFont="1" applyBorder="1" applyAlignment="1">
      <alignment horizontal="right" vertical="center"/>
    </xf>
    <xf numFmtId="182" fontId="40" fillId="2" borderId="143" xfId="0" applyNumberFormat="1" applyFont="1" applyFill="1" applyBorder="1" applyAlignment="1">
      <alignment horizontal="right" vertical="center"/>
    </xf>
    <xf numFmtId="182" fontId="40" fillId="2" borderId="144" xfId="0" applyNumberFormat="1" applyFont="1" applyFill="1" applyBorder="1" applyAlignment="1">
      <alignment horizontal="right" vertical="center"/>
    </xf>
    <xf numFmtId="182" fontId="40" fillId="0" borderId="144" xfId="0" applyNumberFormat="1" applyFont="1" applyBorder="1" applyAlignment="1">
      <alignment horizontal="right" vertical="center"/>
    </xf>
    <xf numFmtId="171" fontId="189" fillId="83" borderId="143" xfId="0" applyNumberFormat="1" applyFont="1" applyFill="1" applyBorder="1" applyAlignment="1">
      <alignment vertical="center"/>
    </xf>
    <xf numFmtId="177" fontId="9" fillId="0" borderId="144" xfId="0" applyNumberFormat="1" applyFont="1" applyBorder="1" applyAlignment="1">
      <alignment horizontal="right" vertical="center"/>
    </xf>
    <xf numFmtId="177" fontId="40" fillId="2" borderId="143" xfId="0" applyNumberFormat="1" applyFont="1" applyFill="1" applyBorder="1" applyAlignment="1">
      <alignment horizontal="right" vertical="center"/>
    </xf>
    <xf numFmtId="186" fontId="201" fillId="0" borderId="144" xfId="0" applyNumberFormat="1" applyFont="1" applyBorder="1" applyAlignment="1">
      <alignment horizontal="right" vertical="center"/>
    </xf>
    <xf numFmtId="169" fontId="189" fillId="83" borderId="143" xfId="0" applyNumberFormat="1" applyFont="1" applyFill="1" applyBorder="1" applyAlignment="1">
      <alignment vertical="center"/>
    </xf>
    <xf numFmtId="169" fontId="189" fillId="83" borderId="144" xfId="0" applyNumberFormat="1" applyFont="1" applyFill="1" applyBorder="1" applyAlignment="1">
      <alignment vertical="center"/>
    </xf>
    <xf numFmtId="177" fontId="9" fillId="2" borderId="144" xfId="0" applyNumberFormat="1" applyFont="1" applyFill="1" applyBorder="1" applyAlignment="1">
      <alignment horizontal="right" vertical="center"/>
    </xf>
    <xf numFmtId="169" fontId="189" fillId="83" borderId="143" xfId="7" applyNumberFormat="1" applyFont="1" applyFill="1" applyBorder="1" applyAlignment="1">
      <alignment vertical="center"/>
    </xf>
    <xf numFmtId="169" fontId="189" fillId="83" borderId="144" xfId="7" applyNumberFormat="1" applyFont="1" applyFill="1" applyBorder="1" applyAlignment="1">
      <alignment vertical="center"/>
    </xf>
    <xf numFmtId="219" fontId="28" fillId="78" borderId="0" xfId="0" applyNumberFormat="1" applyFont="1" applyFill="1"/>
    <xf numFmtId="169" fontId="28" fillId="78" borderId="0" xfId="7" applyNumberFormat="1" applyFont="1" applyFill="1"/>
    <xf numFmtId="220" fontId="28" fillId="78" borderId="0" xfId="0" applyNumberFormat="1" applyFont="1" applyFill="1"/>
    <xf numFmtId="170" fontId="9" fillId="2" borderId="0" xfId="0" applyNumberFormat="1" applyFont="1" applyFill="1"/>
    <xf numFmtId="169" fontId="9" fillId="2" borderId="0" xfId="7" applyNumberFormat="1" applyFont="1" applyFill="1"/>
    <xf numFmtId="167" fontId="9" fillId="2" borderId="0" xfId="0" applyNumberFormat="1" applyFont="1" applyFill="1"/>
    <xf numFmtId="181" fontId="9" fillId="2" borderId="0" xfId="0" applyNumberFormat="1" applyFont="1" applyFill="1"/>
    <xf numFmtId="169" fontId="6" fillId="0" borderId="0" xfId="7" applyNumberFormat="1" applyFont="1" applyAlignment="1">
      <alignment vertical="center"/>
    </xf>
    <xf numFmtId="4" fontId="6" fillId="0" borderId="0" xfId="20233" applyNumberFormat="1" applyFont="1" applyAlignment="1">
      <alignment vertical="center"/>
    </xf>
    <xf numFmtId="170" fontId="76" fillId="0" borderId="0" xfId="0" applyNumberFormat="1" applyFont="1" applyAlignment="1">
      <alignment vertical="center"/>
    </xf>
    <xf numFmtId="169" fontId="76" fillId="0" borderId="0" xfId="7" applyNumberFormat="1" applyFont="1" applyAlignment="1">
      <alignment vertical="center"/>
    </xf>
    <xf numFmtId="167" fontId="76" fillId="0" borderId="0" xfId="0" applyNumberFormat="1" applyFont="1" applyAlignment="1">
      <alignment vertical="center"/>
    </xf>
    <xf numFmtId="170" fontId="28" fillId="0" borderId="0" xfId="0" applyNumberFormat="1" applyFont="1" applyAlignment="1">
      <alignment vertical="center"/>
    </xf>
    <xf numFmtId="186" fontId="23" fillId="0" borderId="143" xfId="0" applyNumberFormat="1" applyFont="1" applyBorder="1" applyAlignment="1">
      <alignment horizontal="right" vertical="center"/>
    </xf>
    <xf numFmtId="0" fontId="9" fillId="0" borderId="0" xfId="0" applyFont="1" applyFill="1" applyAlignment="1">
      <alignment vertical="center" wrapText="1"/>
    </xf>
    <xf numFmtId="0" fontId="9" fillId="2" borderId="0" xfId="0" applyFont="1" applyFill="1" applyAlignment="1">
      <alignment horizontal="left" vertical="center" wrapText="1"/>
    </xf>
    <xf numFmtId="0" fontId="188" fillId="75" borderId="77" xfId="0" applyFont="1" applyFill="1" applyBorder="1" applyAlignment="1">
      <alignment horizontal="center" vertical="center" wrapText="1"/>
    </xf>
    <xf numFmtId="0" fontId="188" fillId="75" borderId="69" xfId="0" applyFont="1" applyFill="1" applyBorder="1" applyAlignment="1">
      <alignment horizontal="center" vertical="center" wrapText="1"/>
    </xf>
    <xf numFmtId="0" fontId="188" fillId="75" borderId="78" xfId="0" applyFont="1" applyFill="1" applyBorder="1" applyAlignment="1">
      <alignment horizontal="center" vertical="center" wrapText="1"/>
    </xf>
    <xf numFmtId="0" fontId="9" fillId="0" borderId="0" xfId="0" applyFont="1" applyAlignment="1">
      <alignment horizontal="left" vertical="center" wrapText="1"/>
    </xf>
    <xf numFmtId="0" fontId="188" fillId="75" borderId="137" xfId="0" applyFont="1" applyFill="1" applyBorder="1" applyAlignment="1">
      <alignment horizontal="center" vertical="center" wrapText="1"/>
    </xf>
    <xf numFmtId="0" fontId="188" fillId="75" borderId="138" xfId="0" applyFont="1" applyFill="1" applyBorder="1" applyAlignment="1">
      <alignment horizontal="center" vertical="center" wrapText="1"/>
    </xf>
    <xf numFmtId="0" fontId="188" fillId="75" borderId="68" xfId="0" applyFont="1" applyFill="1" applyBorder="1" applyAlignment="1">
      <alignment horizontal="center" vertical="center" wrapText="1"/>
    </xf>
    <xf numFmtId="0" fontId="191" fillId="75" borderId="74" xfId="0" applyFont="1" applyFill="1" applyBorder="1" applyAlignment="1">
      <alignment horizontal="center" vertical="center" wrapText="1"/>
    </xf>
    <xf numFmtId="0" fontId="191" fillId="75" borderId="68" xfId="0" applyFont="1" applyFill="1" applyBorder="1" applyAlignment="1">
      <alignment horizontal="center" vertical="center"/>
    </xf>
    <xf numFmtId="0" fontId="191" fillId="75" borderId="76" xfId="0" applyFont="1" applyFill="1" applyBorder="1" applyAlignment="1">
      <alignment horizontal="center" vertical="center"/>
    </xf>
    <xf numFmtId="0" fontId="191" fillId="75" borderId="68" xfId="0" applyFont="1" applyFill="1" applyBorder="1" applyAlignment="1">
      <alignment horizontal="center" vertical="center" wrapText="1"/>
    </xf>
    <xf numFmtId="0" fontId="191" fillId="75" borderId="76" xfId="0" applyFont="1" applyFill="1" applyBorder="1" applyAlignment="1">
      <alignment horizontal="center" vertical="center" wrapText="1"/>
    </xf>
    <xf numFmtId="0" fontId="191" fillId="75" borderId="0" xfId="0" applyFont="1" applyFill="1" applyAlignment="1">
      <alignment horizontal="center" vertical="center" wrapText="1"/>
    </xf>
    <xf numFmtId="0" fontId="191" fillId="75" borderId="0" xfId="0" applyFont="1" applyFill="1" applyAlignment="1">
      <alignment horizontal="center" vertical="center"/>
    </xf>
    <xf numFmtId="0" fontId="191" fillId="75" borderId="94" xfId="0" applyFont="1" applyFill="1" applyBorder="1" applyAlignment="1">
      <alignment horizontal="center" vertical="center"/>
    </xf>
    <xf numFmtId="0" fontId="191" fillId="75" borderId="99" xfId="0" applyFont="1" applyFill="1" applyBorder="1" applyAlignment="1">
      <alignment horizontal="center" vertical="center" wrapText="1"/>
    </xf>
    <xf numFmtId="0" fontId="191" fillId="75" borderId="94" xfId="0" applyFont="1" applyFill="1" applyBorder="1" applyAlignment="1">
      <alignment horizontal="center" vertical="center" wrapText="1"/>
    </xf>
    <xf numFmtId="0" fontId="191" fillId="75" borderId="105" xfId="20233" applyFont="1" applyFill="1" applyBorder="1" applyAlignment="1">
      <alignment horizontal="center" vertical="center" wrapText="1"/>
    </xf>
    <xf numFmtId="0" fontId="191" fillId="75" borderId="0" xfId="20233" applyFont="1" applyFill="1" applyAlignment="1">
      <alignment horizontal="center" vertical="center" wrapText="1"/>
    </xf>
    <xf numFmtId="0" fontId="191" fillId="75" borderId="106" xfId="20233" applyFont="1" applyFill="1" applyBorder="1" applyAlignment="1">
      <alignment horizontal="center" vertical="center" wrapText="1"/>
    </xf>
    <xf numFmtId="0" fontId="16" fillId="0" borderId="0" xfId="20233" applyFont="1" applyAlignment="1">
      <alignment horizontal="left" vertical="top" wrapText="1"/>
    </xf>
    <xf numFmtId="0" fontId="59" fillId="81" borderId="50" xfId="0" applyFont="1" applyFill="1" applyBorder="1" applyAlignment="1">
      <alignment horizontal="center" vertical="center" wrapText="1"/>
    </xf>
    <xf numFmtId="0" fontId="59" fillId="81" borderId="13" xfId="0" applyFont="1" applyFill="1" applyBorder="1" applyAlignment="1">
      <alignment horizontal="center" vertical="center" wrapText="1"/>
    </xf>
    <xf numFmtId="0" fontId="59" fillId="81" borderId="4" xfId="0" applyFont="1" applyFill="1" applyBorder="1" applyAlignment="1">
      <alignment horizontal="center" vertical="center" wrapText="1"/>
    </xf>
    <xf numFmtId="0" fontId="59" fillId="81" borderId="49" xfId="0" applyFont="1" applyFill="1" applyBorder="1" applyAlignment="1">
      <alignment horizontal="center" vertical="center" wrapText="1"/>
    </xf>
    <xf numFmtId="0" fontId="59" fillId="81" borderId="15" xfId="0" applyFont="1" applyFill="1" applyBorder="1" applyAlignment="1">
      <alignment horizontal="center" vertical="center" wrapText="1"/>
    </xf>
    <xf numFmtId="0" fontId="59" fillId="81" borderId="17" xfId="0" applyFont="1" applyFill="1" applyBorder="1" applyAlignment="1">
      <alignment horizontal="center" vertical="center" wrapText="1"/>
    </xf>
    <xf numFmtId="0" fontId="59" fillId="0" borderId="6" xfId="0" applyFont="1" applyBorder="1" applyAlignment="1">
      <alignment horizontal="center" vertical="center" wrapText="1"/>
    </xf>
    <xf numFmtId="0" fontId="59" fillId="0" borderId="7" xfId="0" applyFont="1" applyBorder="1" applyAlignment="1">
      <alignment horizontal="center" vertical="center" wrapText="1"/>
    </xf>
    <xf numFmtId="0" fontId="59" fillId="0" borderId="50" xfId="0" applyFont="1" applyBorder="1" applyAlignment="1">
      <alignment horizontal="center" vertical="center" wrapText="1"/>
    </xf>
    <xf numFmtId="0" fontId="59" fillId="0" borderId="13" xfId="0" applyFont="1" applyBorder="1" applyAlignment="1">
      <alignment horizontal="center" vertical="center" wrapText="1"/>
    </xf>
    <xf numFmtId="0" fontId="62" fillId="81" borderId="15" xfId="0" applyFont="1" applyFill="1" applyBorder="1" applyAlignment="1">
      <alignment horizontal="center" vertical="center" wrapText="1"/>
    </xf>
    <xf numFmtId="0" fontId="62" fillId="81" borderId="17" xfId="0" applyFont="1" applyFill="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0" xfId="0" applyFont="1" applyBorder="1" applyAlignment="1">
      <alignment horizontal="center" vertical="center" wrapText="1"/>
    </xf>
    <xf numFmtId="0" fontId="12" fillId="0" borderId="13" xfId="0" applyFont="1" applyBorder="1" applyAlignment="1">
      <alignment horizontal="center" vertical="center" wrapText="1"/>
    </xf>
    <xf numFmtId="0" fontId="62" fillId="81" borderId="50" xfId="0" applyFont="1" applyFill="1" applyBorder="1" applyAlignment="1">
      <alignment horizontal="center" vertical="center" wrapText="1"/>
    </xf>
    <xf numFmtId="0" fontId="62" fillId="81" borderId="13" xfId="0" applyFont="1" applyFill="1" applyBorder="1" applyAlignment="1">
      <alignment horizontal="center" vertical="center" wrapText="1"/>
    </xf>
    <xf numFmtId="0" fontId="14" fillId="81" borderId="15" xfId="0" applyFont="1" applyFill="1" applyBorder="1" applyAlignment="1">
      <alignment horizontal="center" vertical="center" wrapText="1"/>
    </xf>
    <xf numFmtId="0" fontId="14" fillId="81" borderId="17" xfId="0" applyFont="1" applyFill="1" applyBorder="1" applyAlignment="1">
      <alignment horizontal="center" vertical="center" wrapText="1"/>
    </xf>
    <xf numFmtId="0" fontId="191" fillId="75" borderId="4" xfId="0" applyFont="1" applyFill="1" applyBorder="1" applyAlignment="1">
      <alignment horizontal="center" vertical="center" wrapText="1"/>
    </xf>
    <xf numFmtId="0" fontId="191" fillId="75" borderId="49" xfId="0" applyFont="1" applyFill="1" applyBorder="1" applyAlignment="1">
      <alignment horizontal="center" vertical="center" wrapText="1"/>
    </xf>
    <xf numFmtId="0" fontId="191" fillId="75" borderId="50" xfId="0" applyFont="1" applyFill="1" applyBorder="1" applyAlignment="1">
      <alignment horizontal="center" vertical="center" wrapText="1"/>
    </xf>
    <xf numFmtId="0" fontId="191" fillId="75" borderId="13" xfId="0" applyFont="1" applyFill="1" applyBorder="1" applyAlignment="1">
      <alignment horizontal="center" vertical="center" wrapText="1"/>
    </xf>
    <xf numFmtId="0" fontId="16" fillId="0" borderId="0" xfId="0" applyFont="1" applyAlignment="1">
      <alignment horizontal="left" vertical="top" wrapText="1"/>
    </xf>
  </cellXfs>
  <cellStyles count="42856">
    <cellStyle name="%" xfId="21"/>
    <cellStyle name="% 2" xfId="22"/>
    <cellStyle name=",000" xfId="23"/>
    <cellStyle name="_6440_Tax" xfId="24"/>
    <cellStyle name="=D:\WINNT\SYSTEM32\COMMAND.COM" xfId="25"/>
    <cellStyle name="0" xfId="26"/>
    <cellStyle name="0,0" xfId="27"/>
    <cellStyle name="0,00" xfId="28"/>
    <cellStyle name="0_BP2" xfId="29"/>
    <cellStyle name="0_BP3" xfId="30"/>
    <cellStyle name="0_BP3_Financial Statements_01_2010" xfId="31"/>
    <cellStyle name="0_BP3_Financial Statements_02_2010" xfId="32"/>
    <cellStyle name="0_BP3_Financial Statements_12_2009_NewBud" xfId="33"/>
    <cellStyle name="1000-sep_Ark1" xfId="34"/>
    <cellStyle name="1000-sep+,00_Slideshow" xfId="35"/>
    <cellStyle name="20% - 1. jelölőszín" xfId="36"/>
    <cellStyle name="20% - 2. jelölőszín" xfId="37"/>
    <cellStyle name="20% - 3. jelölőszín" xfId="38"/>
    <cellStyle name="20% - 4. jelölőszín" xfId="39"/>
    <cellStyle name="20% - 5. jelölőszín" xfId="40"/>
    <cellStyle name="20% - akcent 1 10" xfId="41"/>
    <cellStyle name="20% - akcent 1 100" xfId="42"/>
    <cellStyle name="20% - akcent 1 100 2" xfId="43"/>
    <cellStyle name="20% - akcent 1 101" xfId="44"/>
    <cellStyle name="20% - akcent 1 101 2" xfId="45"/>
    <cellStyle name="20% - akcent 1 102" xfId="46"/>
    <cellStyle name="20% - akcent 1 102 2" xfId="47"/>
    <cellStyle name="20% - akcent 1 103" xfId="48"/>
    <cellStyle name="20% - akcent 1 103 2" xfId="49"/>
    <cellStyle name="20% - akcent 1 104" xfId="50"/>
    <cellStyle name="20% - akcent 1 104 2" xfId="51"/>
    <cellStyle name="20% - akcent 1 105" xfId="52"/>
    <cellStyle name="20% - akcent 1 105 2" xfId="53"/>
    <cellStyle name="20% - akcent 1 106" xfId="54"/>
    <cellStyle name="20% - akcent 1 106 2" xfId="55"/>
    <cellStyle name="20% - akcent 1 107" xfId="56"/>
    <cellStyle name="20% - akcent 1 107 2" xfId="57"/>
    <cellStyle name="20% - akcent 1 108" xfId="58"/>
    <cellStyle name="20% - akcent 1 108 2" xfId="59"/>
    <cellStyle name="20% - akcent 1 109" xfId="60"/>
    <cellStyle name="20% - akcent 1 109 2" xfId="61"/>
    <cellStyle name="20% - akcent 1 11" xfId="62"/>
    <cellStyle name="20% - akcent 1 110" xfId="63"/>
    <cellStyle name="20% - akcent 1 110 2" xfId="64"/>
    <cellStyle name="20% - akcent 1 111" xfId="65"/>
    <cellStyle name="20% - akcent 1 111 2" xfId="66"/>
    <cellStyle name="20% - akcent 1 112" xfId="67"/>
    <cellStyle name="20% - akcent 1 112 2" xfId="68"/>
    <cellStyle name="20% - akcent 1 113" xfId="69"/>
    <cellStyle name="20% - akcent 1 113 2" xfId="70"/>
    <cellStyle name="20% - akcent 1 114" xfId="71"/>
    <cellStyle name="20% - akcent 1 114 2" xfId="72"/>
    <cellStyle name="20% - akcent 1 115" xfId="73"/>
    <cellStyle name="20% - akcent 1 115 2" xfId="74"/>
    <cellStyle name="20% - akcent 1 116" xfId="75"/>
    <cellStyle name="20% - akcent 1 116 2" xfId="76"/>
    <cellStyle name="20% - akcent 1 117" xfId="77"/>
    <cellStyle name="20% - akcent 1 117 2" xfId="78"/>
    <cellStyle name="20% - akcent 1 118" xfId="79"/>
    <cellStyle name="20% - akcent 1 118 2" xfId="80"/>
    <cellStyle name="20% - akcent 1 119" xfId="81"/>
    <cellStyle name="20% - akcent 1 119 2" xfId="82"/>
    <cellStyle name="20% - akcent 1 12" xfId="83"/>
    <cellStyle name="20% - akcent 1 120" xfId="84"/>
    <cellStyle name="20% - akcent 1 121" xfId="85"/>
    <cellStyle name="20% - akcent 1 13" xfId="86"/>
    <cellStyle name="20% - akcent 1 14" xfId="87"/>
    <cellStyle name="20% - akcent 1 15" xfId="88"/>
    <cellStyle name="20% - akcent 1 16" xfId="89"/>
    <cellStyle name="20% - akcent 1 17" xfId="90"/>
    <cellStyle name="20% - akcent 1 18" xfId="91"/>
    <cellStyle name="20% - akcent 1 19" xfId="92"/>
    <cellStyle name="20% - akcent 1 2" xfId="93"/>
    <cellStyle name="20% - akcent 1 2 2" xfId="94"/>
    <cellStyle name="20% - akcent 1 2 22" xfId="95"/>
    <cellStyle name="20% - akcent 1 2 22 2" xfId="96"/>
    <cellStyle name="20% - akcent 1 2 22 3" xfId="97"/>
    <cellStyle name="20% - akcent 1 2 22 4" xfId="98"/>
    <cellStyle name="20% - akcent 1 2 22 5" xfId="99"/>
    <cellStyle name="20% - akcent 1 2 22 6" xfId="100"/>
    <cellStyle name="20% - akcent 1 2 23" xfId="101"/>
    <cellStyle name="20% - akcent 1 2 23 2" xfId="102"/>
    <cellStyle name="20% - akcent 1 2 23 3" xfId="103"/>
    <cellStyle name="20% - akcent 1 2 23 4" xfId="104"/>
    <cellStyle name="20% - akcent 1 2 23 5" xfId="105"/>
    <cellStyle name="20% - akcent 1 2 23 6" xfId="106"/>
    <cellStyle name="20% - akcent 1 2 24" xfId="107"/>
    <cellStyle name="20% - akcent 1 2 24 2" xfId="108"/>
    <cellStyle name="20% - akcent 1 2 24 3" xfId="109"/>
    <cellStyle name="20% - akcent 1 2 24 4" xfId="110"/>
    <cellStyle name="20% - akcent 1 2 24 5" xfId="111"/>
    <cellStyle name="20% - akcent 1 2 24 6" xfId="112"/>
    <cellStyle name="20% - akcent 1 2 25" xfId="113"/>
    <cellStyle name="20% - akcent 1 2 25 2" xfId="114"/>
    <cellStyle name="20% - akcent 1 2 25 3" xfId="115"/>
    <cellStyle name="20% - akcent 1 2 25 4" xfId="116"/>
    <cellStyle name="20% - akcent 1 2 25 5" xfId="117"/>
    <cellStyle name="20% - akcent 1 2 25 6" xfId="118"/>
    <cellStyle name="20% - akcent 1 2 26" xfId="119"/>
    <cellStyle name="20% - akcent 1 2 26 2" xfId="120"/>
    <cellStyle name="20% - akcent 1 2 26 3" xfId="121"/>
    <cellStyle name="20% - akcent 1 2 26 4" xfId="122"/>
    <cellStyle name="20% - akcent 1 2 26 5" xfId="123"/>
    <cellStyle name="20% - akcent 1 2 26 6" xfId="124"/>
    <cellStyle name="20% - akcent 1 2 27" xfId="125"/>
    <cellStyle name="20% - akcent 1 2 27 2" xfId="126"/>
    <cellStyle name="20% - akcent 1 2 27 3" xfId="127"/>
    <cellStyle name="20% - akcent 1 2 27 4" xfId="128"/>
    <cellStyle name="20% - akcent 1 2 27 5" xfId="129"/>
    <cellStyle name="20% - akcent 1 2 27 6" xfId="130"/>
    <cellStyle name="20% - akcent 1 2 28" xfId="131"/>
    <cellStyle name="20% - akcent 1 2 28 2" xfId="132"/>
    <cellStyle name="20% - akcent 1 2 28 3" xfId="133"/>
    <cellStyle name="20% - akcent 1 2 28 4" xfId="134"/>
    <cellStyle name="20% - akcent 1 2 28 5" xfId="135"/>
    <cellStyle name="20% - akcent 1 2 28 6" xfId="136"/>
    <cellStyle name="20% - akcent 1 2 29" xfId="137"/>
    <cellStyle name="20% - akcent 1 2 29 2" xfId="138"/>
    <cellStyle name="20% - akcent 1 2 3" xfId="139"/>
    <cellStyle name="20% - akcent 1 2 3 2" xfId="140"/>
    <cellStyle name="20% - akcent 1 2 3 3" xfId="141"/>
    <cellStyle name="20% - akcent 1 2 3 4" xfId="142"/>
    <cellStyle name="20% - akcent 1 2 3 5" xfId="143"/>
    <cellStyle name="20% - akcent 1 2 3 6" xfId="144"/>
    <cellStyle name="20% - akcent 1 2 3 7" xfId="145"/>
    <cellStyle name="20% - akcent 1 2 30" xfId="146"/>
    <cellStyle name="20% - akcent 1 2 30 2" xfId="147"/>
    <cellStyle name="20% - akcent 1 2 31" xfId="148"/>
    <cellStyle name="20% - akcent 1 2 31 2" xfId="149"/>
    <cellStyle name="20% - akcent 1 2 32" xfId="150"/>
    <cellStyle name="20% - akcent 1 2 32 2" xfId="151"/>
    <cellStyle name="20% - akcent 1 2 33" xfId="152"/>
    <cellStyle name="20% - akcent 1 2 34" xfId="153"/>
    <cellStyle name="20% - akcent 1 2 35" xfId="154"/>
    <cellStyle name="20% - akcent 1 2 36" xfId="155"/>
    <cellStyle name="20% - akcent 1 2 37" xfId="156"/>
    <cellStyle name="20% - akcent 1 2 38" xfId="157"/>
    <cellStyle name="20% - akcent 1 2 39" xfId="158"/>
    <cellStyle name="20% - akcent 1 2 4" xfId="159"/>
    <cellStyle name="20% - akcent 1 2 4 2" xfId="160"/>
    <cellStyle name="20% - akcent 1 2 4 3" xfId="161"/>
    <cellStyle name="20% - akcent 1 2 4 4" xfId="162"/>
    <cellStyle name="20% - akcent 1 2 4 5" xfId="163"/>
    <cellStyle name="20% - akcent 1 2 4 6" xfId="164"/>
    <cellStyle name="20% - akcent 1 2 4 7" xfId="165"/>
    <cellStyle name="20% - akcent 1 2 48" xfId="166"/>
    <cellStyle name="20% - akcent 1 2 49" xfId="167"/>
    <cellStyle name="20% - akcent 1 2 5" xfId="168"/>
    <cellStyle name="20% - akcent 1 2 5 3" xfId="169"/>
    <cellStyle name="20% - akcent 1 2 5 4" xfId="170"/>
    <cellStyle name="20% - akcent 1 2 5 5" xfId="171"/>
    <cellStyle name="20% - akcent 1 2 5 6" xfId="172"/>
    <cellStyle name="20% - akcent 1 2 50" xfId="173"/>
    <cellStyle name="20% - akcent 1 2 51" xfId="174"/>
    <cellStyle name="20% - akcent 1 2 6" xfId="175"/>
    <cellStyle name="20% - akcent 1 2 6 2" xfId="176"/>
    <cellStyle name="20% - akcent 1 2 6 3" xfId="177"/>
    <cellStyle name="20% - akcent 1 2 6 4" xfId="178"/>
    <cellStyle name="20% - akcent 1 2 6 5" xfId="179"/>
    <cellStyle name="20% - akcent 1 2 6 6" xfId="180"/>
    <cellStyle name="20% - akcent 1 2 7" xfId="181"/>
    <cellStyle name="20% - akcent 1 2 7 2" xfId="182"/>
    <cellStyle name="20% - akcent 1 2 7 3" xfId="183"/>
    <cellStyle name="20% - akcent 1 2 7 4" xfId="184"/>
    <cellStyle name="20% - akcent 1 2 7 5" xfId="185"/>
    <cellStyle name="20% - akcent 1 2 7 6" xfId="186"/>
    <cellStyle name="20% - akcent 1 2 8" xfId="187"/>
    <cellStyle name="20% - akcent 1 2 8 2" xfId="188"/>
    <cellStyle name="20% - akcent 1 2 8 3" xfId="189"/>
    <cellStyle name="20% - akcent 1 2 8 4" xfId="190"/>
    <cellStyle name="20% - akcent 1 2 8 5" xfId="191"/>
    <cellStyle name="20% - akcent 1 2 8 6" xfId="192"/>
    <cellStyle name="20% - akcent 1 2 9" xfId="193"/>
    <cellStyle name="20% - akcent 1 2 9 2" xfId="194"/>
    <cellStyle name="20% - akcent 1 2 9 3" xfId="195"/>
    <cellStyle name="20% - akcent 1 2 9 4" xfId="196"/>
    <cellStyle name="20% - akcent 1 2 9 5" xfId="197"/>
    <cellStyle name="20% - akcent 1 2 9 6" xfId="198"/>
    <cellStyle name="20% - akcent 1 20" xfId="199"/>
    <cellStyle name="20% - akcent 1 21" xfId="200"/>
    <cellStyle name="20% - akcent 1 22" xfId="201"/>
    <cellStyle name="20% - akcent 1 23" xfId="202"/>
    <cellStyle name="20% - akcent 1 24" xfId="203"/>
    <cellStyle name="20% - akcent 1 25" xfId="204"/>
    <cellStyle name="20% - akcent 1 26" xfId="205"/>
    <cellStyle name="20% - akcent 1 27" xfId="206"/>
    <cellStyle name="20% - akcent 1 28" xfId="207"/>
    <cellStyle name="20% - akcent 1 29" xfId="208"/>
    <cellStyle name="20% - akcent 1 3" xfId="209"/>
    <cellStyle name="20% - akcent 1 3 2" xfId="210"/>
    <cellStyle name="20% - akcent 1 3 2 2" xfId="211"/>
    <cellStyle name="20% - akcent 1 3 3" xfId="212"/>
    <cellStyle name="20% - akcent 1 3 3 2" xfId="213"/>
    <cellStyle name="20% - akcent 1 3 4" xfId="214"/>
    <cellStyle name="20% - akcent 1 3 4 2" xfId="215"/>
    <cellStyle name="20% - akcent 1 3 5" xfId="216"/>
    <cellStyle name="20% - akcent 1 3 6" xfId="217"/>
    <cellStyle name="20% - akcent 1 3 7" xfId="218"/>
    <cellStyle name="20% - akcent 1 3 8" xfId="219"/>
    <cellStyle name="20% - akcent 1 30" xfId="220"/>
    <cellStyle name="20% - akcent 1 30 2" xfId="221"/>
    <cellStyle name="20% - akcent 1 31" xfId="222"/>
    <cellStyle name="20% - akcent 1 31 2" xfId="223"/>
    <cellStyle name="20% - akcent 1 32" xfId="224"/>
    <cellStyle name="20% - akcent 1 32 2" xfId="225"/>
    <cellStyle name="20% - akcent 1 33" xfId="226"/>
    <cellStyle name="20% - akcent 1 33 2" xfId="227"/>
    <cellStyle name="20% - akcent 1 34" xfId="228"/>
    <cellStyle name="20% - akcent 1 34 2" xfId="229"/>
    <cellStyle name="20% - akcent 1 35" xfId="230"/>
    <cellStyle name="20% - akcent 1 35 2" xfId="231"/>
    <cellStyle name="20% - akcent 1 36" xfId="232"/>
    <cellStyle name="20% - akcent 1 36 2" xfId="233"/>
    <cellStyle name="20% - akcent 1 37" xfId="234"/>
    <cellStyle name="20% - akcent 1 37 2" xfId="235"/>
    <cellStyle name="20% - akcent 1 38" xfId="236"/>
    <cellStyle name="20% - akcent 1 38 2" xfId="237"/>
    <cellStyle name="20% - akcent 1 39" xfId="238"/>
    <cellStyle name="20% - akcent 1 39 2" xfId="239"/>
    <cellStyle name="20% - akcent 1 4" xfId="240"/>
    <cellStyle name="20% - akcent 1 4 2" xfId="241"/>
    <cellStyle name="20% - akcent 1 4 2 2" xfId="242"/>
    <cellStyle name="20% - akcent 1 4 3" xfId="243"/>
    <cellStyle name="20% - akcent 1 4 3 2" xfId="244"/>
    <cellStyle name="20% - akcent 1 4 4" xfId="245"/>
    <cellStyle name="20% - akcent 1 4 4 2" xfId="246"/>
    <cellStyle name="20% - akcent 1 4 5" xfId="247"/>
    <cellStyle name="20% - akcent 1 4 6" xfId="248"/>
    <cellStyle name="20% - akcent 1 4 7" xfId="249"/>
    <cellStyle name="20% - akcent 1 4 8" xfId="250"/>
    <cellStyle name="20% - akcent 1 40" xfId="251"/>
    <cellStyle name="20% - akcent 1 40 2" xfId="252"/>
    <cellStyle name="20% - akcent 1 41" xfId="253"/>
    <cellStyle name="20% - akcent 1 41 2" xfId="254"/>
    <cellStyle name="20% - akcent 1 42" xfId="255"/>
    <cellStyle name="20% - akcent 1 42 2" xfId="256"/>
    <cellStyle name="20% - akcent 1 43" xfId="257"/>
    <cellStyle name="20% - akcent 1 43 2" xfId="258"/>
    <cellStyle name="20% - akcent 1 44" xfId="259"/>
    <cellStyle name="20% - akcent 1 44 2" xfId="260"/>
    <cellStyle name="20% - akcent 1 45" xfId="261"/>
    <cellStyle name="20% - akcent 1 45 2" xfId="262"/>
    <cellStyle name="20% - akcent 1 46" xfId="263"/>
    <cellStyle name="20% - akcent 1 46 2" xfId="264"/>
    <cellStyle name="20% - akcent 1 47" xfId="265"/>
    <cellStyle name="20% - akcent 1 47 2" xfId="266"/>
    <cellStyle name="20% - akcent 1 48" xfId="267"/>
    <cellStyle name="20% - akcent 1 48 2" xfId="268"/>
    <cellStyle name="20% - akcent 1 49" xfId="269"/>
    <cellStyle name="20% - akcent 1 49 2" xfId="270"/>
    <cellStyle name="20% - akcent 1 5" xfId="271"/>
    <cellStyle name="20% - akcent 1 5 2" xfId="272"/>
    <cellStyle name="20% - akcent 1 5 3" xfId="273"/>
    <cellStyle name="20% - akcent 1 50" xfId="274"/>
    <cellStyle name="20% - akcent 1 50 2" xfId="275"/>
    <cellStyle name="20% - akcent 1 51" xfId="276"/>
    <cellStyle name="20% - akcent 1 51 2" xfId="277"/>
    <cellStyle name="20% - akcent 1 52" xfId="278"/>
    <cellStyle name="20% - akcent 1 52 2" xfId="279"/>
    <cellStyle name="20% - akcent 1 53" xfId="280"/>
    <cellStyle name="20% - akcent 1 53 2" xfId="281"/>
    <cellStyle name="20% - akcent 1 54" xfId="282"/>
    <cellStyle name="20% - akcent 1 54 2" xfId="283"/>
    <cellStyle name="20% - akcent 1 55" xfId="284"/>
    <cellStyle name="20% - akcent 1 55 2" xfId="285"/>
    <cellStyle name="20% - akcent 1 56" xfId="286"/>
    <cellStyle name="20% - akcent 1 56 2" xfId="287"/>
    <cellStyle name="20% - akcent 1 57" xfId="288"/>
    <cellStyle name="20% - akcent 1 57 2" xfId="289"/>
    <cellStyle name="20% - akcent 1 58" xfId="290"/>
    <cellStyle name="20% - akcent 1 58 2" xfId="291"/>
    <cellStyle name="20% - akcent 1 59" xfId="292"/>
    <cellStyle name="20% - akcent 1 59 2" xfId="293"/>
    <cellStyle name="20% - akcent 1 6" xfId="294"/>
    <cellStyle name="20% - akcent 1 60" xfId="295"/>
    <cellStyle name="20% - akcent 1 60 2" xfId="296"/>
    <cellStyle name="20% - akcent 1 61" xfId="297"/>
    <cellStyle name="20% - akcent 1 61 2" xfId="298"/>
    <cellStyle name="20% - akcent 1 62" xfId="299"/>
    <cellStyle name="20% - akcent 1 62 2" xfId="300"/>
    <cellStyle name="20% - akcent 1 63" xfId="301"/>
    <cellStyle name="20% - akcent 1 63 2" xfId="302"/>
    <cellStyle name="20% - akcent 1 64" xfId="303"/>
    <cellStyle name="20% - akcent 1 64 2" xfId="304"/>
    <cellStyle name="20% - akcent 1 65" xfId="305"/>
    <cellStyle name="20% - akcent 1 65 2" xfId="306"/>
    <cellStyle name="20% - akcent 1 66" xfId="307"/>
    <cellStyle name="20% - akcent 1 66 2" xfId="308"/>
    <cellStyle name="20% - akcent 1 67" xfId="309"/>
    <cellStyle name="20% - akcent 1 67 2" xfId="310"/>
    <cellStyle name="20% - akcent 1 68" xfId="311"/>
    <cellStyle name="20% - akcent 1 68 2" xfId="312"/>
    <cellStyle name="20% - akcent 1 69" xfId="313"/>
    <cellStyle name="20% - akcent 1 69 2" xfId="314"/>
    <cellStyle name="20% - akcent 1 7" xfId="315"/>
    <cellStyle name="20% - akcent 1 70" xfId="316"/>
    <cellStyle name="20% - akcent 1 70 2" xfId="317"/>
    <cellStyle name="20% - akcent 1 71" xfId="318"/>
    <cellStyle name="20% - akcent 1 71 2" xfId="319"/>
    <cellStyle name="20% - akcent 1 72" xfId="320"/>
    <cellStyle name="20% - akcent 1 72 2" xfId="321"/>
    <cellStyle name="20% - akcent 1 73" xfId="322"/>
    <cellStyle name="20% - akcent 1 73 2" xfId="323"/>
    <cellStyle name="20% - akcent 1 74" xfId="324"/>
    <cellStyle name="20% - akcent 1 74 2" xfId="325"/>
    <cellStyle name="20% - akcent 1 75" xfId="326"/>
    <cellStyle name="20% - akcent 1 75 2" xfId="327"/>
    <cellStyle name="20% - akcent 1 76" xfId="328"/>
    <cellStyle name="20% - akcent 1 76 2" xfId="329"/>
    <cellStyle name="20% - akcent 1 77" xfId="330"/>
    <cellStyle name="20% - akcent 1 77 2" xfId="331"/>
    <cellStyle name="20% - akcent 1 78" xfId="332"/>
    <cellStyle name="20% - akcent 1 78 2" xfId="333"/>
    <cellStyle name="20% - akcent 1 79" xfId="334"/>
    <cellStyle name="20% - akcent 1 79 2" xfId="335"/>
    <cellStyle name="20% - akcent 1 8" xfId="336"/>
    <cellStyle name="20% - akcent 1 80" xfId="337"/>
    <cellStyle name="20% - akcent 1 80 2" xfId="338"/>
    <cellStyle name="20% - akcent 1 81" xfId="339"/>
    <cellStyle name="20% - akcent 1 81 2" xfId="340"/>
    <cellStyle name="20% - akcent 1 82" xfId="341"/>
    <cellStyle name="20% - akcent 1 82 2" xfId="342"/>
    <cellStyle name="20% - akcent 1 83" xfId="343"/>
    <cellStyle name="20% - akcent 1 83 2" xfId="344"/>
    <cellStyle name="20% - akcent 1 84" xfId="345"/>
    <cellStyle name="20% - akcent 1 84 2" xfId="346"/>
    <cellStyle name="20% - akcent 1 85" xfId="347"/>
    <cellStyle name="20% - akcent 1 85 2" xfId="348"/>
    <cellStyle name="20% - akcent 1 86" xfId="349"/>
    <cellStyle name="20% - akcent 1 86 2" xfId="350"/>
    <cellStyle name="20% - akcent 1 87" xfId="351"/>
    <cellStyle name="20% - akcent 1 87 2" xfId="352"/>
    <cellStyle name="20% - akcent 1 88" xfId="353"/>
    <cellStyle name="20% - akcent 1 88 2" xfId="354"/>
    <cellStyle name="20% - akcent 1 89" xfId="355"/>
    <cellStyle name="20% - akcent 1 89 2" xfId="356"/>
    <cellStyle name="20% - akcent 1 9" xfId="357"/>
    <cellStyle name="20% - akcent 1 90" xfId="358"/>
    <cellStyle name="20% - akcent 1 90 2" xfId="359"/>
    <cellStyle name="20% - akcent 1 91" xfId="360"/>
    <cellStyle name="20% - akcent 1 91 2" xfId="361"/>
    <cellStyle name="20% - akcent 1 92" xfId="362"/>
    <cellStyle name="20% - akcent 1 92 2" xfId="363"/>
    <cellStyle name="20% - akcent 1 93" xfId="364"/>
    <cellStyle name="20% - akcent 1 93 2" xfId="365"/>
    <cellStyle name="20% - akcent 1 94" xfId="366"/>
    <cellStyle name="20% - akcent 1 94 2" xfId="367"/>
    <cellStyle name="20% - akcent 1 95" xfId="368"/>
    <cellStyle name="20% - akcent 1 95 2" xfId="369"/>
    <cellStyle name="20% - akcent 1 96" xfId="370"/>
    <cellStyle name="20% - akcent 1 96 2" xfId="371"/>
    <cellStyle name="20% - akcent 1 97" xfId="372"/>
    <cellStyle name="20% - akcent 1 97 2" xfId="373"/>
    <cellStyle name="20% - akcent 1 98" xfId="374"/>
    <cellStyle name="20% - akcent 1 98 2" xfId="375"/>
    <cellStyle name="20% - akcent 1 99" xfId="376"/>
    <cellStyle name="20% - akcent 1 99 2" xfId="377"/>
    <cellStyle name="20% - akcent 2 10" xfId="378"/>
    <cellStyle name="20% - akcent 2 100" xfId="379"/>
    <cellStyle name="20% - akcent 2 100 2" xfId="380"/>
    <cellStyle name="20% - akcent 2 101" xfId="381"/>
    <cellStyle name="20% - akcent 2 101 2" xfId="382"/>
    <cellStyle name="20% - akcent 2 102" xfId="383"/>
    <cellStyle name="20% - akcent 2 102 2" xfId="384"/>
    <cellStyle name="20% - akcent 2 103" xfId="385"/>
    <cellStyle name="20% - akcent 2 103 2" xfId="386"/>
    <cellStyle name="20% - akcent 2 104" xfId="387"/>
    <cellStyle name="20% - akcent 2 104 2" xfId="388"/>
    <cellStyle name="20% - akcent 2 105" xfId="389"/>
    <cellStyle name="20% - akcent 2 105 2" xfId="390"/>
    <cellStyle name="20% - akcent 2 106" xfId="391"/>
    <cellStyle name="20% - akcent 2 106 2" xfId="392"/>
    <cellStyle name="20% - akcent 2 107" xfId="393"/>
    <cellStyle name="20% - akcent 2 107 2" xfId="394"/>
    <cellStyle name="20% - akcent 2 108" xfId="395"/>
    <cellStyle name="20% - akcent 2 108 2" xfId="396"/>
    <cellStyle name="20% - akcent 2 109" xfId="397"/>
    <cellStyle name="20% - akcent 2 109 2" xfId="398"/>
    <cellStyle name="20% - akcent 2 11" xfId="399"/>
    <cellStyle name="20% - akcent 2 110" xfId="400"/>
    <cellStyle name="20% - akcent 2 110 2" xfId="401"/>
    <cellStyle name="20% - akcent 2 111" xfId="402"/>
    <cellStyle name="20% - akcent 2 111 2" xfId="403"/>
    <cellStyle name="20% - akcent 2 112" xfId="404"/>
    <cellStyle name="20% - akcent 2 112 2" xfId="405"/>
    <cellStyle name="20% - akcent 2 113" xfId="406"/>
    <cellStyle name="20% - akcent 2 113 2" xfId="407"/>
    <cellStyle name="20% - akcent 2 114" xfId="408"/>
    <cellStyle name="20% - akcent 2 114 2" xfId="409"/>
    <cellStyle name="20% - akcent 2 115" xfId="410"/>
    <cellStyle name="20% - akcent 2 115 2" xfId="411"/>
    <cellStyle name="20% - akcent 2 116" xfId="412"/>
    <cellStyle name="20% - akcent 2 116 2" xfId="413"/>
    <cellStyle name="20% - akcent 2 117" xfId="414"/>
    <cellStyle name="20% - akcent 2 117 2" xfId="415"/>
    <cellStyle name="20% - akcent 2 118" xfId="416"/>
    <cellStyle name="20% - akcent 2 118 2" xfId="417"/>
    <cellStyle name="20% - akcent 2 119" xfId="418"/>
    <cellStyle name="20% - akcent 2 119 2" xfId="419"/>
    <cellStyle name="20% - akcent 2 12" xfId="420"/>
    <cellStyle name="20% - akcent 2 120" xfId="421"/>
    <cellStyle name="20% - akcent 2 121" xfId="422"/>
    <cellStyle name="20% - akcent 2 13" xfId="423"/>
    <cellStyle name="20% - akcent 2 14" xfId="424"/>
    <cellStyle name="20% - akcent 2 15" xfId="425"/>
    <cellStyle name="20% - akcent 2 16" xfId="426"/>
    <cellStyle name="20% - akcent 2 17" xfId="427"/>
    <cellStyle name="20% - akcent 2 18" xfId="428"/>
    <cellStyle name="20% - akcent 2 19" xfId="429"/>
    <cellStyle name="20% - akcent 2 2" xfId="430"/>
    <cellStyle name="20% - akcent 2 2 10" xfId="431"/>
    <cellStyle name="20% - akcent 2 2 10 2" xfId="432"/>
    <cellStyle name="20% - akcent 2 2 10 3" xfId="433"/>
    <cellStyle name="20% - akcent 2 2 10 4" xfId="434"/>
    <cellStyle name="20% - akcent 2 2 10 5" xfId="435"/>
    <cellStyle name="20% - akcent 2 2 10 6" xfId="436"/>
    <cellStyle name="20% - akcent 2 2 11" xfId="437"/>
    <cellStyle name="20% - akcent 2 2 11 2" xfId="438"/>
    <cellStyle name="20% - akcent 2 2 11 3" xfId="439"/>
    <cellStyle name="20% - akcent 2 2 11 4" xfId="440"/>
    <cellStyle name="20% - akcent 2 2 11 5" xfId="441"/>
    <cellStyle name="20% - akcent 2 2 11 6" xfId="442"/>
    <cellStyle name="20% - akcent 2 2 12" xfId="443"/>
    <cellStyle name="20% - akcent 2 2 12 2" xfId="444"/>
    <cellStyle name="20% - akcent 2 2 12 3" xfId="445"/>
    <cellStyle name="20% - akcent 2 2 12 4" xfId="446"/>
    <cellStyle name="20% - akcent 2 2 12 5" xfId="447"/>
    <cellStyle name="20% - akcent 2 2 12 6" xfId="448"/>
    <cellStyle name="20% - akcent 2 2 13" xfId="449"/>
    <cellStyle name="20% - akcent 2 2 13 2" xfId="450"/>
    <cellStyle name="20% - akcent 2 2 13 3" xfId="451"/>
    <cellStyle name="20% - akcent 2 2 13 4" xfId="452"/>
    <cellStyle name="20% - akcent 2 2 13 5" xfId="453"/>
    <cellStyle name="20% - akcent 2 2 13 6" xfId="454"/>
    <cellStyle name="20% - akcent 2 2 14" xfId="455"/>
    <cellStyle name="20% - akcent 2 2 14 2" xfId="456"/>
    <cellStyle name="20% - akcent 2 2 14 3" xfId="457"/>
    <cellStyle name="20% - akcent 2 2 14 4" xfId="458"/>
    <cellStyle name="20% - akcent 2 2 14 5" xfId="459"/>
    <cellStyle name="20% - akcent 2 2 14 6" xfId="460"/>
    <cellStyle name="20% - akcent 2 2 15" xfId="461"/>
    <cellStyle name="20% - akcent 2 2 15 2" xfId="462"/>
    <cellStyle name="20% - akcent 2 2 15 3" xfId="463"/>
    <cellStyle name="20% - akcent 2 2 15 4" xfId="464"/>
    <cellStyle name="20% - akcent 2 2 15 5" xfId="465"/>
    <cellStyle name="20% - akcent 2 2 15 6" xfId="466"/>
    <cellStyle name="20% - akcent 2 2 16" xfId="467"/>
    <cellStyle name="20% - akcent 2 2 16 2" xfId="468"/>
    <cellStyle name="20% - akcent 2 2 16 3" xfId="469"/>
    <cellStyle name="20% - akcent 2 2 16 4" xfId="470"/>
    <cellStyle name="20% - akcent 2 2 16 5" xfId="471"/>
    <cellStyle name="20% - akcent 2 2 16 6" xfId="472"/>
    <cellStyle name="20% - akcent 2 2 17" xfId="473"/>
    <cellStyle name="20% - akcent 2 2 17 2" xfId="474"/>
    <cellStyle name="20% - akcent 2 2 17 3" xfId="475"/>
    <cellStyle name="20% - akcent 2 2 17 4" xfId="476"/>
    <cellStyle name="20% - akcent 2 2 17 5" xfId="477"/>
    <cellStyle name="20% - akcent 2 2 17 6" xfId="478"/>
    <cellStyle name="20% - akcent 2 2 18" xfId="479"/>
    <cellStyle name="20% - akcent 2 2 18 2" xfId="480"/>
    <cellStyle name="20% - akcent 2 2 18 3" xfId="481"/>
    <cellStyle name="20% - akcent 2 2 18 4" xfId="482"/>
    <cellStyle name="20% - akcent 2 2 18 5" xfId="483"/>
    <cellStyle name="20% - akcent 2 2 18 6" xfId="484"/>
    <cellStyle name="20% - akcent 2 2 19" xfId="485"/>
    <cellStyle name="20% - akcent 2 2 19 2" xfId="486"/>
    <cellStyle name="20% - akcent 2 2 19 3" xfId="487"/>
    <cellStyle name="20% - akcent 2 2 19 4" xfId="488"/>
    <cellStyle name="20% - akcent 2 2 19 5" xfId="489"/>
    <cellStyle name="20% - akcent 2 2 19 6" xfId="490"/>
    <cellStyle name="20% - akcent 2 2 2" xfId="491"/>
    <cellStyle name="20% - akcent 2 2 2 2" xfId="492"/>
    <cellStyle name="20% - akcent 2 2 2 3" xfId="493"/>
    <cellStyle name="20% - akcent 2 2 2 4" xfId="494"/>
    <cellStyle name="20% - akcent 2 2 2 5" xfId="495"/>
    <cellStyle name="20% - akcent 2 2 2 6" xfId="496"/>
    <cellStyle name="20% - akcent 2 2 2 7" xfId="497"/>
    <cellStyle name="20% - akcent 2 2 20" xfId="498"/>
    <cellStyle name="20% - akcent 2 2 20 2" xfId="499"/>
    <cellStyle name="20% - akcent 2 2 20 3" xfId="500"/>
    <cellStyle name="20% - akcent 2 2 20 4" xfId="501"/>
    <cellStyle name="20% - akcent 2 2 20 5" xfId="502"/>
    <cellStyle name="20% - akcent 2 2 20 6" xfId="503"/>
    <cellStyle name="20% - akcent 2 2 21" xfId="504"/>
    <cellStyle name="20% - akcent 2 2 21 2" xfId="505"/>
    <cellStyle name="20% - akcent 2 2 21 3" xfId="506"/>
    <cellStyle name="20% - akcent 2 2 21 4" xfId="507"/>
    <cellStyle name="20% - akcent 2 2 21 5" xfId="508"/>
    <cellStyle name="20% - akcent 2 2 21 6" xfId="509"/>
    <cellStyle name="20% - akcent 2 2 22" xfId="510"/>
    <cellStyle name="20% - akcent 2 2 22 2" xfId="511"/>
    <cellStyle name="20% - akcent 2 2 22 3" xfId="512"/>
    <cellStyle name="20% - akcent 2 2 22 4" xfId="513"/>
    <cellStyle name="20% - akcent 2 2 22 5" xfId="514"/>
    <cellStyle name="20% - akcent 2 2 22 6" xfId="515"/>
    <cellStyle name="20% - akcent 2 2 23" xfId="516"/>
    <cellStyle name="20% - akcent 2 2 23 2" xfId="517"/>
    <cellStyle name="20% - akcent 2 2 23 3" xfId="518"/>
    <cellStyle name="20% - akcent 2 2 23 4" xfId="519"/>
    <cellStyle name="20% - akcent 2 2 23 5" xfId="520"/>
    <cellStyle name="20% - akcent 2 2 23 6" xfId="521"/>
    <cellStyle name="20% - akcent 2 2 24" xfId="522"/>
    <cellStyle name="20% - akcent 2 2 24 2" xfId="523"/>
    <cellStyle name="20% - akcent 2 2 24 3" xfId="524"/>
    <cellStyle name="20% - akcent 2 2 24 4" xfId="525"/>
    <cellStyle name="20% - akcent 2 2 24 5" xfId="526"/>
    <cellStyle name="20% - akcent 2 2 24 6" xfId="527"/>
    <cellStyle name="20% - akcent 2 2 25" xfId="528"/>
    <cellStyle name="20% - akcent 2 2 25 2" xfId="529"/>
    <cellStyle name="20% - akcent 2 2 25 3" xfId="530"/>
    <cellStyle name="20% - akcent 2 2 25 4" xfId="531"/>
    <cellStyle name="20% - akcent 2 2 25 5" xfId="532"/>
    <cellStyle name="20% - akcent 2 2 25 6" xfId="533"/>
    <cellStyle name="20% - akcent 2 2 26" xfId="534"/>
    <cellStyle name="20% - akcent 2 2 26 2" xfId="535"/>
    <cellStyle name="20% - akcent 2 2 26 3" xfId="536"/>
    <cellStyle name="20% - akcent 2 2 26 4" xfId="537"/>
    <cellStyle name="20% - akcent 2 2 26 5" xfId="538"/>
    <cellStyle name="20% - akcent 2 2 26 6" xfId="539"/>
    <cellStyle name="20% - akcent 2 2 27" xfId="540"/>
    <cellStyle name="20% - akcent 2 2 27 2" xfId="541"/>
    <cellStyle name="20% - akcent 2 2 27 3" xfId="542"/>
    <cellStyle name="20% - akcent 2 2 27 4" xfId="543"/>
    <cellStyle name="20% - akcent 2 2 27 5" xfId="544"/>
    <cellStyle name="20% - akcent 2 2 27 6" xfId="545"/>
    <cellStyle name="20% - akcent 2 2 28" xfId="546"/>
    <cellStyle name="20% - akcent 2 2 28 2" xfId="547"/>
    <cellStyle name="20% - akcent 2 2 28 3" xfId="548"/>
    <cellStyle name="20% - akcent 2 2 28 4" xfId="549"/>
    <cellStyle name="20% - akcent 2 2 28 5" xfId="550"/>
    <cellStyle name="20% - akcent 2 2 28 6" xfId="551"/>
    <cellStyle name="20% - akcent 2 2 29" xfId="552"/>
    <cellStyle name="20% - akcent 2 2 29 2" xfId="553"/>
    <cellStyle name="20% - akcent 2 2 3" xfId="554"/>
    <cellStyle name="20% - akcent 2 2 3 2" xfId="555"/>
    <cellStyle name="20% - akcent 2 2 3 3" xfId="556"/>
    <cellStyle name="20% - akcent 2 2 3 4" xfId="557"/>
    <cellStyle name="20% - akcent 2 2 3 5" xfId="558"/>
    <cellStyle name="20% - akcent 2 2 3 6" xfId="559"/>
    <cellStyle name="20% - akcent 2 2 3 7" xfId="560"/>
    <cellStyle name="20% - akcent 2 2 30" xfId="561"/>
    <cellStyle name="20% - akcent 2 2 30 2" xfId="562"/>
    <cellStyle name="20% - akcent 2 2 31" xfId="563"/>
    <cellStyle name="20% - akcent 2 2 31 2" xfId="564"/>
    <cellStyle name="20% - akcent 2 2 32" xfId="565"/>
    <cellStyle name="20% - akcent 2 2 32 2" xfId="566"/>
    <cellStyle name="20% - akcent 2 2 33" xfId="567"/>
    <cellStyle name="20% - akcent 2 2 34" xfId="568"/>
    <cellStyle name="20% - akcent 2 2 35" xfId="569"/>
    <cellStyle name="20% - akcent 2 2 36" xfId="570"/>
    <cellStyle name="20% - akcent 2 2 37" xfId="571"/>
    <cellStyle name="20% - akcent 2 2 38" xfId="572"/>
    <cellStyle name="20% - akcent 2 2 39" xfId="573"/>
    <cellStyle name="20% - akcent 2 2 4" xfId="574"/>
    <cellStyle name="20% - akcent 2 2 4 2" xfId="575"/>
    <cellStyle name="20% - akcent 2 2 4 3" xfId="576"/>
    <cellStyle name="20% - akcent 2 2 4 4" xfId="577"/>
    <cellStyle name="20% - akcent 2 2 4 5" xfId="578"/>
    <cellStyle name="20% - akcent 2 2 4 6" xfId="579"/>
    <cellStyle name="20% - akcent 2 2 4 7" xfId="580"/>
    <cellStyle name="20% - akcent 2 2 40" xfId="581"/>
    <cellStyle name="20% - akcent 2 2 41" xfId="582"/>
    <cellStyle name="20% - akcent 2 2 42" xfId="583"/>
    <cellStyle name="20% - akcent 2 2 43" xfId="584"/>
    <cellStyle name="20% - akcent 2 2 44" xfId="585"/>
    <cellStyle name="20% - akcent 2 2 45" xfId="586"/>
    <cellStyle name="20% - akcent 2 2 46" xfId="587"/>
    <cellStyle name="20% - akcent 2 2 47" xfId="588"/>
    <cellStyle name="20% - akcent 2 2 48" xfId="589"/>
    <cellStyle name="20% - akcent 2 2 49" xfId="590"/>
    <cellStyle name="20% - akcent 2 2 5" xfId="591"/>
    <cellStyle name="20% - akcent 2 2 5 2" xfId="592"/>
    <cellStyle name="20% - akcent 2 2 5 3" xfId="593"/>
    <cellStyle name="20% - akcent 2 2 5 4" xfId="594"/>
    <cellStyle name="20% - akcent 2 2 5 5" xfId="595"/>
    <cellStyle name="20% - akcent 2 2 5 6" xfId="596"/>
    <cellStyle name="20% - akcent 2 2 50" xfId="597"/>
    <cellStyle name="20% - akcent 2 2 51" xfId="598"/>
    <cellStyle name="20% - akcent 2 2 6" xfId="599"/>
    <cellStyle name="20% - akcent 2 2 6 2" xfId="600"/>
    <cellStyle name="20% - akcent 2 2 6 3" xfId="601"/>
    <cellStyle name="20% - akcent 2 2 6 4" xfId="602"/>
    <cellStyle name="20% - akcent 2 2 6 5" xfId="603"/>
    <cellStyle name="20% - akcent 2 2 6 6" xfId="604"/>
    <cellStyle name="20% - akcent 2 2 7" xfId="605"/>
    <cellStyle name="20% - akcent 2 2 7 2" xfId="606"/>
    <cellStyle name="20% - akcent 2 2 7 3" xfId="607"/>
    <cellStyle name="20% - akcent 2 2 7 4" xfId="608"/>
    <cellStyle name="20% - akcent 2 2 7 5" xfId="609"/>
    <cellStyle name="20% - akcent 2 2 7 6" xfId="610"/>
    <cellStyle name="20% - akcent 2 2 8" xfId="611"/>
    <cellStyle name="20% - akcent 2 2 8 2" xfId="612"/>
    <cellStyle name="20% - akcent 2 2 8 3" xfId="613"/>
    <cellStyle name="20% - akcent 2 2 8 4" xfId="614"/>
    <cellStyle name="20% - akcent 2 2 8 5" xfId="615"/>
    <cellStyle name="20% - akcent 2 2 8 6" xfId="616"/>
    <cellStyle name="20% - akcent 2 2 9" xfId="617"/>
    <cellStyle name="20% - akcent 2 2 9 2" xfId="618"/>
    <cellStyle name="20% - akcent 2 2 9 3" xfId="619"/>
    <cellStyle name="20% - akcent 2 2 9 4" xfId="620"/>
    <cellStyle name="20% - akcent 2 2 9 5" xfId="621"/>
    <cellStyle name="20% - akcent 2 2 9 6" xfId="622"/>
    <cellStyle name="20% - akcent 2 20" xfId="623"/>
    <cellStyle name="20% - akcent 2 21" xfId="624"/>
    <cellStyle name="20% - akcent 2 22" xfId="625"/>
    <cellStyle name="20% - akcent 2 23" xfId="626"/>
    <cellStyle name="20% - akcent 2 24" xfId="627"/>
    <cellStyle name="20% - akcent 2 25" xfId="628"/>
    <cellStyle name="20% - akcent 2 26" xfId="629"/>
    <cellStyle name="20% - akcent 2 27" xfId="630"/>
    <cellStyle name="20% - akcent 2 28" xfId="631"/>
    <cellStyle name="20% - akcent 2 29" xfId="632"/>
    <cellStyle name="20% - akcent 2 3" xfId="633"/>
    <cellStyle name="20% - akcent 2 3 2" xfId="634"/>
    <cellStyle name="20% - akcent 2 3 2 2" xfId="635"/>
    <cellStyle name="20% - akcent 2 3 3" xfId="636"/>
    <cellStyle name="20% - akcent 2 3 3 2" xfId="637"/>
    <cellStyle name="20% - akcent 2 3 4" xfId="638"/>
    <cellStyle name="20% - akcent 2 3 4 2" xfId="639"/>
    <cellStyle name="20% - akcent 2 3 5" xfId="640"/>
    <cellStyle name="20% - akcent 2 3 6" xfId="641"/>
    <cellStyle name="20% - akcent 2 3 7" xfId="642"/>
    <cellStyle name="20% - akcent 2 3 8" xfId="643"/>
    <cellStyle name="20% - akcent 2 30" xfId="644"/>
    <cellStyle name="20% - akcent 2 30 2" xfId="645"/>
    <cellStyle name="20% - akcent 2 31" xfId="646"/>
    <cellStyle name="20% - akcent 2 31 2" xfId="647"/>
    <cellStyle name="20% - akcent 2 32" xfId="648"/>
    <cellStyle name="20% - akcent 2 32 2" xfId="649"/>
    <cellStyle name="20% - akcent 2 33" xfId="650"/>
    <cellStyle name="20% - akcent 2 33 2" xfId="651"/>
    <cellStyle name="20% - akcent 2 34" xfId="652"/>
    <cellStyle name="20% - akcent 2 34 2" xfId="653"/>
    <cellStyle name="20% - akcent 2 35" xfId="654"/>
    <cellStyle name="20% - akcent 2 35 2" xfId="655"/>
    <cellStyle name="20% - akcent 2 36" xfId="656"/>
    <cellStyle name="20% - akcent 2 36 2" xfId="657"/>
    <cellStyle name="20% - akcent 2 37" xfId="658"/>
    <cellStyle name="20% - akcent 2 37 2" xfId="659"/>
    <cellStyle name="20% - akcent 2 38" xfId="660"/>
    <cellStyle name="20% - akcent 2 38 2" xfId="661"/>
    <cellStyle name="20% - akcent 2 39" xfId="662"/>
    <cellStyle name="20% - akcent 2 39 2" xfId="663"/>
    <cellStyle name="20% - akcent 2 4" xfId="664"/>
    <cellStyle name="20% - akcent 2 4 2" xfId="665"/>
    <cellStyle name="20% - akcent 2 4 2 2" xfId="666"/>
    <cellStyle name="20% - akcent 2 4 3" xfId="667"/>
    <cellStyle name="20% - akcent 2 4 3 2" xfId="668"/>
    <cellStyle name="20% - akcent 2 4 4" xfId="669"/>
    <cellStyle name="20% - akcent 2 4 4 2" xfId="670"/>
    <cellStyle name="20% - akcent 2 4 5" xfId="671"/>
    <cellStyle name="20% - akcent 2 4 6" xfId="672"/>
    <cellStyle name="20% - akcent 2 4 7" xfId="673"/>
    <cellStyle name="20% - akcent 2 4 8" xfId="674"/>
    <cellStyle name="20% - akcent 2 40" xfId="675"/>
    <cellStyle name="20% - akcent 2 40 2" xfId="676"/>
    <cellStyle name="20% - akcent 2 41" xfId="677"/>
    <cellStyle name="20% - akcent 2 41 2" xfId="678"/>
    <cellStyle name="20% - akcent 2 42" xfId="679"/>
    <cellStyle name="20% - akcent 2 42 2" xfId="680"/>
    <cellStyle name="20% - akcent 2 43" xfId="681"/>
    <cellStyle name="20% - akcent 2 43 2" xfId="682"/>
    <cellStyle name="20% - akcent 2 44" xfId="683"/>
    <cellStyle name="20% - akcent 2 44 2" xfId="684"/>
    <cellStyle name="20% - akcent 2 45" xfId="685"/>
    <cellStyle name="20% - akcent 2 45 2" xfId="686"/>
    <cellStyle name="20% - akcent 2 46" xfId="687"/>
    <cellStyle name="20% - akcent 2 46 2" xfId="688"/>
    <cellStyle name="20% - akcent 2 47" xfId="689"/>
    <cellStyle name="20% - akcent 2 47 2" xfId="690"/>
    <cellStyle name="20% - akcent 2 48" xfId="691"/>
    <cellStyle name="20% - akcent 2 48 2" xfId="692"/>
    <cellStyle name="20% - akcent 2 49" xfId="693"/>
    <cellStyle name="20% - akcent 2 49 2" xfId="694"/>
    <cellStyle name="20% - akcent 2 5" xfId="695"/>
    <cellStyle name="20% - akcent 2 5 2" xfId="696"/>
    <cellStyle name="20% - akcent 2 5 3" xfId="697"/>
    <cellStyle name="20% - akcent 2 50" xfId="698"/>
    <cellStyle name="20% - akcent 2 50 2" xfId="699"/>
    <cellStyle name="20% - akcent 2 51" xfId="700"/>
    <cellStyle name="20% - akcent 2 51 2" xfId="701"/>
    <cellStyle name="20% - akcent 2 52" xfId="702"/>
    <cellStyle name="20% - akcent 2 52 2" xfId="703"/>
    <cellStyle name="20% - akcent 2 53" xfId="704"/>
    <cellStyle name="20% - akcent 2 53 2" xfId="705"/>
    <cellStyle name="20% - akcent 2 54" xfId="706"/>
    <cellStyle name="20% - akcent 2 54 2" xfId="707"/>
    <cellStyle name="20% - akcent 2 55" xfId="708"/>
    <cellStyle name="20% - akcent 2 55 2" xfId="709"/>
    <cellStyle name="20% - akcent 2 56" xfId="710"/>
    <cellStyle name="20% - akcent 2 56 2" xfId="711"/>
    <cellStyle name="20% - akcent 2 57" xfId="712"/>
    <cellStyle name="20% - akcent 2 57 2" xfId="713"/>
    <cellStyle name="20% - akcent 2 58" xfId="714"/>
    <cellStyle name="20% - akcent 2 58 2" xfId="715"/>
    <cellStyle name="20% - akcent 2 59" xfId="716"/>
    <cellStyle name="20% - akcent 2 59 2" xfId="717"/>
    <cellStyle name="20% - akcent 2 6" xfId="718"/>
    <cellStyle name="20% - akcent 2 60" xfId="719"/>
    <cellStyle name="20% - akcent 2 60 2" xfId="720"/>
    <cellStyle name="20% - akcent 2 61" xfId="721"/>
    <cellStyle name="20% - akcent 2 61 2" xfId="722"/>
    <cellStyle name="20% - akcent 2 62" xfId="723"/>
    <cellStyle name="20% - akcent 2 62 2" xfId="724"/>
    <cellStyle name="20% - akcent 2 63" xfId="725"/>
    <cellStyle name="20% - akcent 2 63 2" xfId="726"/>
    <cellStyle name="20% - akcent 2 64" xfId="727"/>
    <cellStyle name="20% - akcent 2 64 2" xfId="728"/>
    <cellStyle name="20% - akcent 2 65" xfId="729"/>
    <cellStyle name="20% - akcent 2 65 2" xfId="730"/>
    <cellStyle name="20% - akcent 2 66" xfId="731"/>
    <cellStyle name="20% - akcent 2 66 2" xfId="732"/>
    <cellStyle name="20% - akcent 2 67" xfId="733"/>
    <cellStyle name="20% - akcent 2 67 2" xfId="734"/>
    <cellStyle name="20% - akcent 2 68" xfId="735"/>
    <cellStyle name="20% - akcent 2 68 2" xfId="736"/>
    <cellStyle name="20% - akcent 2 69" xfId="737"/>
    <cellStyle name="20% - akcent 2 69 2" xfId="738"/>
    <cellStyle name="20% - akcent 2 7" xfId="739"/>
    <cellStyle name="20% - akcent 2 70" xfId="740"/>
    <cellStyle name="20% - akcent 2 70 2" xfId="741"/>
    <cellStyle name="20% - akcent 2 71" xfId="742"/>
    <cellStyle name="20% - akcent 2 71 2" xfId="743"/>
    <cellStyle name="20% - akcent 2 72" xfId="744"/>
    <cellStyle name="20% - akcent 2 72 2" xfId="745"/>
    <cellStyle name="20% - akcent 2 73" xfId="746"/>
    <cellStyle name="20% - akcent 2 73 2" xfId="747"/>
    <cellStyle name="20% - akcent 2 74" xfId="748"/>
    <cellStyle name="20% - akcent 2 74 2" xfId="749"/>
    <cellStyle name="20% - akcent 2 75" xfId="750"/>
    <cellStyle name="20% - akcent 2 75 2" xfId="751"/>
    <cellStyle name="20% - akcent 2 76" xfId="752"/>
    <cellStyle name="20% - akcent 2 76 2" xfId="753"/>
    <cellStyle name="20% - akcent 2 77" xfId="754"/>
    <cellStyle name="20% - akcent 2 77 2" xfId="755"/>
    <cellStyle name="20% - akcent 2 78" xfId="756"/>
    <cellStyle name="20% - akcent 2 78 2" xfId="757"/>
    <cellStyle name="20% - akcent 2 79" xfId="758"/>
    <cellStyle name="20% - akcent 2 79 2" xfId="759"/>
    <cellStyle name="20% - akcent 2 8" xfId="760"/>
    <cellStyle name="20% - akcent 2 80" xfId="761"/>
    <cellStyle name="20% - akcent 2 80 2" xfId="762"/>
    <cellStyle name="20% - akcent 2 81" xfId="763"/>
    <cellStyle name="20% - akcent 2 81 2" xfId="764"/>
    <cellStyle name="20% - akcent 2 82" xfId="765"/>
    <cellStyle name="20% - akcent 2 82 2" xfId="766"/>
    <cellStyle name="20% - akcent 2 83" xfId="767"/>
    <cellStyle name="20% - akcent 2 83 2" xfId="768"/>
    <cellStyle name="20% - akcent 2 84" xfId="769"/>
    <cellStyle name="20% - akcent 2 84 2" xfId="770"/>
    <cellStyle name="20% - akcent 2 85" xfId="771"/>
    <cellStyle name="20% - akcent 2 85 2" xfId="772"/>
    <cellStyle name="20% - akcent 2 86" xfId="773"/>
    <cellStyle name="20% - akcent 2 86 2" xfId="774"/>
    <cellStyle name="20% - akcent 2 87" xfId="775"/>
    <cellStyle name="20% - akcent 2 87 2" xfId="776"/>
    <cellStyle name="20% - akcent 2 88" xfId="777"/>
    <cellStyle name="20% - akcent 2 88 2" xfId="778"/>
    <cellStyle name="20% - akcent 2 89" xfId="779"/>
    <cellStyle name="20% - akcent 2 89 2" xfId="780"/>
    <cellStyle name="20% - akcent 2 9" xfId="781"/>
    <cellStyle name="20% - akcent 2 90" xfId="782"/>
    <cellStyle name="20% - akcent 2 90 2" xfId="783"/>
    <cellStyle name="20% - akcent 2 91" xfId="784"/>
    <cellStyle name="20% - akcent 2 91 2" xfId="785"/>
    <cellStyle name="20% - akcent 2 92" xfId="786"/>
    <cellStyle name="20% - akcent 2 92 2" xfId="787"/>
    <cellStyle name="20% - akcent 2 93" xfId="788"/>
    <cellStyle name="20% - akcent 2 93 2" xfId="789"/>
    <cellStyle name="20% - akcent 2 94" xfId="790"/>
    <cellStyle name="20% - akcent 2 94 2" xfId="791"/>
    <cellStyle name="20% - akcent 2 95" xfId="792"/>
    <cellStyle name="20% - akcent 2 95 2" xfId="793"/>
    <cellStyle name="20% - akcent 2 96" xfId="794"/>
    <cellStyle name="20% - akcent 2 96 2" xfId="795"/>
    <cellStyle name="20% - akcent 2 97" xfId="796"/>
    <cellStyle name="20% - akcent 2 97 2" xfId="797"/>
    <cellStyle name="20% - akcent 2 98" xfId="798"/>
    <cellStyle name="20% - akcent 2 98 2" xfId="799"/>
    <cellStyle name="20% - akcent 2 99" xfId="800"/>
    <cellStyle name="20% - akcent 2 99 2" xfId="801"/>
    <cellStyle name="20% - akcent 3 10" xfId="802"/>
    <cellStyle name="20% - akcent 3 100" xfId="803"/>
    <cellStyle name="20% - akcent 3 100 2" xfId="804"/>
    <cellStyle name="20% - akcent 3 101" xfId="805"/>
    <cellStyle name="20% - akcent 3 101 2" xfId="806"/>
    <cellStyle name="20% - akcent 3 102" xfId="807"/>
    <cellStyle name="20% - akcent 3 102 2" xfId="808"/>
    <cellStyle name="20% - akcent 3 103" xfId="809"/>
    <cellStyle name="20% - akcent 3 103 2" xfId="810"/>
    <cellStyle name="20% - akcent 3 104" xfId="811"/>
    <cellStyle name="20% - akcent 3 104 2" xfId="812"/>
    <cellStyle name="20% - akcent 3 105" xfId="813"/>
    <cellStyle name="20% - akcent 3 105 2" xfId="814"/>
    <cellStyle name="20% - akcent 3 106" xfId="815"/>
    <cellStyle name="20% - akcent 3 106 2" xfId="816"/>
    <cellStyle name="20% - akcent 3 107" xfId="817"/>
    <cellStyle name="20% - akcent 3 107 2" xfId="818"/>
    <cellStyle name="20% - akcent 3 108" xfId="819"/>
    <cellStyle name="20% - akcent 3 108 2" xfId="820"/>
    <cellStyle name="20% - akcent 3 109" xfId="821"/>
    <cellStyle name="20% - akcent 3 109 2" xfId="822"/>
    <cellStyle name="20% - akcent 3 11" xfId="823"/>
    <cellStyle name="20% - akcent 3 110" xfId="824"/>
    <cellStyle name="20% - akcent 3 110 2" xfId="825"/>
    <cellStyle name="20% - akcent 3 111" xfId="826"/>
    <cellStyle name="20% - akcent 3 111 2" xfId="827"/>
    <cellStyle name="20% - akcent 3 112" xfId="828"/>
    <cellStyle name="20% - akcent 3 112 2" xfId="829"/>
    <cellStyle name="20% - akcent 3 113" xfId="830"/>
    <cellStyle name="20% - akcent 3 113 2" xfId="831"/>
    <cellStyle name="20% - akcent 3 114" xfId="832"/>
    <cellStyle name="20% - akcent 3 114 2" xfId="833"/>
    <cellStyle name="20% - akcent 3 115" xfId="834"/>
    <cellStyle name="20% - akcent 3 115 2" xfId="835"/>
    <cellStyle name="20% - akcent 3 116" xfId="836"/>
    <cellStyle name="20% - akcent 3 116 2" xfId="837"/>
    <cellStyle name="20% - akcent 3 117" xfId="838"/>
    <cellStyle name="20% - akcent 3 117 2" xfId="839"/>
    <cellStyle name="20% - akcent 3 118" xfId="840"/>
    <cellStyle name="20% - akcent 3 118 2" xfId="841"/>
    <cellStyle name="20% - akcent 3 119" xfId="842"/>
    <cellStyle name="20% - akcent 3 119 2" xfId="843"/>
    <cellStyle name="20% - akcent 3 12" xfId="844"/>
    <cellStyle name="20% - akcent 3 120" xfId="845"/>
    <cellStyle name="20% - akcent 3 121" xfId="846"/>
    <cellStyle name="20% - akcent 3 13" xfId="847"/>
    <cellStyle name="20% - akcent 3 14" xfId="848"/>
    <cellStyle name="20% - akcent 3 15" xfId="849"/>
    <cellStyle name="20% - akcent 3 16" xfId="850"/>
    <cellStyle name="20% - akcent 3 17" xfId="851"/>
    <cellStyle name="20% - akcent 3 18" xfId="852"/>
    <cellStyle name="20% - akcent 3 19" xfId="853"/>
    <cellStyle name="20% - akcent 3 2" xfId="854"/>
    <cellStyle name="20% - akcent 3 2 10" xfId="855"/>
    <cellStyle name="20% - akcent 3 2 10 2" xfId="856"/>
    <cellStyle name="20% - akcent 3 2 10 3" xfId="857"/>
    <cellStyle name="20% - akcent 3 2 10 4" xfId="858"/>
    <cellStyle name="20% - akcent 3 2 10 5" xfId="859"/>
    <cellStyle name="20% - akcent 3 2 10 6" xfId="860"/>
    <cellStyle name="20% - akcent 3 2 11" xfId="861"/>
    <cellStyle name="20% - akcent 3 2 11 2" xfId="862"/>
    <cellStyle name="20% - akcent 3 2 11 3" xfId="863"/>
    <cellStyle name="20% - akcent 3 2 11 4" xfId="864"/>
    <cellStyle name="20% - akcent 3 2 11 5" xfId="865"/>
    <cellStyle name="20% - akcent 3 2 11 6" xfId="866"/>
    <cellStyle name="20% - akcent 3 2 12" xfId="867"/>
    <cellStyle name="20% - akcent 3 2 12 2" xfId="868"/>
    <cellStyle name="20% - akcent 3 2 12 3" xfId="869"/>
    <cellStyle name="20% - akcent 3 2 12 4" xfId="870"/>
    <cellStyle name="20% - akcent 3 2 12 5" xfId="871"/>
    <cellStyle name="20% - akcent 3 2 12 6" xfId="872"/>
    <cellStyle name="20% - akcent 3 2 13" xfId="873"/>
    <cellStyle name="20% - akcent 3 2 13 2" xfId="874"/>
    <cellStyle name="20% - akcent 3 2 13 3" xfId="875"/>
    <cellStyle name="20% - akcent 3 2 13 4" xfId="876"/>
    <cellStyle name="20% - akcent 3 2 13 5" xfId="877"/>
    <cellStyle name="20% - akcent 3 2 13 6" xfId="878"/>
    <cellStyle name="20% - akcent 3 2 14" xfId="879"/>
    <cellStyle name="20% - akcent 3 2 14 2" xfId="880"/>
    <cellStyle name="20% - akcent 3 2 14 3" xfId="881"/>
    <cellStyle name="20% - akcent 3 2 14 4" xfId="882"/>
    <cellStyle name="20% - akcent 3 2 14 5" xfId="883"/>
    <cellStyle name="20% - akcent 3 2 14 6" xfId="884"/>
    <cellStyle name="20% - akcent 3 2 15" xfId="885"/>
    <cellStyle name="20% - akcent 3 2 15 2" xfId="886"/>
    <cellStyle name="20% - akcent 3 2 15 3" xfId="887"/>
    <cellStyle name="20% - akcent 3 2 15 4" xfId="888"/>
    <cellStyle name="20% - akcent 3 2 15 5" xfId="889"/>
    <cellStyle name="20% - akcent 3 2 15 6" xfId="890"/>
    <cellStyle name="20% - akcent 3 2 16" xfId="891"/>
    <cellStyle name="20% - akcent 3 2 16 2" xfId="892"/>
    <cellStyle name="20% - akcent 3 2 16 3" xfId="893"/>
    <cellStyle name="20% - akcent 3 2 16 4" xfId="894"/>
    <cellStyle name="20% - akcent 3 2 16 5" xfId="895"/>
    <cellStyle name="20% - akcent 3 2 16 6" xfId="896"/>
    <cellStyle name="20% - akcent 3 2 17" xfId="897"/>
    <cellStyle name="20% - akcent 3 2 17 2" xfId="898"/>
    <cellStyle name="20% - akcent 3 2 17 3" xfId="899"/>
    <cellStyle name="20% - akcent 3 2 17 4" xfId="900"/>
    <cellStyle name="20% - akcent 3 2 17 5" xfId="901"/>
    <cellStyle name="20% - akcent 3 2 17 6" xfId="902"/>
    <cellStyle name="20% - akcent 3 2 18" xfId="903"/>
    <cellStyle name="20% - akcent 3 2 18 2" xfId="904"/>
    <cellStyle name="20% - akcent 3 2 18 3" xfId="905"/>
    <cellStyle name="20% - akcent 3 2 18 4" xfId="906"/>
    <cellStyle name="20% - akcent 3 2 18 5" xfId="907"/>
    <cellStyle name="20% - akcent 3 2 18 6" xfId="908"/>
    <cellStyle name="20% - akcent 3 2 19" xfId="909"/>
    <cellStyle name="20% - akcent 3 2 19 2" xfId="910"/>
    <cellStyle name="20% - akcent 3 2 19 3" xfId="911"/>
    <cellStyle name="20% - akcent 3 2 19 4" xfId="912"/>
    <cellStyle name="20% - akcent 3 2 19 5" xfId="913"/>
    <cellStyle name="20% - akcent 3 2 19 6" xfId="914"/>
    <cellStyle name="20% - akcent 3 2 2" xfId="915"/>
    <cellStyle name="20% - akcent 3 2 2 2" xfId="916"/>
    <cellStyle name="20% - akcent 3 2 2 3" xfId="917"/>
    <cellStyle name="20% - akcent 3 2 2 4" xfId="918"/>
    <cellStyle name="20% - akcent 3 2 2 5" xfId="919"/>
    <cellStyle name="20% - akcent 3 2 2 6" xfId="920"/>
    <cellStyle name="20% - akcent 3 2 2 7" xfId="921"/>
    <cellStyle name="20% - akcent 3 2 20" xfId="922"/>
    <cellStyle name="20% - akcent 3 2 20 2" xfId="923"/>
    <cellStyle name="20% - akcent 3 2 20 3" xfId="924"/>
    <cellStyle name="20% - akcent 3 2 20 4" xfId="925"/>
    <cellStyle name="20% - akcent 3 2 20 5" xfId="926"/>
    <cellStyle name="20% - akcent 3 2 20 6" xfId="927"/>
    <cellStyle name="20% - akcent 3 2 21" xfId="928"/>
    <cellStyle name="20% - akcent 3 2 21 2" xfId="929"/>
    <cellStyle name="20% - akcent 3 2 21 3" xfId="930"/>
    <cellStyle name="20% - akcent 3 2 21 4" xfId="931"/>
    <cellStyle name="20% - akcent 3 2 21 5" xfId="932"/>
    <cellStyle name="20% - akcent 3 2 21 6" xfId="933"/>
    <cellStyle name="20% - akcent 3 2 22" xfId="934"/>
    <cellStyle name="20% - akcent 3 2 22 2" xfId="935"/>
    <cellStyle name="20% - akcent 3 2 22 3" xfId="936"/>
    <cellStyle name="20% - akcent 3 2 22 4" xfId="937"/>
    <cellStyle name="20% - akcent 3 2 22 5" xfId="938"/>
    <cellStyle name="20% - akcent 3 2 22 6" xfId="939"/>
    <cellStyle name="20% - akcent 3 2 23" xfId="940"/>
    <cellStyle name="20% - akcent 3 2 23 2" xfId="941"/>
    <cellStyle name="20% - akcent 3 2 23 3" xfId="942"/>
    <cellStyle name="20% - akcent 3 2 23 4" xfId="943"/>
    <cellStyle name="20% - akcent 3 2 23 5" xfId="944"/>
    <cellStyle name="20% - akcent 3 2 23 6" xfId="945"/>
    <cellStyle name="20% - akcent 3 2 24" xfId="946"/>
    <cellStyle name="20% - akcent 3 2 24 2" xfId="947"/>
    <cellStyle name="20% - akcent 3 2 24 3" xfId="948"/>
    <cellStyle name="20% - akcent 3 2 24 4" xfId="949"/>
    <cellStyle name="20% - akcent 3 2 24 5" xfId="950"/>
    <cellStyle name="20% - akcent 3 2 24 6" xfId="951"/>
    <cellStyle name="20% - akcent 3 2 25" xfId="952"/>
    <cellStyle name="20% - akcent 3 2 25 2" xfId="953"/>
    <cellStyle name="20% - akcent 3 2 25 3" xfId="954"/>
    <cellStyle name="20% - akcent 3 2 25 4" xfId="955"/>
    <cellStyle name="20% - akcent 3 2 25 5" xfId="956"/>
    <cellStyle name="20% - akcent 3 2 25 6" xfId="957"/>
    <cellStyle name="20% - akcent 3 2 26" xfId="958"/>
    <cellStyle name="20% - akcent 3 2 26 2" xfId="959"/>
    <cellStyle name="20% - akcent 3 2 26 3" xfId="960"/>
    <cellStyle name="20% - akcent 3 2 26 4" xfId="961"/>
    <cellStyle name="20% - akcent 3 2 26 5" xfId="962"/>
    <cellStyle name="20% - akcent 3 2 26 6" xfId="963"/>
    <cellStyle name="20% - akcent 3 2 27" xfId="964"/>
    <cellStyle name="20% - akcent 3 2 27 2" xfId="965"/>
    <cellStyle name="20% - akcent 3 2 27 3" xfId="966"/>
    <cellStyle name="20% - akcent 3 2 27 4" xfId="967"/>
    <cellStyle name="20% - akcent 3 2 27 5" xfId="968"/>
    <cellStyle name="20% - akcent 3 2 27 6" xfId="969"/>
    <cellStyle name="20% - akcent 3 2 28" xfId="970"/>
    <cellStyle name="20% - akcent 3 2 28 2" xfId="971"/>
    <cellStyle name="20% - akcent 3 2 28 3" xfId="972"/>
    <cellStyle name="20% - akcent 3 2 28 4" xfId="973"/>
    <cellStyle name="20% - akcent 3 2 28 5" xfId="974"/>
    <cellStyle name="20% - akcent 3 2 28 6" xfId="975"/>
    <cellStyle name="20% - akcent 3 2 29" xfId="976"/>
    <cellStyle name="20% - akcent 3 2 29 2" xfId="977"/>
    <cellStyle name="20% - akcent 3 2 3" xfId="978"/>
    <cellStyle name="20% - akcent 3 2 3 2" xfId="979"/>
    <cellStyle name="20% - akcent 3 2 3 3" xfId="980"/>
    <cellStyle name="20% - akcent 3 2 3 4" xfId="981"/>
    <cellStyle name="20% - akcent 3 2 3 5" xfId="982"/>
    <cellStyle name="20% - akcent 3 2 3 6" xfId="983"/>
    <cellStyle name="20% - akcent 3 2 3 7" xfId="984"/>
    <cellStyle name="20% - akcent 3 2 30" xfId="985"/>
    <cellStyle name="20% - akcent 3 2 30 2" xfId="986"/>
    <cellStyle name="20% - akcent 3 2 31" xfId="987"/>
    <cellStyle name="20% - akcent 3 2 31 2" xfId="988"/>
    <cellStyle name="20% - akcent 3 2 32" xfId="989"/>
    <cellStyle name="20% - akcent 3 2 32 2" xfId="990"/>
    <cellStyle name="20% - akcent 3 2 33" xfId="991"/>
    <cellStyle name="20% - akcent 3 2 34" xfId="992"/>
    <cellStyle name="20% - akcent 3 2 35" xfId="993"/>
    <cellStyle name="20% - akcent 3 2 36" xfId="994"/>
    <cellStyle name="20% - akcent 3 2 37" xfId="995"/>
    <cellStyle name="20% - akcent 3 2 38" xfId="996"/>
    <cellStyle name="20% - akcent 3 2 39" xfId="997"/>
    <cellStyle name="20% - akcent 3 2 4" xfId="998"/>
    <cellStyle name="20% - akcent 3 2 4 2" xfId="999"/>
    <cellStyle name="20% - akcent 3 2 4 3" xfId="1000"/>
    <cellStyle name="20% - akcent 3 2 4 4" xfId="1001"/>
    <cellStyle name="20% - akcent 3 2 4 5" xfId="1002"/>
    <cellStyle name="20% - akcent 3 2 4 6" xfId="1003"/>
    <cellStyle name="20% - akcent 3 2 4 7" xfId="1004"/>
    <cellStyle name="20% - akcent 3 2 40" xfId="1005"/>
    <cellStyle name="20% - akcent 3 2 41" xfId="1006"/>
    <cellStyle name="20% - akcent 3 2 42" xfId="1007"/>
    <cellStyle name="20% - akcent 3 2 43" xfId="1008"/>
    <cellStyle name="20% - akcent 3 2 44" xfId="1009"/>
    <cellStyle name="20% - akcent 3 2 45" xfId="1010"/>
    <cellStyle name="20% - akcent 3 2 46" xfId="1011"/>
    <cellStyle name="20% - akcent 3 2 47" xfId="1012"/>
    <cellStyle name="20% - akcent 3 2 48" xfId="1013"/>
    <cellStyle name="20% - akcent 3 2 49" xfId="1014"/>
    <cellStyle name="20% - akcent 3 2 5" xfId="1015"/>
    <cellStyle name="20% - akcent 3 2 5 2" xfId="1016"/>
    <cellStyle name="20% - akcent 3 2 5 3" xfId="1017"/>
    <cellStyle name="20% - akcent 3 2 5 4" xfId="1018"/>
    <cellStyle name="20% - akcent 3 2 5 5" xfId="1019"/>
    <cellStyle name="20% - akcent 3 2 5 6" xfId="1020"/>
    <cellStyle name="20% - akcent 3 2 50" xfId="1021"/>
    <cellStyle name="20% - akcent 3 2 51" xfId="1022"/>
    <cellStyle name="20% - akcent 3 2 6" xfId="1023"/>
    <cellStyle name="20% - akcent 3 2 6 2" xfId="1024"/>
    <cellStyle name="20% - akcent 3 2 6 3" xfId="1025"/>
    <cellStyle name="20% - akcent 3 2 6 4" xfId="1026"/>
    <cellStyle name="20% - akcent 3 2 6 5" xfId="1027"/>
    <cellStyle name="20% - akcent 3 2 6 6" xfId="1028"/>
    <cellStyle name="20% - akcent 3 2 7" xfId="1029"/>
    <cellStyle name="20% - akcent 3 2 7 2" xfId="1030"/>
    <cellStyle name="20% - akcent 3 2 7 3" xfId="1031"/>
    <cellStyle name="20% - akcent 3 2 7 4" xfId="1032"/>
    <cellStyle name="20% - akcent 3 2 7 5" xfId="1033"/>
    <cellStyle name="20% - akcent 3 2 7 6" xfId="1034"/>
    <cellStyle name="20% - akcent 3 2 8" xfId="1035"/>
    <cellStyle name="20% - akcent 3 2 8 2" xfId="1036"/>
    <cellStyle name="20% - akcent 3 2 8 3" xfId="1037"/>
    <cellStyle name="20% - akcent 3 2 8 4" xfId="1038"/>
    <cellStyle name="20% - akcent 3 2 8 5" xfId="1039"/>
    <cellStyle name="20% - akcent 3 2 8 6" xfId="1040"/>
    <cellStyle name="20% - akcent 3 2 9" xfId="1041"/>
    <cellStyle name="20% - akcent 3 2 9 2" xfId="1042"/>
    <cellStyle name="20% - akcent 3 2 9 3" xfId="1043"/>
    <cellStyle name="20% - akcent 3 2 9 4" xfId="1044"/>
    <cellStyle name="20% - akcent 3 2 9 5" xfId="1045"/>
    <cellStyle name="20% - akcent 3 2 9 6" xfId="1046"/>
    <cellStyle name="20% - akcent 3 20" xfId="1047"/>
    <cellStyle name="20% - akcent 3 21" xfId="1048"/>
    <cellStyle name="20% - akcent 3 22" xfId="1049"/>
    <cellStyle name="20% - akcent 3 23" xfId="1050"/>
    <cellStyle name="20% - akcent 3 24" xfId="1051"/>
    <cellStyle name="20% - akcent 3 25" xfId="1052"/>
    <cellStyle name="20% - akcent 3 26" xfId="1053"/>
    <cellStyle name="20% - akcent 3 27" xfId="1054"/>
    <cellStyle name="20% - akcent 3 28" xfId="1055"/>
    <cellStyle name="20% - akcent 3 29" xfId="1056"/>
    <cellStyle name="20% - akcent 3 3" xfId="1057"/>
    <cellStyle name="20% - akcent 3 3 2" xfId="1058"/>
    <cellStyle name="20% - akcent 3 3 2 2" xfId="1059"/>
    <cellStyle name="20% - akcent 3 3 3" xfId="1060"/>
    <cellStyle name="20% - akcent 3 3 3 2" xfId="1061"/>
    <cellStyle name="20% - akcent 3 3 4" xfId="1062"/>
    <cellStyle name="20% - akcent 3 3 4 2" xfId="1063"/>
    <cellStyle name="20% - akcent 3 3 5" xfId="1064"/>
    <cellStyle name="20% - akcent 3 3 6" xfId="1065"/>
    <cellStyle name="20% - akcent 3 3 7" xfId="1066"/>
    <cellStyle name="20% - akcent 3 3 8" xfId="1067"/>
    <cellStyle name="20% - akcent 3 30" xfId="1068"/>
    <cellStyle name="20% - akcent 3 30 2" xfId="1069"/>
    <cellStyle name="20% - akcent 3 31" xfId="1070"/>
    <cellStyle name="20% - akcent 3 31 2" xfId="1071"/>
    <cellStyle name="20% - akcent 3 32" xfId="1072"/>
    <cellStyle name="20% - akcent 3 32 2" xfId="1073"/>
    <cellStyle name="20% - akcent 3 33" xfId="1074"/>
    <cellStyle name="20% - akcent 3 33 2" xfId="1075"/>
    <cellStyle name="20% - akcent 3 34" xfId="1076"/>
    <cellStyle name="20% - akcent 3 34 2" xfId="1077"/>
    <cellStyle name="20% - akcent 3 35" xfId="1078"/>
    <cellStyle name="20% - akcent 3 35 2" xfId="1079"/>
    <cellStyle name="20% - akcent 3 36" xfId="1080"/>
    <cellStyle name="20% - akcent 3 36 2" xfId="1081"/>
    <cellStyle name="20% - akcent 3 37" xfId="1082"/>
    <cellStyle name="20% - akcent 3 37 2" xfId="1083"/>
    <cellStyle name="20% - akcent 3 38" xfId="1084"/>
    <cellStyle name="20% - akcent 3 38 2" xfId="1085"/>
    <cellStyle name="20% - akcent 3 39" xfId="1086"/>
    <cellStyle name="20% - akcent 3 39 2" xfId="1087"/>
    <cellStyle name="20% - akcent 3 4" xfId="1088"/>
    <cellStyle name="20% - akcent 3 4 2" xfId="1089"/>
    <cellStyle name="20% - akcent 3 4 2 2" xfId="1090"/>
    <cellStyle name="20% - akcent 3 4 3" xfId="1091"/>
    <cellStyle name="20% - akcent 3 4 3 2" xfId="1092"/>
    <cellStyle name="20% - akcent 3 4 4" xfId="1093"/>
    <cellStyle name="20% - akcent 3 4 4 2" xfId="1094"/>
    <cellStyle name="20% - akcent 3 4 5" xfId="1095"/>
    <cellStyle name="20% - akcent 3 4 6" xfId="1096"/>
    <cellStyle name="20% - akcent 3 4 7" xfId="1097"/>
    <cellStyle name="20% - akcent 3 4 8" xfId="1098"/>
    <cellStyle name="20% - akcent 3 40" xfId="1099"/>
    <cellStyle name="20% - akcent 3 40 2" xfId="1100"/>
    <cellStyle name="20% - akcent 3 41" xfId="1101"/>
    <cellStyle name="20% - akcent 3 41 2" xfId="1102"/>
    <cellStyle name="20% - akcent 3 42" xfId="1103"/>
    <cellStyle name="20% - akcent 3 42 2" xfId="1104"/>
    <cellStyle name="20% - akcent 3 43" xfId="1105"/>
    <cellStyle name="20% - akcent 3 43 2" xfId="1106"/>
    <cellStyle name="20% - akcent 3 44" xfId="1107"/>
    <cellStyle name="20% - akcent 3 44 2" xfId="1108"/>
    <cellStyle name="20% - akcent 3 45" xfId="1109"/>
    <cellStyle name="20% - akcent 3 45 2" xfId="1110"/>
    <cellStyle name="20% - akcent 3 46" xfId="1111"/>
    <cellStyle name="20% - akcent 3 46 2" xfId="1112"/>
    <cellStyle name="20% - akcent 3 47" xfId="1113"/>
    <cellStyle name="20% - akcent 3 47 2" xfId="1114"/>
    <cellStyle name="20% - akcent 3 48" xfId="1115"/>
    <cellStyle name="20% - akcent 3 48 2" xfId="1116"/>
    <cellStyle name="20% - akcent 3 49" xfId="1117"/>
    <cellStyle name="20% - akcent 3 49 2" xfId="1118"/>
    <cellStyle name="20% - akcent 3 5" xfId="1119"/>
    <cellStyle name="20% - akcent 3 5 2" xfId="1120"/>
    <cellStyle name="20% - akcent 3 5 3" xfId="1121"/>
    <cellStyle name="20% - akcent 3 50" xfId="1122"/>
    <cellStyle name="20% - akcent 3 50 2" xfId="1123"/>
    <cellStyle name="20% - akcent 3 51" xfId="1124"/>
    <cellStyle name="20% - akcent 3 51 2" xfId="1125"/>
    <cellStyle name="20% - akcent 3 52" xfId="1126"/>
    <cellStyle name="20% - akcent 3 52 2" xfId="1127"/>
    <cellStyle name="20% - akcent 3 53" xfId="1128"/>
    <cellStyle name="20% - akcent 3 53 2" xfId="1129"/>
    <cellStyle name="20% - akcent 3 54" xfId="1130"/>
    <cellStyle name="20% - akcent 3 54 2" xfId="1131"/>
    <cellStyle name="20% - akcent 3 55" xfId="1132"/>
    <cellStyle name="20% - akcent 3 55 2" xfId="1133"/>
    <cellStyle name="20% - akcent 3 56" xfId="1134"/>
    <cellStyle name="20% - akcent 3 56 2" xfId="1135"/>
    <cellStyle name="20% - akcent 3 57" xfId="1136"/>
    <cellStyle name="20% - akcent 3 57 2" xfId="1137"/>
    <cellStyle name="20% - akcent 3 58" xfId="1138"/>
    <cellStyle name="20% - akcent 3 58 2" xfId="1139"/>
    <cellStyle name="20% - akcent 3 59" xfId="1140"/>
    <cellStyle name="20% - akcent 3 59 2" xfId="1141"/>
    <cellStyle name="20% - akcent 3 6" xfId="1142"/>
    <cellStyle name="20% - akcent 3 60" xfId="1143"/>
    <cellStyle name="20% - akcent 3 60 2" xfId="1144"/>
    <cellStyle name="20% - akcent 3 61" xfId="1145"/>
    <cellStyle name="20% - akcent 3 61 2" xfId="1146"/>
    <cellStyle name="20% - akcent 3 62" xfId="1147"/>
    <cellStyle name="20% - akcent 3 62 2" xfId="1148"/>
    <cellStyle name="20% - akcent 3 63" xfId="1149"/>
    <cellStyle name="20% - akcent 3 63 2" xfId="1150"/>
    <cellStyle name="20% - akcent 3 64" xfId="1151"/>
    <cellStyle name="20% - akcent 3 64 2" xfId="1152"/>
    <cellStyle name="20% - akcent 3 65" xfId="1153"/>
    <cellStyle name="20% - akcent 3 65 2" xfId="1154"/>
    <cellStyle name="20% - akcent 3 66" xfId="1155"/>
    <cellStyle name="20% - akcent 3 66 2" xfId="1156"/>
    <cellStyle name="20% - akcent 3 67" xfId="1157"/>
    <cellStyle name="20% - akcent 3 67 2" xfId="1158"/>
    <cellStyle name="20% - akcent 3 68" xfId="1159"/>
    <cellStyle name="20% - akcent 3 68 2" xfId="1160"/>
    <cellStyle name="20% - akcent 3 69" xfId="1161"/>
    <cellStyle name="20% - akcent 3 69 2" xfId="1162"/>
    <cellStyle name="20% - akcent 3 7" xfId="1163"/>
    <cellStyle name="20% - akcent 3 70" xfId="1164"/>
    <cellStyle name="20% - akcent 3 70 2" xfId="1165"/>
    <cellStyle name="20% - akcent 3 71" xfId="1166"/>
    <cellStyle name="20% - akcent 3 71 2" xfId="1167"/>
    <cellStyle name="20% - akcent 3 72" xfId="1168"/>
    <cellStyle name="20% - akcent 3 72 2" xfId="1169"/>
    <cellStyle name="20% - akcent 3 73" xfId="1170"/>
    <cellStyle name="20% - akcent 3 73 2" xfId="1171"/>
    <cellStyle name="20% - akcent 3 74" xfId="1172"/>
    <cellStyle name="20% - akcent 3 74 2" xfId="1173"/>
    <cellStyle name="20% - akcent 3 75" xfId="1174"/>
    <cellStyle name="20% - akcent 3 75 2" xfId="1175"/>
    <cellStyle name="20% - akcent 3 76" xfId="1176"/>
    <cellStyle name="20% - akcent 3 76 2" xfId="1177"/>
    <cellStyle name="20% - akcent 3 77" xfId="1178"/>
    <cellStyle name="20% - akcent 3 77 2" xfId="1179"/>
    <cellStyle name="20% - akcent 3 78" xfId="1180"/>
    <cellStyle name="20% - akcent 3 78 2" xfId="1181"/>
    <cellStyle name="20% - akcent 3 79" xfId="1182"/>
    <cellStyle name="20% - akcent 3 79 2" xfId="1183"/>
    <cellStyle name="20% - akcent 3 8" xfId="1184"/>
    <cellStyle name="20% - akcent 3 80" xfId="1185"/>
    <cellStyle name="20% - akcent 3 80 2" xfId="1186"/>
    <cellStyle name="20% - akcent 3 81" xfId="1187"/>
    <cellStyle name="20% - akcent 3 81 2" xfId="1188"/>
    <cellStyle name="20% - akcent 3 82" xfId="1189"/>
    <cellStyle name="20% - akcent 3 82 2" xfId="1190"/>
    <cellStyle name="20% - akcent 3 83" xfId="1191"/>
    <cellStyle name="20% - akcent 3 83 2" xfId="1192"/>
    <cellStyle name="20% - akcent 3 84" xfId="1193"/>
    <cellStyle name="20% - akcent 3 84 2" xfId="1194"/>
    <cellStyle name="20% - akcent 3 85" xfId="1195"/>
    <cellStyle name="20% - akcent 3 85 2" xfId="1196"/>
    <cellStyle name="20% - akcent 3 86" xfId="1197"/>
    <cellStyle name="20% - akcent 3 86 2" xfId="1198"/>
    <cellStyle name="20% - akcent 3 87" xfId="1199"/>
    <cellStyle name="20% - akcent 3 87 2" xfId="1200"/>
    <cellStyle name="20% - akcent 3 88" xfId="1201"/>
    <cellStyle name="20% - akcent 3 88 2" xfId="1202"/>
    <cellStyle name="20% - akcent 3 89" xfId="1203"/>
    <cellStyle name="20% - akcent 3 89 2" xfId="1204"/>
    <cellStyle name="20% - akcent 3 9" xfId="1205"/>
    <cellStyle name="20% - akcent 3 90" xfId="1206"/>
    <cellStyle name="20% - akcent 3 90 2" xfId="1207"/>
    <cellStyle name="20% - akcent 3 91" xfId="1208"/>
    <cellStyle name="20% - akcent 3 91 2" xfId="1209"/>
    <cellStyle name="20% - akcent 3 92" xfId="1210"/>
    <cellStyle name="20% - akcent 3 92 2" xfId="1211"/>
    <cellStyle name="20% - akcent 3 93" xfId="1212"/>
    <cellStyle name="20% - akcent 3 93 2" xfId="1213"/>
    <cellStyle name="20% - akcent 3 94" xfId="1214"/>
    <cellStyle name="20% - akcent 3 94 2" xfId="1215"/>
    <cellStyle name="20% - akcent 3 95" xfId="1216"/>
    <cellStyle name="20% - akcent 3 95 2" xfId="1217"/>
    <cellStyle name="20% - akcent 3 96" xfId="1218"/>
    <cellStyle name="20% - akcent 3 96 2" xfId="1219"/>
    <cellStyle name="20% - akcent 3 97" xfId="1220"/>
    <cellStyle name="20% - akcent 3 97 2" xfId="1221"/>
    <cellStyle name="20% - akcent 3 98" xfId="1222"/>
    <cellStyle name="20% - akcent 3 98 2" xfId="1223"/>
    <cellStyle name="20% - akcent 3 99" xfId="1224"/>
    <cellStyle name="20% - akcent 3 99 2" xfId="1225"/>
    <cellStyle name="20% - akcent 4 10" xfId="1226"/>
    <cellStyle name="20% - akcent 4 100" xfId="1227"/>
    <cellStyle name="20% - akcent 4 100 2" xfId="1228"/>
    <cellStyle name="20% - akcent 4 101" xfId="1229"/>
    <cellStyle name="20% - akcent 4 101 2" xfId="1230"/>
    <cellStyle name="20% - akcent 4 102" xfId="1231"/>
    <cellStyle name="20% - akcent 4 102 2" xfId="1232"/>
    <cellStyle name="20% - akcent 4 103" xfId="1233"/>
    <cellStyle name="20% - akcent 4 103 2" xfId="1234"/>
    <cellStyle name="20% - akcent 4 104" xfId="1235"/>
    <cellStyle name="20% - akcent 4 104 2" xfId="1236"/>
    <cellStyle name="20% - akcent 4 105" xfId="1237"/>
    <cellStyle name="20% - akcent 4 105 2" xfId="1238"/>
    <cellStyle name="20% - akcent 4 106" xfId="1239"/>
    <cellStyle name="20% - akcent 4 106 2" xfId="1240"/>
    <cellStyle name="20% - akcent 4 107" xfId="1241"/>
    <cellStyle name="20% - akcent 4 107 2" xfId="1242"/>
    <cellStyle name="20% - akcent 4 108" xfId="1243"/>
    <cellStyle name="20% - akcent 4 108 2" xfId="1244"/>
    <cellStyle name="20% - akcent 4 109" xfId="1245"/>
    <cellStyle name="20% - akcent 4 109 2" xfId="1246"/>
    <cellStyle name="20% - akcent 4 11" xfId="1247"/>
    <cellStyle name="20% - akcent 4 110" xfId="1248"/>
    <cellStyle name="20% - akcent 4 110 2" xfId="1249"/>
    <cellStyle name="20% - akcent 4 111" xfId="1250"/>
    <cellStyle name="20% - akcent 4 111 2" xfId="1251"/>
    <cellStyle name="20% - akcent 4 112" xfId="1252"/>
    <cellStyle name="20% - akcent 4 112 2" xfId="1253"/>
    <cellStyle name="20% - akcent 4 113" xfId="1254"/>
    <cellStyle name="20% - akcent 4 113 2" xfId="1255"/>
    <cellStyle name="20% - akcent 4 114" xfId="1256"/>
    <cellStyle name="20% - akcent 4 114 2" xfId="1257"/>
    <cellStyle name="20% - akcent 4 115" xfId="1258"/>
    <cellStyle name="20% - akcent 4 115 2" xfId="1259"/>
    <cellStyle name="20% - akcent 4 116" xfId="1260"/>
    <cellStyle name="20% - akcent 4 116 2" xfId="1261"/>
    <cellStyle name="20% - akcent 4 117" xfId="1262"/>
    <cellStyle name="20% - akcent 4 117 2" xfId="1263"/>
    <cellStyle name="20% - akcent 4 118" xfId="1264"/>
    <cellStyle name="20% - akcent 4 118 2" xfId="1265"/>
    <cellStyle name="20% - akcent 4 119" xfId="1266"/>
    <cellStyle name="20% - akcent 4 119 2" xfId="1267"/>
    <cellStyle name="20% - akcent 4 12" xfId="1268"/>
    <cellStyle name="20% - akcent 4 120" xfId="1269"/>
    <cellStyle name="20% - akcent 4 121" xfId="1270"/>
    <cellStyle name="20% - akcent 4 13" xfId="1271"/>
    <cellStyle name="20% - akcent 4 14" xfId="1272"/>
    <cellStyle name="20% - akcent 4 15" xfId="1273"/>
    <cellStyle name="20% - akcent 4 16" xfId="1274"/>
    <cellStyle name="20% - akcent 4 17" xfId="1275"/>
    <cellStyle name="20% - akcent 4 18" xfId="1276"/>
    <cellStyle name="20% - akcent 4 19" xfId="1277"/>
    <cellStyle name="20% - akcent 4 2" xfId="1278"/>
    <cellStyle name="20% - akcent 4 2 10" xfId="1279"/>
    <cellStyle name="20% - akcent 4 2 10 2" xfId="1280"/>
    <cellStyle name="20% - akcent 4 2 10 3" xfId="1281"/>
    <cellStyle name="20% - akcent 4 2 10 4" xfId="1282"/>
    <cellStyle name="20% - akcent 4 2 10 5" xfId="1283"/>
    <cellStyle name="20% - akcent 4 2 10 6" xfId="1284"/>
    <cellStyle name="20% - akcent 4 2 11" xfId="1285"/>
    <cellStyle name="20% - akcent 4 2 11 2" xfId="1286"/>
    <cellStyle name="20% - akcent 4 2 11 3" xfId="1287"/>
    <cellStyle name="20% - akcent 4 2 11 4" xfId="1288"/>
    <cellStyle name="20% - akcent 4 2 11 5" xfId="1289"/>
    <cellStyle name="20% - akcent 4 2 11 6" xfId="1290"/>
    <cellStyle name="20% - akcent 4 2 12" xfId="1291"/>
    <cellStyle name="20% - akcent 4 2 12 2" xfId="1292"/>
    <cellStyle name="20% - akcent 4 2 12 3" xfId="1293"/>
    <cellStyle name="20% - akcent 4 2 12 4" xfId="1294"/>
    <cellStyle name="20% - akcent 4 2 12 5" xfId="1295"/>
    <cellStyle name="20% - akcent 4 2 12 6" xfId="1296"/>
    <cellStyle name="20% - akcent 4 2 13" xfId="1297"/>
    <cellStyle name="20% - akcent 4 2 13 2" xfId="1298"/>
    <cellStyle name="20% - akcent 4 2 13 3" xfId="1299"/>
    <cellStyle name="20% - akcent 4 2 13 4" xfId="1300"/>
    <cellStyle name="20% - akcent 4 2 13 5" xfId="1301"/>
    <cellStyle name="20% - akcent 4 2 13 6" xfId="1302"/>
    <cellStyle name="20% - akcent 4 2 14" xfId="1303"/>
    <cellStyle name="20% - akcent 4 2 14 2" xfId="1304"/>
    <cellStyle name="20% - akcent 4 2 14 3" xfId="1305"/>
    <cellStyle name="20% - akcent 4 2 14 4" xfId="1306"/>
    <cellStyle name="20% - akcent 4 2 14 5" xfId="1307"/>
    <cellStyle name="20% - akcent 4 2 14 6" xfId="1308"/>
    <cellStyle name="20% - akcent 4 2 15" xfId="1309"/>
    <cellStyle name="20% - akcent 4 2 15 2" xfId="1310"/>
    <cellStyle name="20% - akcent 4 2 15 3" xfId="1311"/>
    <cellStyle name="20% - akcent 4 2 15 4" xfId="1312"/>
    <cellStyle name="20% - akcent 4 2 15 5" xfId="1313"/>
    <cellStyle name="20% - akcent 4 2 15 6" xfId="1314"/>
    <cellStyle name="20% - akcent 4 2 16" xfId="1315"/>
    <cellStyle name="20% - akcent 4 2 16 2" xfId="1316"/>
    <cellStyle name="20% - akcent 4 2 16 3" xfId="1317"/>
    <cellStyle name="20% - akcent 4 2 16 4" xfId="1318"/>
    <cellStyle name="20% - akcent 4 2 16 5" xfId="1319"/>
    <cellStyle name="20% - akcent 4 2 16 6" xfId="1320"/>
    <cellStyle name="20% - akcent 4 2 17" xfId="1321"/>
    <cellStyle name="20% - akcent 4 2 17 2" xfId="1322"/>
    <cellStyle name="20% - akcent 4 2 17 3" xfId="1323"/>
    <cellStyle name="20% - akcent 4 2 17 4" xfId="1324"/>
    <cellStyle name="20% - akcent 4 2 17 5" xfId="1325"/>
    <cellStyle name="20% - akcent 4 2 17 6" xfId="1326"/>
    <cellStyle name="20% - akcent 4 2 18" xfId="1327"/>
    <cellStyle name="20% - akcent 4 2 18 2" xfId="1328"/>
    <cellStyle name="20% - akcent 4 2 18 3" xfId="1329"/>
    <cellStyle name="20% - akcent 4 2 18 4" xfId="1330"/>
    <cellStyle name="20% - akcent 4 2 18 5" xfId="1331"/>
    <cellStyle name="20% - akcent 4 2 18 6" xfId="1332"/>
    <cellStyle name="20% - akcent 4 2 19" xfId="1333"/>
    <cellStyle name="20% - akcent 4 2 19 2" xfId="1334"/>
    <cellStyle name="20% - akcent 4 2 19 3" xfId="1335"/>
    <cellStyle name="20% - akcent 4 2 19 4" xfId="1336"/>
    <cellStyle name="20% - akcent 4 2 19 5" xfId="1337"/>
    <cellStyle name="20% - akcent 4 2 19 6" xfId="1338"/>
    <cellStyle name="20% - akcent 4 2 2" xfId="1339"/>
    <cellStyle name="20% - akcent 4 2 2 2" xfId="1340"/>
    <cellStyle name="20% - akcent 4 2 2 3" xfId="1341"/>
    <cellStyle name="20% - akcent 4 2 2 4" xfId="1342"/>
    <cellStyle name="20% - akcent 4 2 2 5" xfId="1343"/>
    <cellStyle name="20% - akcent 4 2 2 6" xfId="1344"/>
    <cellStyle name="20% - akcent 4 2 2 7" xfId="1345"/>
    <cellStyle name="20% - akcent 4 2 20" xfId="1346"/>
    <cellStyle name="20% - akcent 4 2 20 2" xfId="1347"/>
    <cellStyle name="20% - akcent 4 2 20 3" xfId="1348"/>
    <cellStyle name="20% - akcent 4 2 20 4" xfId="1349"/>
    <cellStyle name="20% - akcent 4 2 20 5" xfId="1350"/>
    <cellStyle name="20% - akcent 4 2 20 6" xfId="1351"/>
    <cellStyle name="20% - akcent 4 2 21" xfId="1352"/>
    <cellStyle name="20% - akcent 4 2 21 2" xfId="1353"/>
    <cellStyle name="20% - akcent 4 2 21 3" xfId="1354"/>
    <cellStyle name="20% - akcent 4 2 21 4" xfId="1355"/>
    <cellStyle name="20% - akcent 4 2 21 5" xfId="1356"/>
    <cellStyle name="20% - akcent 4 2 21 6" xfId="1357"/>
    <cellStyle name="20% - akcent 4 2 22" xfId="1358"/>
    <cellStyle name="20% - akcent 4 2 22 2" xfId="1359"/>
    <cellStyle name="20% - akcent 4 2 22 3" xfId="1360"/>
    <cellStyle name="20% - akcent 4 2 22 4" xfId="1361"/>
    <cellStyle name="20% - akcent 4 2 22 5" xfId="1362"/>
    <cellStyle name="20% - akcent 4 2 22 6" xfId="1363"/>
    <cellStyle name="20% - akcent 4 2 23" xfId="1364"/>
    <cellStyle name="20% - akcent 4 2 23 2" xfId="1365"/>
    <cellStyle name="20% - akcent 4 2 23 3" xfId="1366"/>
    <cellStyle name="20% - akcent 4 2 23 4" xfId="1367"/>
    <cellStyle name="20% - akcent 4 2 23 5" xfId="1368"/>
    <cellStyle name="20% - akcent 4 2 23 6" xfId="1369"/>
    <cellStyle name="20% - akcent 4 2 24" xfId="1370"/>
    <cellStyle name="20% - akcent 4 2 24 2" xfId="1371"/>
    <cellStyle name="20% - akcent 4 2 24 3" xfId="1372"/>
    <cellStyle name="20% - akcent 4 2 24 4" xfId="1373"/>
    <cellStyle name="20% - akcent 4 2 24 5" xfId="1374"/>
    <cellStyle name="20% - akcent 4 2 24 6" xfId="1375"/>
    <cellStyle name="20% - akcent 4 2 25" xfId="1376"/>
    <cellStyle name="20% - akcent 4 2 25 2" xfId="1377"/>
    <cellStyle name="20% - akcent 4 2 25 3" xfId="1378"/>
    <cellStyle name="20% - akcent 4 2 25 4" xfId="1379"/>
    <cellStyle name="20% - akcent 4 2 25 5" xfId="1380"/>
    <cellStyle name="20% - akcent 4 2 25 6" xfId="1381"/>
    <cellStyle name="20% - akcent 4 2 26" xfId="1382"/>
    <cellStyle name="20% - akcent 4 2 26 2" xfId="1383"/>
    <cellStyle name="20% - akcent 4 2 26 3" xfId="1384"/>
    <cellStyle name="20% - akcent 4 2 26 4" xfId="1385"/>
    <cellStyle name="20% - akcent 4 2 26 5" xfId="1386"/>
    <cellStyle name="20% - akcent 4 2 26 6" xfId="1387"/>
    <cellStyle name="20% - akcent 4 2 27" xfId="1388"/>
    <cellStyle name="20% - akcent 4 2 27 2" xfId="1389"/>
    <cellStyle name="20% - akcent 4 2 27 3" xfId="1390"/>
    <cellStyle name="20% - akcent 4 2 27 4" xfId="1391"/>
    <cellStyle name="20% - akcent 4 2 27 5" xfId="1392"/>
    <cellStyle name="20% - akcent 4 2 27 6" xfId="1393"/>
    <cellStyle name="20% - akcent 4 2 28" xfId="1394"/>
    <cellStyle name="20% - akcent 4 2 28 2" xfId="1395"/>
    <cellStyle name="20% - akcent 4 2 28 3" xfId="1396"/>
    <cellStyle name="20% - akcent 4 2 28 4" xfId="1397"/>
    <cellStyle name="20% - akcent 4 2 28 5" xfId="1398"/>
    <cellStyle name="20% - akcent 4 2 28 6" xfId="1399"/>
    <cellStyle name="20% - akcent 4 2 29" xfId="1400"/>
    <cellStyle name="20% - akcent 4 2 29 2" xfId="1401"/>
    <cellStyle name="20% - akcent 4 2 3" xfId="1402"/>
    <cellStyle name="20% - akcent 4 2 3 2" xfId="1403"/>
    <cellStyle name="20% - akcent 4 2 3 3" xfId="1404"/>
    <cellStyle name="20% - akcent 4 2 3 4" xfId="1405"/>
    <cellStyle name="20% - akcent 4 2 3 5" xfId="1406"/>
    <cellStyle name="20% - akcent 4 2 3 6" xfId="1407"/>
    <cellStyle name="20% - akcent 4 2 3 7" xfId="1408"/>
    <cellStyle name="20% - akcent 4 2 30" xfId="1409"/>
    <cellStyle name="20% - akcent 4 2 30 2" xfId="1410"/>
    <cellStyle name="20% - akcent 4 2 31" xfId="1411"/>
    <cellStyle name="20% - akcent 4 2 31 2" xfId="1412"/>
    <cellStyle name="20% - akcent 4 2 32" xfId="1413"/>
    <cellStyle name="20% - akcent 4 2 32 2" xfId="1414"/>
    <cellStyle name="20% - akcent 4 2 33" xfId="1415"/>
    <cellStyle name="20% - akcent 4 2 34" xfId="1416"/>
    <cellStyle name="20% - akcent 4 2 35" xfId="1417"/>
    <cellStyle name="20% - akcent 4 2 36" xfId="1418"/>
    <cellStyle name="20% - akcent 4 2 37" xfId="1419"/>
    <cellStyle name="20% - akcent 4 2 38" xfId="1420"/>
    <cellStyle name="20% - akcent 4 2 39" xfId="1421"/>
    <cellStyle name="20% - akcent 4 2 4" xfId="1422"/>
    <cellStyle name="20% - akcent 4 2 4 2" xfId="1423"/>
    <cellStyle name="20% - akcent 4 2 4 3" xfId="1424"/>
    <cellStyle name="20% - akcent 4 2 4 4" xfId="1425"/>
    <cellStyle name="20% - akcent 4 2 4 5" xfId="1426"/>
    <cellStyle name="20% - akcent 4 2 4 6" xfId="1427"/>
    <cellStyle name="20% - akcent 4 2 4 7" xfId="1428"/>
    <cellStyle name="20% - akcent 4 2 40" xfId="1429"/>
    <cellStyle name="20% - akcent 4 2 41" xfId="1430"/>
    <cellStyle name="20% - akcent 4 2 42" xfId="1431"/>
    <cellStyle name="20% - akcent 4 2 43" xfId="1432"/>
    <cellStyle name="20% - akcent 4 2 44" xfId="1433"/>
    <cellStyle name="20% - akcent 4 2 45" xfId="1434"/>
    <cellStyle name="20% - akcent 4 2 46" xfId="1435"/>
    <cellStyle name="20% - akcent 4 2 47" xfId="1436"/>
    <cellStyle name="20% - akcent 4 2 48" xfId="1437"/>
    <cellStyle name="20% - akcent 4 2 49" xfId="1438"/>
    <cellStyle name="20% - akcent 4 2 5" xfId="1439"/>
    <cellStyle name="20% - akcent 4 2 5 2" xfId="1440"/>
    <cellStyle name="20% - akcent 4 2 5 3" xfId="1441"/>
    <cellStyle name="20% - akcent 4 2 5 4" xfId="1442"/>
    <cellStyle name="20% - akcent 4 2 5 5" xfId="1443"/>
    <cellStyle name="20% - akcent 4 2 5 6" xfId="1444"/>
    <cellStyle name="20% - akcent 4 2 50" xfId="1445"/>
    <cellStyle name="20% - akcent 4 2 51" xfId="1446"/>
    <cellStyle name="20% - akcent 4 2 6" xfId="1447"/>
    <cellStyle name="20% - akcent 4 2 6 2" xfId="1448"/>
    <cellStyle name="20% - akcent 4 2 6 3" xfId="1449"/>
    <cellStyle name="20% - akcent 4 2 6 4" xfId="1450"/>
    <cellStyle name="20% - akcent 4 2 6 5" xfId="1451"/>
    <cellStyle name="20% - akcent 4 2 6 6" xfId="1452"/>
    <cellStyle name="20% - akcent 4 2 7" xfId="1453"/>
    <cellStyle name="20% - akcent 4 2 7 2" xfId="1454"/>
    <cellStyle name="20% - akcent 4 2 7 3" xfId="1455"/>
    <cellStyle name="20% - akcent 4 2 7 4" xfId="1456"/>
    <cellStyle name="20% - akcent 4 2 7 5" xfId="1457"/>
    <cellStyle name="20% - akcent 4 2 7 6" xfId="1458"/>
    <cellStyle name="20% - akcent 4 2 8" xfId="1459"/>
    <cellStyle name="20% - akcent 4 2 8 2" xfId="1460"/>
    <cellStyle name="20% - akcent 4 2 8 3" xfId="1461"/>
    <cellStyle name="20% - akcent 4 2 8 4" xfId="1462"/>
    <cellStyle name="20% - akcent 4 2 8 5" xfId="1463"/>
    <cellStyle name="20% - akcent 4 2 8 6" xfId="1464"/>
    <cellStyle name="20% - akcent 4 2 9" xfId="1465"/>
    <cellStyle name="20% - akcent 4 2 9 2" xfId="1466"/>
    <cellStyle name="20% - akcent 4 2 9 3" xfId="1467"/>
    <cellStyle name="20% - akcent 4 2 9 4" xfId="1468"/>
    <cellStyle name="20% - akcent 4 2 9 5" xfId="1469"/>
    <cellStyle name="20% - akcent 4 2 9 6" xfId="1470"/>
    <cellStyle name="20% - akcent 4 20" xfId="1471"/>
    <cellStyle name="20% - akcent 4 21" xfId="1472"/>
    <cellStyle name="20% - akcent 4 22" xfId="1473"/>
    <cellStyle name="20% - akcent 4 23" xfId="1474"/>
    <cellStyle name="20% - akcent 4 24" xfId="1475"/>
    <cellStyle name="20% - akcent 4 25" xfId="1476"/>
    <cellStyle name="20% - akcent 4 26" xfId="1477"/>
    <cellStyle name="20% - akcent 4 27" xfId="1478"/>
    <cellStyle name="20% - akcent 4 28" xfId="1479"/>
    <cellStyle name="20% - akcent 4 29" xfId="1480"/>
    <cellStyle name="20% - akcent 4 3" xfId="1481"/>
    <cellStyle name="20% - akcent 4 3 2" xfId="1482"/>
    <cellStyle name="20% - akcent 4 3 2 2" xfId="1483"/>
    <cellStyle name="20% - akcent 4 3 3" xfId="1484"/>
    <cellStyle name="20% - akcent 4 3 3 2" xfId="1485"/>
    <cellStyle name="20% - akcent 4 3 4" xfId="1486"/>
    <cellStyle name="20% - akcent 4 3 4 2" xfId="1487"/>
    <cellStyle name="20% - akcent 4 3 5" xfId="1488"/>
    <cellStyle name="20% - akcent 4 3 6" xfId="1489"/>
    <cellStyle name="20% - akcent 4 3 7" xfId="1490"/>
    <cellStyle name="20% - akcent 4 3 8" xfId="1491"/>
    <cellStyle name="20% - akcent 4 30" xfId="1492"/>
    <cellStyle name="20% - akcent 4 30 2" xfId="1493"/>
    <cellStyle name="20% - akcent 4 31" xfId="1494"/>
    <cellStyle name="20% - akcent 4 31 2" xfId="1495"/>
    <cellStyle name="20% - akcent 4 32" xfId="1496"/>
    <cellStyle name="20% - akcent 4 32 2" xfId="1497"/>
    <cellStyle name="20% - akcent 4 33" xfId="1498"/>
    <cellStyle name="20% - akcent 4 33 2" xfId="1499"/>
    <cellStyle name="20% - akcent 4 34" xfId="1500"/>
    <cellStyle name="20% - akcent 4 34 2" xfId="1501"/>
    <cellStyle name="20% - akcent 4 35" xfId="1502"/>
    <cellStyle name="20% - akcent 4 35 2" xfId="1503"/>
    <cellStyle name="20% - akcent 4 36" xfId="1504"/>
    <cellStyle name="20% - akcent 4 36 2" xfId="1505"/>
    <cellStyle name="20% - akcent 4 37" xfId="1506"/>
    <cellStyle name="20% - akcent 4 37 2" xfId="1507"/>
    <cellStyle name="20% - akcent 4 38" xfId="1508"/>
    <cellStyle name="20% - akcent 4 38 2" xfId="1509"/>
    <cellStyle name="20% - akcent 4 39" xfId="1510"/>
    <cellStyle name="20% - akcent 4 39 2" xfId="1511"/>
    <cellStyle name="20% - akcent 4 4" xfId="1512"/>
    <cellStyle name="20% - akcent 4 4 2" xfId="1513"/>
    <cellStyle name="20% - akcent 4 4 2 2" xfId="1514"/>
    <cellStyle name="20% - akcent 4 4 3" xfId="1515"/>
    <cellStyle name="20% - akcent 4 4 3 2" xfId="1516"/>
    <cellStyle name="20% - akcent 4 4 4" xfId="1517"/>
    <cellStyle name="20% - akcent 4 4 4 2" xfId="1518"/>
    <cellStyle name="20% - akcent 4 4 5" xfId="1519"/>
    <cellStyle name="20% - akcent 4 4 6" xfId="1520"/>
    <cellStyle name="20% - akcent 4 4 7" xfId="1521"/>
    <cellStyle name="20% - akcent 4 4 8" xfId="1522"/>
    <cellStyle name="20% - akcent 4 40" xfId="1523"/>
    <cellStyle name="20% - akcent 4 40 2" xfId="1524"/>
    <cellStyle name="20% - akcent 4 41" xfId="1525"/>
    <cellStyle name="20% - akcent 4 41 2" xfId="1526"/>
    <cellStyle name="20% - akcent 4 42" xfId="1527"/>
    <cellStyle name="20% - akcent 4 42 2" xfId="1528"/>
    <cellStyle name="20% - akcent 4 43" xfId="1529"/>
    <cellStyle name="20% - akcent 4 43 2" xfId="1530"/>
    <cellStyle name="20% - akcent 4 44" xfId="1531"/>
    <cellStyle name="20% - akcent 4 44 2" xfId="1532"/>
    <cellStyle name="20% - akcent 4 45" xfId="1533"/>
    <cellStyle name="20% - akcent 4 45 2" xfId="1534"/>
    <cellStyle name="20% - akcent 4 46" xfId="1535"/>
    <cellStyle name="20% - akcent 4 46 2" xfId="1536"/>
    <cellStyle name="20% - akcent 4 47" xfId="1537"/>
    <cellStyle name="20% - akcent 4 47 2" xfId="1538"/>
    <cellStyle name="20% - akcent 4 48" xfId="1539"/>
    <cellStyle name="20% - akcent 4 48 2" xfId="1540"/>
    <cellStyle name="20% - akcent 4 49" xfId="1541"/>
    <cellStyle name="20% - akcent 4 49 2" xfId="1542"/>
    <cellStyle name="20% - akcent 4 5" xfId="1543"/>
    <cellStyle name="20% - akcent 4 5 2" xfId="1544"/>
    <cellStyle name="20% - akcent 4 5 3" xfId="1545"/>
    <cellStyle name="20% - akcent 4 50" xfId="1546"/>
    <cellStyle name="20% - akcent 4 50 2" xfId="1547"/>
    <cellStyle name="20% - akcent 4 51" xfId="1548"/>
    <cellStyle name="20% - akcent 4 51 2" xfId="1549"/>
    <cellStyle name="20% - akcent 4 52" xfId="1550"/>
    <cellStyle name="20% - akcent 4 52 2" xfId="1551"/>
    <cellStyle name="20% - akcent 4 53" xfId="1552"/>
    <cellStyle name="20% - akcent 4 53 2" xfId="1553"/>
    <cellStyle name="20% - akcent 4 54" xfId="1554"/>
    <cellStyle name="20% - akcent 4 54 2" xfId="1555"/>
    <cellStyle name="20% - akcent 4 55" xfId="1556"/>
    <cellStyle name="20% - akcent 4 55 2" xfId="1557"/>
    <cellStyle name="20% - akcent 4 56" xfId="1558"/>
    <cellStyle name="20% - akcent 4 56 2" xfId="1559"/>
    <cellStyle name="20% - akcent 4 57" xfId="1560"/>
    <cellStyle name="20% - akcent 4 57 2" xfId="1561"/>
    <cellStyle name="20% - akcent 4 58" xfId="1562"/>
    <cellStyle name="20% - akcent 4 58 2" xfId="1563"/>
    <cellStyle name="20% - akcent 4 59" xfId="1564"/>
    <cellStyle name="20% - akcent 4 59 2" xfId="1565"/>
    <cellStyle name="20% - akcent 4 6" xfId="1566"/>
    <cellStyle name="20% - akcent 4 60" xfId="1567"/>
    <cellStyle name="20% - akcent 4 60 2" xfId="1568"/>
    <cellStyle name="20% - akcent 4 61" xfId="1569"/>
    <cellStyle name="20% - akcent 4 61 2" xfId="1570"/>
    <cellStyle name="20% - akcent 4 62" xfId="1571"/>
    <cellStyle name="20% - akcent 4 62 2" xfId="1572"/>
    <cellStyle name="20% - akcent 4 63" xfId="1573"/>
    <cellStyle name="20% - akcent 4 63 2" xfId="1574"/>
    <cellStyle name="20% - akcent 4 64" xfId="1575"/>
    <cellStyle name="20% - akcent 4 64 2" xfId="1576"/>
    <cellStyle name="20% - akcent 4 65" xfId="1577"/>
    <cellStyle name="20% - akcent 4 65 2" xfId="1578"/>
    <cellStyle name="20% - akcent 4 66" xfId="1579"/>
    <cellStyle name="20% - akcent 4 66 2" xfId="1580"/>
    <cellStyle name="20% - akcent 4 67" xfId="1581"/>
    <cellStyle name="20% - akcent 4 67 2" xfId="1582"/>
    <cellStyle name="20% - akcent 4 68" xfId="1583"/>
    <cellStyle name="20% - akcent 4 68 2" xfId="1584"/>
    <cellStyle name="20% - akcent 4 69" xfId="1585"/>
    <cellStyle name="20% - akcent 4 69 2" xfId="1586"/>
    <cellStyle name="20% - akcent 4 7" xfId="1587"/>
    <cellStyle name="20% - akcent 4 70" xfId="1588"/>
    <cellStyle name="20% - akcent 4 70 2" xfId="1589"/>
    <cellStyle name="20% - akcent 4 71" xfId="1590"/>
    <cellStyle name="20% - akcent 4 71 2" xfId="1591"/>
    <cellStyle name="20% - akcent 4 72" xfId="1592"/>
    <cellStyle name="20% - akcent 4 72 2" xfId="1593"/>
    <cellStyle name="20% - akcent 4 73" xfId="1594"/>
    <cellStyle name="20% - akcent 4 73 2" xfId="1595"/>
    <cellStyle name="20% - akcent 4 74" xfId="1596"/>
    <cellStyle name="20% - akcent 4 74 2" xfId="1597"/>
    <cellStyle name="20% - akcent 4 75" xfId="1598"/>
    <cellStyle name="20% - akcent 4 75 2" xfId="1599"/>
    <cellStyle name="20% - akcent 4 76" xfId="1600"/>
    <cellStyle name="20% - akcent 4 76 2" xfId="1601"/>
    <cellStyle name="20% - akcent 4 77" xfId="1602"/>
    <cellStyle name="20% - akcent 4 77 2" xfId="1603"/>
    <cellStyle name="20% - akcent 4 78" xfId="1604"/>
    <cellStyle name="20% - akcent 4 78 2" xfId="1605"/>
    <cellStyle name="20% - akcent 4 79" xfId="1606"/>
    <cellStyle name="20% - akcent 4 79 2" xfId="1607"/>
    <cellStyle name="20% - akcent 4 8" xfId="1608"/>
    <cellStyle name="20% - akcent 4 80" xfId="1609"/>
    <cellStyle name="20% - akcent 4 80 2" xfId="1610"/>
    <cellStyle name="20% - akcent 4 81" xfId="1611"/>
    <cellStyle name="20% - akcent 4 81 2" xfId="1612"/>
    <cellStyle name="20% - akcent 4 82" xfId="1613"/>
    <cellStyle name="20% - akcent 4 82 2" xfId="1614"/>
    <cellStyle name="20% - akcent 4 83" xfId="1615"/>
    <cellStyle name="20% - akcent 4 83 2" xfId="1616"/>
    <cellStyle name="20% - akcent 4 84" xfId="1617"/>
    <cellStyle name="20% - akcent 4 84 2" xfId="1618"/>
    <cellStyle name="20% - akcent 4 85" xfId="1619"/>
    <cellStyle name="20% - akcent 4 85 2" xfId="1620"/>
    <cellStyle name="20% - akcent 4 86" xfId="1621"/>
    <cellStyle name="20% - akcent 4 86 2" xfId="1622"/>
    <cellStyle name="20% - akcent 4 87" xfId="1623"/>
    <cellStyle name="20% - akcent 4 87 2" xfId="1624"/>
    <cellStyle name="20% - akcent 4 88" xfId="1625"/>
    <cellStyle name="20% - akcent 4 88 2" xfId="1626"/>
    <cellStyle name="20% - akcent 4 89" xfId="1627"/>
    <cellStyle name="20% - akcent 4 89 2" xfId="1628"/>
    <cellStyle name="20% - akcent 4 9" xfId="1629"/>
    <cellStyle name="20% - akcent 4 90" xfId="1630"/>
    <cellStyle name="20% - akcent 4 90 2" xfId="1631"/>
    <cellStyle name="20% - akcent 4 91" xfId="1632"/>
    <cellStyle name="20% - akcent 4 91 2" xfId="1633"/>
    <cellStyle name="20% - akcent 4 92" xfId="1634"/>
    <cellStyle name="20% - akcent 4 92 2" xfId="1635"/>
    <cellStyle name="20% - akcent 4 93" xfId="1636"/>
    <cellStyle name="20% - akcent 4 93 2" xfId="1637"/>
    <cellStyle name="20% - akcent 4 94" xfId="1638"/>
    <cellStyle name="20% - akcent 4 94 2" xfId="1639"/>
    <cellStyle name="20% - akcent 4 95" xfId="1640"/>
    <cellStyle name="20% - akcent 4 95 2" xfId="1641"/>
    <cellStyle name="20% - akcent 4 96" xfId="1642"/>
    <cellStyle name="20% - akcent 4 96 2" xfId="1643"/>
    <cellStyle name="20% - akcent 4 97" xfId="1644"/>
    <cellStyle name="20% - akcent 4 97 2" xfId="1645"/>
    <cellStyle name="20% - akcent 4 98" xfId="1646"/>
    <cellStyle name="20% - akcent 4 98 2" xfId="1647"/>
    <cellStyle name="20% - akcent 4 99" xfId="1648"/>
    <cellStyle name="20% - akcent 4 99 2" xfId="1649"/>
    <cellStyle name="20% - akcent 5 10" xfId="1650"/>
    <cellStyle name="20% - akcent 5 100" xfId="1651"/>
    <cellStyle name="20% - akcent 5 100 2" xfId="1652"/>
    <cellStyle name="20% - akcent 5 101" xfId="1653"/>
    <cellStyle name="20% - akcent 5 101 2" xfId="1654"/>
    <cellStyle name="20% - akcent 5 102" xfId="1655"/>
    <cellStyle name="20% - akcent 5 102 2" xfId="1656"/>
    <cellStyle name="20% - akcent 5 103" xfId="1657"/>
    <cellStyle name="20% - akcent 5 103 2" xfId="1658"/>
    <cellStyle name="20% - akcent 5 104" xfId="1659"/>
    <cellStyle name="20% - akcent 5 104 2" xfId="1660"/>
    <cellStyle name="20% - akcent 5 105" xfId="1661"/>
    <cellStyle name="20% - akcent 5 105 2" xfId="1662"/>
    <cellStyle name="20% - akcent 5 106" xfId="1663"/>
    <cellStyle name="20% - akcent 5 106 2" xfId="1664"/>
    <cellStyle name="20% - akcent 5 107" xfId="1665"/>
    <cellStyle name="20% - akcent 5 107 2" xfId="1666"/>
    <cellStyle name="20% - akcent 5 108" xfId="1667"/>
    <cellStyle name="20% - akcent 5 108 2" xfId="1668"/>
    <cellStyle name="20% - akcent 5 109" xfId="1669"/>
    <cellStyle name="20% - akcent 5 109 2" xfId="1670"/>
    <cellStyle name="20% - akcent 5 11" xfId="1671"/>
    <cellStyle name="20% - akcent 5 110" xfId="1672"/>
    <cellStyle name="20% - akcent 5 110 2" xfId="1673"/>
    <cellStyle name="20% - akcent 5 111" xfId="1674"/>
    <cellStyle name="20% - akcent 5 111 2" xfId="1675"/>
    <cellStyle name="20% - akcent 5 112" xfId="1676"/>
    <cellStyle name="20% - akcent 5 112 2" xfId="1677"/>
    <cellStyle name="20% - akcent 5 113" xfId="1678"/>
    <cellStyle name="20% - akcent 5 113 2" xfId="1679"/>
    <cellStyle name="20% - akcent 5 114" xfId="1680"/>
    <cellStyle name="20% - akcent 5 114 2" xfId="1681"/>
    <cellStyle name="20% - akcent 5 115" xfId="1682"/>
    <cellStyle name="20% - akcent 5 115 2" xfId="1683"/>
    <cellStyle name="20% - akcent 5 116" xfId="1684"/>
    <cellStyle name="20% - akcent 5 116 2" xfId="1685"/>
    <cellStyle name="20% - akcent 5 117" xfId="1686"/>
    <cellStyle name="20% - akcent 5 117 2" xfId="1687"/>
    <cellStyle name="20% - akcent 5 118" xfId="1688"/>
    <cellStyle name="20% - akcent 5 118 2" xfId="1689"/>
    <cellStyle name="20% - akcent 5 119" xfId="1690"/>
    <cellStyle name="20% - akcent 5 119 2" xfId="1691"/>
    <cellStyle name="20% - akcent 5 12" xfId="1692"/>
    <cellStyle name="20% - akcent 5 120" xfId="1693"/>
    <cellStyle name="20% - akcent 5 121" xfId="1694"/>
    <cellStyle name="20% - akcent 5 13" xfId="1695"/>
    <cellStyle name="20% - akcent 5 14" xfId="1696"/>
    <cellStyle name="20% - akcent 5 15" xfId="1697"/>
    <cellStyle name="20% - akcent 5 16" xfId="1698"/>
    <cellStyle name="20% - akcent 5 17" xfId="1699"/>
    <cellStyle name="20% - akcent 5 18" xfId="1700"/>
    <cellStyle name="20% - akcent 5 19" xfId="1701"/>
    <cellStyle name="20% - akcent 5 2" xfId="1702"/>
    <cellStyle name="20% - akcent 5 2 10" xfId="1703"/>
    <cellStyle name="20% - akcent 5 2 10 2" xfId="1704"/>
    <cellStyle name="20% - akcent 5 2 10 3" xfId="1705"/>
    <cellStyle name="20% - akcent 5 2 10 4" xfId="1706"/>
    <cellStyle name="20% - akcent 5 2 10 5" xfId="1707"/>
    <cellStyle name="20% - akcent 5 2 10 6" xfId="1708"/>
    <cellStyle name="20% - akcent 5 2 11" xfId="1709"/>
    <cellStyle name="20% - akcent 5 2 11 2" xfId="1710"/>
    <cellStyle name="20% - akcent 5 2 11 3" xfId="1711"/>
    <cellStyle name="20% - akcent 5 2 11 4" xfId="1712"/>
    <cellStyle name="20% - akcent 5 2 11 5" xfId="1713"/>
    <cellStyle name="20% - akcent 5 2 11 6" xfId="1714"/>
    <cellStyle name="20% - akcent 5 2 12" xfId="1715"/>
    <cellStyle name="20% - akcent 5 2 12 2" xfId="1716"/>
    <cellStyle name="20% - akcent 5 2 12 3" xfId="1717"/>
    <cellStyle name="20% - akcent 5 2 12 4" xfId="1718"/>
    <cellStyle name="20% - akcent 5 2 12 5" xfId="1719"/>
    <cellStyle name="20% - akcent 5 2 12 6" xfId="1720"/>
    <cellStyle name="20% - akcent 5 2 13" xfId="1721"/>
    <cellStyle name="20% - akcent 5 2 13 2" xfId="1722"/>
    <cellStyle name="20% - akcent 5 2 13 3" xfId="1723"/>
    <cellStyle name="20% - akcent 5 2 13 4" xfId="1724"/>
    <cellStyle name="20% - akcent 5 2 13 5" xfId="1725"/>
    <cellStyle name="20% - akcent 5 2 13 6" xfId="1726"/>
    <cellStyle name="20% - akcent 5 2 14" xfId="1727"/>
    <cellStyle name="20% - akcent 5 2 14 2" xfId="1728"/>
    <cellStyle name="20% - akcent 5 2 14 3" xfId="1729"/>
    <cellStyle name="20% - akcent 5 2 14 4" xfId="1730"/>
    <cellStyle name="20% - akcent 5 2 14 5" xfId="1731"/>
    <cellStyle name="20% - akcent 5 2 14 6" xfId="1732"/>
    <cellStyle name="20% - akcent 5 2 15" xfId="1733"/>
    <cellStyle name="20% - akcent 5 2 15 2" xfId="1734"/>
    <cellStyle name="20% - akcent 5 2 15 3" xfId="1735"/>
    <cellStyle name="20% - akcent 5 2 15 4" xfId="1736"/>
    <cellStyle name="20% - akcent 5 2 15 5" xfId="1737"/>
    <cellStyle name="20% - akcent 5 2 15 6" xfId="1738"/>
    <cellStyle name="20% - akcent 5 2 16" xfId="1739"/>
    <cellStyle name="20% - akcent 5 2 16 2" xfId="1740"/>
    <cellStyle name="20% - akcent 5 2 16 3" xfId="1741"/>
    <cellStyle name="20% - akcent 5 2 16 4" xfId="1742"/>
    <cellStyle name="20% - akcent 5 2 16 5" xfId="1743"/>
    <cellStyle name="20% - akcent 5 2 16 6" xfId="1744"/>
    <cellStyle name="20% - akcent 5 2 17" xfId="1745"/>
    <cellStyle name="20% - akcent 5 2 17 2" xfId="1746"/>
    <cellStyle name="20% - akcent 5 2 17 3" xfId="1747"/>
    <cellStyle name="20% - akcent 5 2 17 4" xfId="1748"/>
    <cellStyle name="20% - akcent 5 2 17 5" xfId="1749"/>
    <cellStyle name="20% - akcent 5 2 17 6" xfId="1750"/>
    <cellStyle name="20% - akcent 5 2 18" xfId="1751"/>
    <cellStyle name="20% - akcent 5 2 18 2" xfId="1752"/>
    <cellStyle name="20% - akcent 5 2 18 3" xfId="1753"/>
    <cellStyle name="20% - akcent 5 2 18 4" xfId="1754"/>
    <cellStyle name="20% - akcent 5 2 18 5" xfId="1755"/>
    <cellStyle name="20% - akcent 5 2 18 6" xfId="1756"/>
    <cellStyle name="20% - akcent 5 2 19" xfId="1757"/>
    <cellStyle name="20% - akcent 5 2 19 2" xfId="1758"/>
    <cellStyle name="20% - akcent 5 2 19 3" xfId="1759"/>
    <cellStyle name="20% - akcent 5 2 19 4" xfId="1760"/>
    <cellStyle name="20% - akcent 5 2 19 5" xfId="1761"/>
    <cellStyle name="20% - akcent 5 2 19 6" xfId="1762"/>
    <cellStyle name="20% - akcent 5 2 2" xfId="1763"/>
    <cellStyle name="20% - akcent 5 2 2 2" xfId="1764"/>
    <cellStyle name="20% - akcent 5 2 2 3" xfId="1765"/>
    <cellStyle name="20% - akcent 5 2 2 4" xfId="1766"/>
    <cellStyle name="20% - akcent 5 2 2 5" xfId="1767"/>
    <cellStyle name="20% - akcent 5 2 2 6" xfId="1768"/>
    <cellStyle name="20% - akcent 5 2 2 7" xfId="1769"/>
    <cellStyle name="20% - akcent 5 2 20" xfId="1770"/>
    <cellStyle name="20% - akcent 5 2 20 2" xfId="1771"/>
    <cellStyle name="20% - akcent 5 2 20 3" xfId="1772"/>
    <cellStyle name="20% - akcent 5 2 20 4" xfId="1773"/>
    <cellStyle name="20% - akcent 5 2 20 5" xfId="1774"/>
    <cellStyle name="20% - akcent 5 2 20 6" xfId="1775"/>
    <cellStyle name="20% - akcent 5 2 21" xfId="1776"/>
    <cellStyle name="20% - akcent 5 2 21 2" xfId="1777"/>
    <cellStyle name="20% - akcent 5 2 21 3" xfId="1778"/>
    <cellStyle name="20% - akcent 5 2 21 4" xfId="1779"/>
    <cellStyle name="20% - akcent 5 2 21 5" xfId="1780"/>
    <cellStyle name="20% - akcent 5 2 21 6" xfId="1781"/>
    <cellStyle name="20% - akcent 5 2 22" xfId="1782"/>
    <cellStyle name="20% - akcent 5 2 22 2" xfId="1783"/>
    <cellStyle name="20% - akcent 5 2 22 3" xfId="1784"/>
    <cellStyle name="20% - akcent 5 2 22 4" xfId="1785"/>
    <cellStyle name="20% - akcent 5 2 22 5" xfId="1786"/>
    <cellStyle name="20% - akcent 5 2 22 6" xfId="1787"/>
    <cellStyle name="20% - akcent 5 2 23" xfId="1788"/>
    <cellStyle name="20% - akcent 5 2 23 2" xfId="1789"/>
    <cellStyle name="20% - akcent 5 2 23 3" xfId="1790"/>
    <cellStyle name="20% - akcent 5 2 23 4" xfId="1791"/>
    <cellStyle name="20% - akcent 5 2 23 5" xfId="1792"/>
    <cellStyle name="20% - akcent 5 2 23 6" xfId="1793"/>
    <cellStyle name="20% - akcent 5 2 24" xfId="1794"/>
    <cellStyle name="20% - akcent 5 2 24 2" xfId="1795"/>
    <cellStyle name="20% - akcent 5 2 24 3" xfId="1796"/>
    <cellStyle name="20% - akcent 5 2 24 4" xfId="1797"/>
    <cellStyle name="20% - akcent 5 2 24 5" xfId="1798"/>
    <cellStyle name="20% - akcent 5 2 24 6" xfId="1799"/>
    <cellStyle name="20% - akcent 5 2 25" xfId="1800"/>
    <cellStyle name="20% - akcent 5 2 25 2" xfId="1801"/>
    <cellStyle name="20% - akcent 5 2 25 3" xfId="1802"/>
    <cellStyle name="20% - akcent 5 2 25 4" xfId="1803"/>
    <cellStyle name="20% - akcent 5 2 25 5" xfId="1804"/>
    <cellStyle name="20% - akcent 5 2 25 6" xfId="1805"/>
    <cellStyle name="20% - akcent 5 2 26" xfId="1806"/>
    <cellStyle name="20% - akcent 5 2 26 2" xfId="1807"/>
    <cellStyle name="20% - akcent 5 2 26 3" xfId="1808"/>
    <cellStyle name="20% - akcent 5 2 26 4" xfId="1809"/>
    <cellStyle name="20% - akcent 5 2 26 5" xfId="1810"/>
    <cellStyle name="20% - akcent 5 2 26 6" xfId="1811"/>
    <cellStyle name="20% - akcent 5 2 27" xfId="1812"/>
    <cellStyle name="20% - akcent 5 2 27 2" xfId="1813"/>
    <cellStyle name="20% - akcent 5 2 27 3" xfId="1814"/>
    <cellStyle name="20% - akcent 5 2 27 4" xfId="1815"/>
    <cellStyle name="20% - akcent 5 2 27 5" xfId="1816"/>
    <cellStyle name="20% - akcent 5 2 27 6" xfId="1817"/>
    <cellStyle name="20% - akcent 5 2 28" xfId="1818"/>
    <cellStyle name="20% - akcent 5 2 28 2" xfId="1819"/>
    <cellStyle name="20% - akcent 5 2 28 3" xfId="1820"/>
    <cellStyle name="20% - akcent 5 2 28 4" xfId="1821"/>
    <cellStyle name="20% - akcent 5 2 28 5" xfId="1822"/>
    <cellStyle name="20% - akcent 5 2 28 6" xfId="1823"/>
    <cellStyle name="20% - akcent 5 2 29" xfId="1824"/>
    <cellStyle name="20% - akcent 5 2 29 2" xfId="1825"/>
    <cellStyle name="20% - akcent 5 2 3" xfId="1826"/>
    <cellStyle name="20% - akcent 5 2 3 2" xfId="1827"/>
    <cellStyle name="20% - akcent 5 2 3 3" xfId="1828"/>
    <cellStyle name="20% - akcent 5 2 3 4" xfId="1829"/>
    <cellStyle name="20% - akcent 5 2 3 5" xfId="1830"/>
    <cellStyle name="20% - akcent 5 2 3 6" xfId="1831"/>
    <cellStyle name="20% - akcent 5 2 3 7" xfId="1832"/>
    <cellStyle name="20% - akcent 5 2 30" xfId="1833"/>
    <cellStyle name="20% - akcent 5 2 30 2" xfId="1834"/>
    <cellStyle name="20% - akcent 5 2 31" xfId="1835"/>
    <cellStyle name="20% - akcent 5 2 31 2" xfId="1836"/>
    <cellStyle name="20% - akcent 5 2 32" xfId="1837"/>
    <cellStyle name="20% - akcent 5 2 32 2" xfId="1838"/>
    <cellStyle name="20% - akcent 5 2 33" xfId="1839"/>
    <cellStyle name="20% - akcent 5 2 34" xfId="1840"/>
    <cellStyle name="20% - akcent 5 2 35" xfId="1841"/>
    <cellStyle name="20% - akcent 5 2 36" xfId="1842"/>
    <cellStyle name="20% - akcent 5 2 37" xfId="1843"/>
    <cellStyle name="20% - akcent 5 2 38" xfId="1844"/>
    <cellStyle name="20% - akcent 5 2 39" xfId="1845"/>
    <cellStyle name="20% - akcent 5 2 4" xfId="1846"/>
    <cellStyle name="20% - akcent 5 2 4 2" xfId="1847"/>
    <cellStyle name="20% - akcent 5 2 4 3" xfId="1848"/>
    <cellStyle name="20% - akcent 5 2 4 4" xfId="1849"/>
    <cellStyle name="20% - akcent 5 2 4 5" xfId="1850"/>
    <cellStyle name="20% - akcent 5 2 4 6" xfId="1851"/>
    <cellStyle name="20% - akcent 5 2 4 7" xfId="1852"/>
    <cellStyle name="20% - akcent 5 2 40" xfId="1853"/>
    <cellStyle name="20% - akcent 5 2 41" xfId="1854"/>
    <cellStyle name="20% - akcent 5 2 42" xfId="1855"/>
    <cellStyle name="20% - akcent 5 2 43" xfId="1856"/>
    <cellStyle name="20% - akcent 5 2 44" xfId="1857"/>
    <cellStyle name="20% - akcent 5 2 45" xfId="1858"/>
    <cellStyle name="20% - akcent 5 2 46" xfId="1859"/>
    <cellStyle name="20% - akcent 5 2 47" xfId="1860"/>
    <cellStyle name="20% - akcent 5 2 48" xfId="1861"/>
    <cellStyle name="20% - akcent 5 2 49" xfId="1862"/>
    <cellStyle name="20% - akcent 5 2 5" xfId="1863"/>
    <cellStyle name="20% - akcent 5 2 5 2" xfId="1864"/>
    <cellStyle name="20% - akcent 5 2 5 3" xfId="1865"/>
    <cellStyle name="20% - akcent 5 2 5 4" xfId="1866"/>
    <cellStyle name="20% - akcent 5 2 5 5" xfId="1867"/>
    <cellStyle name="20% - akcent 5 2 5 6" xfId="1868"/>
    <cellStyle name="20% - akcent 5 2 50" xfId="1869"/>
    <cellStyle name="20% - akcent 5 2 51" xfId="1870"/>
    <cellStyle name="20% - akcent 5 2 6" xfId="1871"/>
    <cellStyle name="20% - akcent 5 2 6 2" xfId="1872"/>
    <cellStyle name="20% - akcent 5 2 6 3" xfId="1873"/>
    <cellStyle name="20% - akcent 5 2 6 4" xfId="1874"/>
    <cellStyle name="20% - akcent 5 2 6 5" xfId="1875"/>
    <cellStyle name="20% - akcent 5 2 6 6" xfId="1876"/>
    <cellStyle name="20% - akcent 5 2 7" xfId="1877"/>
    <cellStyle name="20% - akcent 5 2 7 2" xfId="1878"/>
    <cellStyle name="20% - akcent 5 2 7 3" xfId="1879"/>
    <cellStyle name="20% - akcent 5 2 7 4" xfId="1880"/>
    <cellStyle name="20% - akcent 5 2 7 5" xfId="1881"/>
    <cellStyle name="20% - akcent 5 2 7 6" xfId="1882"/>
    <cellStyle name="20% - akcent 5 2 8" xfId="1883"/>
    <cellStyle name="20% - akcent 5 2 8 2" xfId="1884"/>
    <cellStyle name="20% - akcent 5 2 8 3" xfId="1885"/>
    <cellStyle name="20% - akcent 5 2 8 4" xfId="1886"/>
    <cellStyle name="20% - akcent 5 2 8 5" xfId="1887"/>
    <cellStyle name="20% - akcent 5 2 8 6" xfId="1888"/>
    <cellStyle name="20% - akcent 5 2 9" xfId="1889"/>
    <cellStyle name="20% - akcent 5 2 9 2" xfId="1890"/>
    <cellStyle name="20% - akcent 5 2 9 3" xfId="1891"/>
    <cellStyle name="20% - akcent 5 2 9 4" xfId="1892"/>
    <cellStyle name="20% - akcent 5 2 9 5" xfId="1893"/>
    <cellStyle name="20% - akcent 5 2 9 6" xfId="1894"/>
    <cellStyle name="20% - akcent 5 20" xfId="1895"/>
    <cellStyle name="20% - akcent 5 21" xfId="1896"/>
    <cellStyle name="20% - akcent 5 22" xfId="1897"/>
    <cellStyle name="20% - akcent 5 23" xfId="1898"/>
    <cellStyle name="20% - akcent 5 24" xfId="1899"/>
    <cellStyle name="20% - akcent 5 25" xfId="1900"/>
    <cellStyle name="20% - akcent 5 26" xfId="1901"/>
    <cellStyle name="20% - akcent 5 27" xfId="1902"/>
    <cellStyle name="20% - akcent 5 28" xfId="1903"/>
    <cellStyle name="20% - akcent 5 29" xfId="1904"/>
    <cellStyle name="20% - akcent 5 3" xfId="1905"/>
    <cellStyle name="20% - akcent 5 3 2" xfId="1906"/>
    <cellStyle name="20% - akcent 5 3 2 2" xfId="1907"/>
    <cellStyle name="20% - akcent 5 3 3" xfId="1908"/>
    <cellStyle name="20% - akcent 5 3 3 2" xfId="1909"/>
    <cellStyle name="20% - akcent 5 3 4" xfId="1910"/>
    <cellStyle name="20% - akcent 5 3 4 2" xfId="1911"/>
    <cellStyle name="20% - akcent 5 3 5" xfId="1912"/>
    <cellStyle name="20% - akcent 5 3 6" xfId="1913"/>
    <cellStyle name="20% - akcent 5 3 7" xfId="1914"/>
    <cellStyle name="20% - akcent 5 3 8" xfId="1915"/>
    <cellStyle name="20% - akcent 5 30" xfId="1916"/>
    <cellStyle name="20% - akcent 5 30 2" xfId="1917"/>
    <cellStyle name="20% - akcent 5 31" xfId="1918"/>
    <cellStyle name="20% - akcent 5 31 2" xfId="1919"/>
    <cellStyle name="20% - akcent 5 32" xfId="1920"/>
    <cellStyle name="20% - akcent 5 32 2" xfId="1921"/>
    <cellStyle name="20% - akcent 5 33" xfId="1922"/>
    <cellStyle name="20% - akcent 5 33 2" xfId="1923"/>
    <cellStyle name="20% - akcent 5 34" xfId="1924"/>
    <cellStyle name="20% - akcent 5 34 2" xfId="1925"/>
    <cellStyle name="20% - akcent 5 35" xfId="1926"/>
    <cellStyle name="20% - akcent 5 35 2" xfId="1927"/>
    <cellStyle name="20% - akcent 5 36" xfId="1928"/>
    <cellStyle name="20% - akcent 5 36 2" xfId="1929"/>
    <cellStyle name="20% - akcent 5 37" xfId="1930"/>
    <cellStyle name="20% - akcent 5 37 2" xfId="1931"/>
    <cellStyle name="20% - akcent 5 38" xfId="1932"/>
    <cellStyle name="20% - akcent 5 38 2" xfId="1933"/>
    <cellStyle name="20% - akcent 5 39" xfId="1934"/>
    <cellStyle name="20% - akcent 5 39 2" xfId="1935"/>
    <cellStyle name="20% - akcent 5 4" xfId="1936"/>
    <cellStyle name="20% - akcent 5 4 2" xfId="1937"/>
    <cellStyle name="20% - akcent 5 4 2 2" xfId="1938"/>
    <cellStyle name="20% - akcent 5 4 3" xfId="1939"/>
    <cellStyle name="20% - akcent 5 4 3 2" xfId="1940"/>
    <cellStyle name="20% - akcent 5 4 4" xfId="1941"/>
    <cellStyle name="20% - akcent 5 4 4 2" xfId="1942"/>
    <cellStyle name="20% - akcent 5 4 5" xfId="1943"/>
    <cellStyle name="20% - akcent 5 4 6" xfId="1944"/>
    <cellStyle name="20% - akcent 5 4 7" xfId="1945"/>
    <cellStyle name="20% - akcent 5 4 8" xfId="1946"/>
    <cellStyle name="20% - akcent 5 40" xfId="1947"/>
    <cellStyle name="20% - akcent 5 40 2" xfId="1948"/>
    <cellStyle name="20% - akcent 5 41" xfId="1949"/>
    <cellStyle name="20% - akcent 5 41 2" xfId="1950"/>
    <cellStyle name="20% - akcent 5 42" xfId="1951"/>
    <cellStyle name="20% - akcent 5 42 2" xfId="1952"/>
    <cellStyle name="20% - akcent 5 43" xfId="1953"/>
    <cellStyle name="20% - akcent 5 43 2" xfId="1954"/>
    <cellStyle name="20% - akcent 5 44" xfId="1955"/>
    <cellStyle name="20% - akcent 5 44 2" xfId="1956"/>
    <cellStyle name="20% - akcent 5 45" xfId="1957"/>
    <cellStyle name="20% - akcent 5 45 2" xfId="1958"/>
    <cellStyle name="20% - akcent 5 46" xfId="1959"/>
    <cellStyle name="20% - akcent 5 46 2" xfId="1960"/>
    <cellStyle name="20% - akcent 5 47" xfId="1961"/>
    <cellStyle name="20% - akcent 5 47 2" xfId="1962"/>
    <cellStyle name="20% - akcent 5 48" xfId="1963"/>
    <cellStyle name="20% - akcent 5 48 2" xfId="1964"/>
    <cellStyle name="20% - akcent 5 49" xfId="1965"/>
    <cellStyle name="20% - akcent 5 49 2" xfId="1966"/>
    <cellStyle name="20% - akcent 5 5" xfId="1967"/>
    <cellStyle name="20% - akcent 5 5 2" xfId="1968"/>
    <cellStyle name="20% - akcent 5 5 3" xfId="1969"/>
    <cellStyle name="20% - akcent 5 50" xfId="1970"/>
    <cellStyle name="20% - akcent 5 50 2" xfId="1971"/>
    <cellStyle name="20% - akcent 5 51" xfId="1972"/>
    <cellStyle name="20% - akcent 5 51 2" xfId="1973"/>
    <cellStyle name="20% - akcent 5 52" xfId="1974"/>
    <cellStyle name="20% - akcent 5 52 2" xfId="1975"/>
    <cellStyle name="20% - akcent 5 53" xfId="1976"/>
    <cellStyle name="20% - akcent 5 53 2" xfId="1977"/>
    <cellStyle name="20% - akcent 5 54" xfId="1978"/>
    <cellStyle name="20% - akcent 5 54 2" xfId="1979"/>
    <cellStyle name="20% - akcent 5 55" xfId="1980"/>
    <cellStyle name="20% - akcent 5 55 2" xfId="1981"/>
    <cellStyle name="20% - akcent 5 56" xfId="1982"/>
    <cellStyle name="20% - akcent 5 56 2" xfId="1983"/>
    <cellStyle name="20% - akcent 5 57" xfId="1984"/>
    <cellStyle name="20% - akcent 5 57 2" xfId="1985"/>
    <cellStyle name="20% - akcent 5 58" xfId="1986"/>
    <cellStyle name="20% - akcent 5 58 2" xfId="1987"/>
    <cellStyle name="20% - akcent 5 59" xfId="1988"/>
    <cellStyle name="20% - akcent 5 59 2" xfId="1989"/>
    <cellStyle name="20% - akcent 5 6" xfId="1990"/>
    <cellStyle name="20% - akcent 5 60" xfId="1991"/>
    <cellStyle name="20% - akcent 5 60 2" xfId="1992"/>
    <cellStyle name="20% - akcent 5 61" xfId="1993"/>
    <cellStyle name="20% - akcent 5 61 2" xfId="1994"/>
    <cellStyle name="20% - akcent 5 62" xfId="1995"/>
    <cellStyle name="20% - akcent 5 62 2" xfId="1996"/>
    <cellStyle name="20% - akcent 5 63" xfId="1997"/>
    <cellStyle name="20% - akcent 5 63 2" xfId="1998"/>
    <cellStyle name="20% - akcent 5 64" xfId="1999"/>
    <cellStyle name="20% - akcent 5 64 2" xfId="2000"/>
    <cellStyle name="20% - akcent 5 65" xfId="2001"/>
    <cellStyle name="20% - akcent 5 65 2" xfId="2002"/>
    <cellStyle name="20% - akcent 5 66" xfId="2003"/>
    <cellStyle name="20% - akcent 5 66 2" xfId="2004"/>
    <cellStyle name="20% - akcent 5 67" xfId="2005"/>
    <cellStyle name="20% - akcent 5 67 2" xfId="2006"/>
    <cellStyle name="20% - akcent 5 68" xfId="2007"/>
    <cellStyle name="20% - akcent 5 68 2" xfId="2008"/>
    <cellStyle name="20% - akcent 5 69" xfId="2009"/>
    <cellStyle name="20% - akcent 5 69 2" xfId="2010"/>
    <cellStyle name="20% - akcent 5 7" xfId="2011"/>
    <cellStyle name="20% - akcent 5 70" xfId="2012"/>
    <cellStyle name="20% - akcent 5 70 2" xfId="2013"/>
    <cellStyle name="20% - akcent 5 71" xfId="2014"/>
    <cellStyle name="20% - akcent 5 71 2" xfId="2015"/>
    <cellStyle name="20% - akcent 5 72" xfId="2016"/>
    <cellStyle name="20% - akcent 5 72 2" xfId="2017"/>
    <cellStyle name="20% - akcent 5 73" xfId="2018"/>
    <cellStyle name="20% - akcent 5 73 2" xfId="2019"/>
    <cellStyle name="20% - akcent 5 74" xfId="2020"/>
    <cellStyle name="20% - akcent 5 74 2" xfId="2021"/>
    <cellStyle name="20% - akcent 5 75" xfId="2022"/>
    <cellStyle name="20% - akcent 5 75 2" xfId="2023"/>
    <cellStyle name="20% - akcent 5 76" xfId="2024"/>
    <cellStyle name="20% - akcent 5 76 2" xfId="2025"/>
    <cellStyle name="20% - akcent 5 77" xfId="2026"/>
    <cellStyle name="20% - akcent 5 77 2" xfId="2027"/>
    <cellStyle name="20% - akcent 5 78" xfId="2028"/>
    <cellStyle name="20% - akcent 5 78 2" xfId="2029"/>
    <cellStyle name="20% - akcent 5 79" xfId="2030"/>
    <cellStyle name="20% - akcent 5 79 2" xfId="2031"/>
    <cellStyle name="20% - akcent 5 8" xfId="2032"/>
    <cellStyle name="20% - akcent 5 80" xfId="2033"/>
    <cellStyle name="20% - akcent 5 80 2" xfId="2034"/>
    <cellStyle name="20% - akcent 5 81" xfId="2035"/>
    <cellStyle name="20% - akcent 5 81 2" xfId="2036"/>
    <cellStyle name="20% - akcent 5 82" xfId="2037"/>
    <cellStyle name="20% - akcent 5 82 2" xfId="2038"/>
    <cellStyle name="20% - akcent 5 83" xfId="2039"/>
    <cellStyle name="20% - akcent 5 83 2" xfId="2040"/>
    <cellStyle name="20% - akcent 5 84" xfId="2041"/>
    <cellStyle name="20% - akcent 5 84 2" xfId="2042"/>
    <cellStyle name="20% - akcent 5 85" xfId="2043"/>
    <cellStyle name="20% - akcent 5 85 2" xfId="2044"/>
    <cellStyle name="20% - akcent 5 86" xfId="2045"/>
    <cellStyle name="20% - akcent 5 86 2" xfId="2046"/>
    <cellStyle name="20% - akcent 5 87" xfId="2047"/>
    <cellStyle name="20% - akcent 5 87 2" xfId="2048"/>
    <cellStyle name="20% - akcent 5 88" xfId="2049"/>
    <cellStyle name="20% - akcent 5 88 2" xfId="2050"/>
    <cellStyle name="20% - akcent 5 89" xfId="2051"/>
    <cellStyle name="20% - akcent 5 89 2" xfId="2052"/>
    <cellStyle name="20% - akcent 5 9" xfId="2053"/>
    <cellStyle name="20% - akcent 5 90" xfId="2054"/>
    <cellStyle name="20% - akcent 5 90 2" xfId="2055"/>
    <cellStyle name="20% - akcent 5 91" xfId="2056"/>
    <cellStyle name="20% - akcent 5 91 2" xfId="2057"/>
    <cellStyle name="20% - akcent 5 92" xfId="2058"/>
    <cellStyle name="20% - akcent 5 92 2" xfId="2059"/>
    <cellStyle name="20% - akcent 5 93" xfId="2060"/>
    <cellStyle name="20% - akcent 5 93 2" xfId="2061"/>
    <cellStyle name="20% - akcent 5 94" xfId="2062"/>
    <cellStyle name="20% - akcent 5 94 2" xfId="2063"/>
    <cellStyle name="20% - akcent 5 95" xfId="2064"/>
    <cellStyle name="20% - akcent 5 95 2" xfId="2065"/>
    <cellStyle name="20% - akcent 5 96" xfId="2066"/>
    <cellStyle name="20% - akcent 5 96 2" xfId="2067"/>
    <cellStyle name="20% - akcent 5 97" xfId="2068"/>
    <cellStyle name="20% - akcent 5 97 2" xfId="2069"/>
    <cellStyle name="20% - akcent 5 98" xfId="2070"/>
    <cellStyle name="20% - akcent 5 98 2" xfId="2071"/>
    <cellStyle name="20% - akcent 5 99" xfId="2072"/>
    <cellStyle name="20% - akcent 5 99 2" xfId="2073"/>
    <cellStyle name="20% - akcent 6 10" xfId="2074"/>
    <cellStyle name="20% - akcent 6 100" xfId="2075"/>
    <cellStyle name="20% - akcent 6 100 2" xfId="2076"/>
    <cellStyle name="20% - akcent 6 101" xfId="2077"/>
    <cellStyle name="20% - akcent 6 101 2" xfId="2078"/>
    <cellStyle name="20% - akcent 6 102" xfId="2079"/>
    <cellStyle name="20% - akcent 6 102 2" xfId="2080"/>
    <cellStyle name="20% - akcent 6 103" xfId="2081"/>
    <cellStyle name="20% - akcent 6 103 2" xfId="2082"/>
    <cellStyle name="20% - akcent 6 104" xfId="2083"/>
    <cellStyle name="20% - akcent 6 104 2" xfId="2084"/>
    <cellStyle name="20% - akcent 6 105" xfId="2085"/>
    <cellStyle name="20% - akcent 6 105 2" xfId="2086"/>
    <cellStyle name="20% - akcent 6 106" xfId="2087"/>
    <cellStyle name="20% - akcent 6 106 2" xfId="2088"/>
    <cellStyle name="20% - akcent 6 107" xfId="2089"/>
    <cellStyle name="20% - akcent 6 107 2" xfId="2090"/>
    <cellStyle name="20% - akcent 6 108" xfId="2091"/>
    <cellStyle name="20% - akcent 6 108 2" xfId="2092"/>
    <cellStyle name="20% - akcent 6 109" xfId="2093"/>
    <cellStyle name="20% - akcent 6 109 2" xfId="2094"/>
    <cellStyle name="20% - akcent 6 11" xfId="2095"/>
    <cellStyle name="20% - akcent 6 110" xfId="2096"/>
    <cellStyle name="20% - akcent 6 110 2" xfId="2097"/>
    <cellStyle name="20% - akcent 6 111" xfId="2098"/>
    <cellStyle name="20% - akcent 6 111 2" xfId="2099"/>
    <cellStyle name="20% - akcent 6 112" xfId="2100"/>
    <cellStyle name="20% - akcent 6 112 2" xfId="2101"/>
    <cellStyle name="20% - akcent 6 113" xfId="2102"/>
    <cellStyle name="20% - akcent 6 113 2" xfId="2103"/>
    <cellStyle name="20% - akcent 6 114" xfId="2104"/>
    <cellStyle name="20% - akcent 6 114 2" xfId="2105"/>
    <cellStyle name="20% - akcent 6 115" xfId="2106"/>
    <cellStyle name="20% - akcent 6 115 2" xfId="2107"/>
    <cellStyle name="20% - akcent 6 116" xfId="2108"/>
    <cellStyle name="20% - akcent 6 116 2" xfId="2109"/>
    <cellStyle name="20% - akcent 6 117" xfId="2110"/>
    <cellStyle name="20% - akcent 6 117 2" xfId="2111"/>
    <cellStyle name="20% - akcent 6 118" xfId="2112"/>
    <cellStyle name="20% - akcent 6 118 2" xfId="2113"/>
    <cellStyle name="20% - akcent 6 119" xfId="2114"/>
    <cellStyle name="20% - akcent 6 119 2" xfId="2115"/>
    <cellStyle name="20% - akcent 6 12" xfId="2116"/>
    <cellStyle name="20% - akcent 6 120" xfId="2117"/>
    <cellStyle name="20% - akcent 6 121" xfId="2118"/>
    <cellStyle name="20% - akcent 6 13" xfId="2119"/>
    <cellStyle name="20% - akcent 6 14" xfId="2120"/>
    <cellStyle name="20% - akcent 6 15" xfId="2121"/>
    <cellStyle name="20% - akcent 6 16" xfId="2122"/>
    <cellStyle name="20% - akcent 6 17" xfId="2123"/>
    <cellStyle name="20% - akcent 6 18" xfId="2124"/>
    <cellStyle name="20% - akcent 6 19" xfId="2125"/>
    <cellStyle name="20% - akcent 6 2" xfId="2126"/>
    <cellStyle name="20% - akcent 6 2 10" xfId="2127"/>
    <cellStyle name="20% - akcent 6 2 10 2" xfId="2128"/>
    <cellStyle name="20% - akcent 6 2 10 3" xfId="2129"/>
    <cellStyle name="20% - akcent 6 2 10 4" xfId="2130"/>
    <cellStyle name="20% - akcent 6 2 10 5" xfId="2131"/>
    <cellStyle name="20% - akcent 6 2 10 6" xfId="2132"/>
    <cellStyle name="20% - akcent 6 2 11" xfId="2133"/>
    <cellStyle name="20% - akcent 6 2 11 2" xfId="2134"/>
    <cellStyle name="20% - akcent 6 2 11 3" xfId="2135"/>
    <cellStyle name="20% - akcent 6 2 11 4" xfId="2136"/>
    <cellStyle name="20% - akcent 6 2 11 5" xfId="2137"/>
    <cellStyle name="20% - akcent 6 2 11 6" xfId="2138"/>
    <cellStyle name="20% - akcent 6 2 12" xfId="2139"/>
    <cellStyle name="20% - akcent 6 2 12 2" xfId="2140"/>
    <cellStyle name="20% - akcent 6 2 12 3" xfId="2141"/>
    <cellStyle name="20% - akcent 6 2 12 4" xfId="2142"/>
    <cellStyle name="20% - akcent 6 2 12 5" xfId="2143"/>
    <cellStyle name="20% - akcent 6 2 12 6" xfId="2144"/>
    <cellStyle name="20% - akcent 6 2 13" xfId="2145"/>
    <cellStyle name="20% - akcent 6 2 13 2" xfId="2146"/>
    <cellStyle name="20% - akcent 6 2 13 3" xfId="2147"/>
    <cellStyle name="20% - akcent 6 2 13 4" xfId="2148"/>
    <cellStyle name="20% - akcent 6 2 13 5" xfId="2149"/>
    <cellStyle name="20% - akcent 6 2 13 6" xfId="2150"/>
    <cellStyle name="20% - akcent 6 2 14" xfId="2151"/>
    <cellStyle name="20% - akcent 6 2 14 2" xfId="2152"/>
    <cellStyle name="20% - akcent 6 2 14 3" xfId="2153"/>
    <cellStyle name="20% - akcent 6 2 14 4" xfId="2154"/>
    <cellStyle name="20% - akcent 6 2 14 5" xfId="2155"/>
    <cellStyle name="20% - akcent 6 2 14 6" xfId="2156"/>
    <cellStyle name="20% - akcent 6 2 15" xfId="2157"/>
    <cellStyle name="20% - akcent 6 2 15 2" xfId="2158"/>
    <cellStyle name="20% - akcent 6 2 15 3" xfId="2159"/>
    <cellStyle name="20% - akcent 6 2 15 4" xfId="2160"/>
    <cellStyle name="20% - akcent 6 2 15 5" xfId="2161"/>
    <cellStyle name="20% - akcent 6 2 15 6" xfId="2162"/>
    <cellStyle name="20% - akcent 6 2 16" xfId="2163"/>
    <cellStyle name="20% - akcent 6 2 16 2" xfId="2164"/>
    <cellStyle name="20% - akcent 6 2 16 3" xfId="2165"/>
    <cellStyle name="20% - akcent 6 2 16 4" xfId="2166"/>
    <cellStyle name="20% - akcent 6 2 16 5" xfId="2167"/>
    <cellStyle name="20% - akcent 6 2 16 6" xfId="2168"/>
    <cellStyle name="20% - akcent 6 2 17" xfId="2169"/>
    <cellStyle name="20% - akcent 6 2 17 2" xfId="2170"/>
    <cellStyle name="20% - akcent 6 2 17 3" xfId="2171"/>
    <cellStyle name="20% - akcent 6 2 17 4" xfId="2172"/>
    <cellStyle name="20% - akcent 6 2 17 5" xfId="2173"/>
    <cellStyle name="20% - akcent 6 2 17 6" xfId="2174"/>
    <cellStyle name="20% - akcent 6 2 18" xfId="2175"/>
    <cellStyle name="20% - akcent 6 2 18 2" xfId="2176"/>
    <cellStyle name="20% - akcent 6 2 18 3" xfId="2177"/>
    <cellStyle name="20% - akcent 6 2 18 4" xfId="2178"/>
    <cellStyle name="20% - akcent 6 2 18 5" xfId="2179"/>
    <cellStyle name="20% - akcent 6 2 18 6" xfId="2180"/>
    <cellStyle name="20% - akcent 6 2 19" xfId="2181"/>
    <cellStyle name="20% - akcent 6 2 19 2" xfId="2182"/>
    <cellStyle name="20% - akcent 6 2 19 3" xfId="2183"/>
    <cellStyle name="20% - akcent 6 2 19 4" xfId="2184"/>
    <cellStyle name="20% - akcent 6 2 19 5" xfId="2185"/>
    <cellStyle name="20% - akcent 6 2 19 6" xfId="2186"/>
    <cellStyle name="20% - akcent 6 2 2" xfId="2187"/>
    <cellStyle name="20% - akcent 6 2 2 2" xfId="2188"/>
    <cellStyle name="20% - akcent 6 2 2 3" xfId="2189"/>
    <cellStyle name="20% - akcent 6 2 2 4" xfId="2190"/>
    <cellStyle name="20% - akcent 6 2 2 5" xfId="2191"/>
    <cellStyle name="20% - akcent 6 2 2 6" xfId="2192"/>
    <cellStyle name="20% - akcent 6 2 2 7" xfId="2193"/>
    <cellStyle name="20% - akcent 6 2 20" xfId="2194"/>
    <cellStyle name="20% - akcent 6 2 20 2" xfId="2195"/>
    <cellStyle name="20% - akcent 6 2 20 3" xfId="2196"/>
    <cellStyle name="20% - akcent 6 2 20 4" xfId="2197"/>
    <cellStyle name="20% - akcent 6 2 20 5" xfId="2198"/>
    <cellStyle name="20% - akcent 6 2 20 6" xfId="2199"/>
    <cellStyle name="20% - akcent 6 2 21" xfId="2200"/>
    <cellStyle name="20% - akcent 6 2 21 2" xfId="2201"/>
    <cellStyle name="20% - akcent 6 2 21 3" xfId="2202"/>
    <cellStyle name="20% - akcent 6 2 21 4" xfId="2203"/>
    <cellStyle name="20% - akcent 6 2 21 5" xfId="2204"/>
    <cellStyle name="20% - akcent 6 2 21 6" xfId="2205"/>
    <cellStyle name="20% - akcent 6 2 22" xfId="2206"/>
    <cellStyle name="20% - akcent 6 2 22 2" xfId="2207"/>
    <cellStyle name="20% - akcent 6 2 22 3" xfId="2208"/>
    <cellStyle name="20% - akcent 6 2 22 4" xfId="2209"/>
    <cellStyle name="20% - akcent 6 2 22 5" xfId="2210"/>
    <cellStyle name="20% - akcent 6 2 22 6" xfId="2211"/>
    <cellStyle name="20% - akcent 6 2 23" xfId="2212"/>
    <cellStyle name="20% - akcent 6 2 23 2" xfId="2213"/>
    <cellStyle name="20% - akcent 6 2 23 3" xfId="2214"/>
    <cellStyle name="20% - akcent 6 2 23 4" xfId="2215"/>
    <cellStyle name="20% - akcent 6 2 23 5" xfId="2216"/>
    <cellStyle name="20% - akcent 6 2 23 6" xfId="2217"/>
    <cellStyle name="20% - akcent 6 2 24" xfId="2218"/>
    <cellStyle name="20% - akcent 6 2 24 2" xfId="2219"/>
    <cellStyle name="20% - akcent 6 2 24 3" xfId="2220"/>
    <cellStyle name="20% - akcent 6 2 24 4" xfId="2221"/>
    <cellStyle name="20% - akcent 6 2 24 5" xfId="2222"/>
    <cellStyle name="20% - akcent 6 2 24 6" xfId="2223"/>
    <cellStyle name="20% - akcent 6 2 25" xfId="2224"/>
    <cellStyle name="20% - akcent 6 2 25 2" xfId="2225"/>
    <cellStyle name="20% - akcent 6 2 25 3" xfId="2226"/>
    <cellStyle name="20% - akcent 6 2 25 4" xfId="2227"/>
    <cellStyle name="20% - akcent 6 2 25 5" xfId="2228"/>
    <cellStyle name="20% - akcent 6 2 25 6" xfId="2229"/>
    <cellStyle name="20% - akcent 6 2 26" xfId="2230"/>
    <cellStyle name="20% - akcent 6 2 26 2" xfId="2231"/>
    <cellStyle name="20% - akcent 6 2 26 3" xfId="2232"/>
    <cellStyle name="20% - akcent 6 2 26 4" xfId="2233"/>
    <cellStyle name="20% - akcent 6 2 26 5" xfId="2234"/>
    <cellStyle name="20% - akcent 6 2 26 6" xfId="2235"/>
    <cellStyle name="20% - akcent 6 2 27" xfId="2236"/>
    <cellStyle name="20% - akcent 6 2 27 2" xfId="2237"/>
    <cellStyle name="20% - akcent 6 2 27 3" xfId="2238"/>
    <cellStyle name="20% - akcent 6 2 27 4" xfId="2239"/>
    <cellStyle name="20% - akcent 6 2 27 5" xfId="2240"/>
    <cellStyle name="20% - akcent 6 2 27 6" xfId="2241"/>
    <cellStyle name="20% - akcent 6 2 28" xfId="2242"/>
    <cellStyle name="20% - akcent 6 2 28 2" xfId="2243"/>
    <cellStyle name="20% - akcent 6 2 28 3" xfId="2244"/>
    <cellStyle name="20% - akcent 6 2 28 4" xfId="2245"/>
    <cellStyle name="20% - akcent 6 2 28 5" xfId="2246"/>
    <cellStyle name="20% - akcent 6 2 28 6" xfId="2247"/>
    <cellStyle name="20% - akcent 6 2 29" xfId="2248"/>
    <cellStyle name="20% - akcent 6 2 29 2" xfId="2249"/>
    <cellStyle name="20% - akcent 6 2 3" xfId="2250"/>
    <cellStyle name="20% - akcent 6 2 3 2" xfId="2251"/>
    <cellStyle name="20% - akcent 6 2 3 3" xfId="2252"/>
    <cellStyle name="20% - akcent 6 2 3 4" xfId="2253"/>
    <cellStyle name="20% - akcent 6 2 3 5" xfId="2254"/>
    <cellStyle name="20% - akcent 6 2 3 6" xfId="2255"/>
    <cellStyle name="20% - akcent 6 2 3 7" xfId="2256"/>
    <cellStyle name="20% - akcent 6 2 30" xfId="2257"/>
    <cellStyle name="20% - akcent 6 2 30 2" xfId="2258"/>
    <cellStyle name="20% - akcent 6 2 31" xfId="2259"/>
    <cellStyle name="20% - akcent 6 2 31 2" xfId="2260"/>
    <cellStyle name="20% - akcent 6 2 32" xfId="2261"/>
    <cellStyle name="20% - akcent 6 2 32 2" xfId="2262"/>
    <cellStyle name="20% - akcent 6 2 33" xfId="2263"/>
    <cellStyle name="20% - akcent 6 2 34" xfId="2264"/>
    <cellStyle name="20% - akcent 6 2 35" xfId="2265"/>
    <cellStyle name="20% - akcent 6 2 36" xfId="2266"/>
    <cellStyle name="20% - akcent 6 2 37" xfId="2267"/>
    <cellStyle name="20% - akcent 6 2 38" xfId="2268"/>
    <cellStyle name="20% - akcent 6 2 39" xfId="2269"/>
    <cellStyle name="20% - akcent 6 2 4" xfId="2270"/>
    <cellStyle name="20% - akcent 6 2 4 2" xfId="2271"/>
    <cellStyle name="20% - akcent 6 2 4 3" xfId="2272"/>
    <cellStyle name="20% - akcent 6 2 4 4" xfId="2273"/>
    <cellStyle name="20% - akcent 6 2 4 5" xfId="2274"/>
    <cellStyle name="20% - akcent 6 2 4 6" xfId="2275"/>
    <cellStyle name="20% - akcent 6 2 4 7" xfId="2276"/>
    <cellStyle name="20% - akcent 6 2 40" xfId="2277"/>
    <cellStyle name="20% - akcent 6 2 41" xfId="2278"/>
    <cellStyle name="20% - akcent 6 2 42" xfId="2279"/>
    <cellStyle name="20% - akcent 6 2 43" xfId="2280"/>
    <cellStyle name="20% - akcent 6 2 44" xfId="2281"/>
    <cellStyle name="20% - akcent 6 2 45" xfId="2282"/>
    <cellStyle name="20% - akcent 6 2 46" xfId="2283"/>
    <cellStyle name="20% - akcent 6 2 47" xfId="2284"/>
    <cellStyle name="20% - akcent 6 2 48" xfId="2285"/>
    <cellStyle name="20% - akcent 6 2 49" xfId="2286"/>
    <cellStyle name="20% - akcent 6 2 5" xfId="2287"/>
    <cellStyle name="20% - akcent 6 2 5 2" xfId="2288"/>
    <cellStyle name="20% - akcent 6 2 5 3" xfId="2289"/>
    <cellStyle name="20% - akcent 6 2 5 4" xfId="2290"/>
    <cellStyle name="20% - akcent 6 2 5 5" xfId="2291"/>
    <cellStyle name="20% - akcent 6 2 5 6" xfId="2292"/>
    <cellStyle name="20% - akcent 6 2 50" xfId="2293"/>
    <cellStyle name="20% - akcent 6 2 51" xfId="2294"/>
    <cellStyle name="20% - akcent 6 2 6" xfId="2295"/>
    <cellStyle name="20% - akcent 6 2 6 2" xfId="2296"/>
    <cellStyle name="20% - akcent 6 2 6 3" xfId="2297"/>
    <cellStyle name="20% - akcent 6 2 6 4" xfId="2298"/>
    <cellStyle name="20% - akcent 6 2 6 5" xfId="2299"/>
    <cellStyle name="20% - akcent 6 2 6 6" xfId="2300"/>
    <cellStyle name="20% - akcent 6 2 7" xfId="2301"/>
    <cellStyle name="20% - akcent 6 2 7 2" xfId="2302"/>
    <cellStyle name="20% - akcent 6 2 7 3" xfId="2303"/>
    <cellStyle name="20% - akcent 6 2 7 4" xfId="2304"/>
    <cellStyle name="20% - akcent 6 2 7 5" xfId="2305"/>
    <cellStyle name="20% - akcent 6 2 7 6" xfId="2306"/>
    <cellStyle name="20% - akcent 6 2 8" xfId="2307"/>
    <cellStyle name="20% - akcent 6 2 8 2" xfId="2308"/>
    <cellStyle name="20% - akcent 6 2 8 3" xfId="2309"/>
    <cellStyle name="20% - akcent 6 2 8 4" xfId="2310"/>
    <cellStyle name="20% - akcent 6 2 8 5" xfId="2311"/>
    <cellStyle name="20% - akcent 6 2 8 6" xfId="2312"/>
    <cellStyle name="20% - akcent 6 2 9" xfId="2313"/>
    <cellStyle name="20% - akcent 6 2 9 2" xfId="2314"/>
    <cellStyle name="20% - akcent 6 2 9 3" xfId="2315"/>
    <cellStyle name="20% - akcent 6 2 9 4" xfId="2316"/>
    <cellStyle name="20% - akcent 6 2 9 5" xfId="2317"/>
    <cellStyle name="20% - akcent 6 2 9 6" xfId="2318"/>
    <cellStyle name="20% - akcent 6 20" xfId="2319"/>
    <cellStyle name="20% - akcent 6 21" xfId="2320"/>
    <cellStyle name="20% - akcent 6 22" xfId="2321"/>
    <cellStyle name="20% - akcent 6 23" xfId="2322"/>
    <cellStyle name="20% - akcent 6 24" xfId="2323"/>
    <cellStyle name="20% - akcent 6 25" xfId="2324"/>
    <cellStyle name="20% - akcent 6 26" xfId="2325"/>
    <cellStyle name="20% - akcent 6 27" xfId="2326"/>
    <cellStyle name="20% - akcent 6 28" xfId="2327"/>
    <cellStyle name="20% - akcent 6 29" xfId="2328"/>
    <cellStyle name="20% - akcent 6 3" xfId="2329"/>
    <cellStyle name="20% - akcent 6 3 2" xfId="2330"/>
    <cellStyle name="20% - akcent 6 3 2 2" xfId="2331"/>
    <cellStyle name="20% - akcent 6 3 3" xfId="2332"/>
    <cellStyle name="20% - akcent 6 3 3 2" xfId="2333"/>
    <cellStyle name="20% - akcent 6 3 4" xfId="2334"/>
    <cellStyle name="20% - akcent 6 3 4 2" xfId="2335"/>
    <cellStyle name="20% - akcent 6 3 5" xfId="2336"/>
    <cellStyle name="20% - akcent 6 3 6" xfId="2337"/>
    <cellStyle name="20% - akcent 6 3 7" xfId="2338"/>
    <cellStyle name="20% - akcent 6 3 8" xfId="2339"/>
    <cellStyle name="20% - akcent 6 30" xfId="2340"/>
    <cellStyle name="20% - akcent 6 30 2" xfId="2341"/>
    <cellStyle name="20% - akcent 6 31" xfId="2342"/>
    <cellStyle name="20% - akcent 6 31 2" xfId="2343"/>
    <cellStyle name="20% - akcent 6 32" xfId="2344"/>
    <cellStyle name="20% - akcent 6 32 2" xfId="2345"/>
    <cellStyle name="20% - akcent 6 33" xfId="2346"/>
    <cellStyle name="20% - akcent 6 33 2" xfId="2347"/>
    <cellStyle name="20% - akcent 6 34" xfId="2348"/>
    <cellStyle name="20% - akcent 6 34 2" xfId="2349"/>
    <cellStyle name="20% - akcent 6 35" xfId="2350"/>
    <cellStyle name="20% - akcent 6 35 2" xfId="2351"/>
    <cellStyle name="20% - akcent 6 36" xfId="2352"/>
    <cellStyle name="20% - akcent 6 36 2" xfId="2353"/>
    <cellStyle name="20% - akcent 6 37" xfId="2354"/>
    <cellStyle name="20% - akcent 6 37 2" xfId="2355"/>
    <cellStyle name="20% - akcent 6 38" xfId="2356"/>
    <cellStyle name="20% - akcent 6 38 2" xfId="2357"/>
    <cellStyle name="20% - akcent 6 39" xfId="2358"/>
    <cellStyle name="20% - akcent 6 39 2" xfId="2359"/>
    <cellStyle name="20% - akcent 6 4" xfId="2360"/>
    <cellStyle name="20% - akcent 6 4 2" xfId="2361"/>
    <cellStyle name="20% - akcent 6 4 2 2" xfId="2362"/>
    <cellStyle name="20% - akcent 6 4 3" xfId="2363"/>
    <cellStyle name="20% - akcent 6 4 3 2" xfId="2364"/>
    <cellStyle name="20% - akcent 6 4 4" xfId="2365"/>
    <cellStyle name="20% - akcent 6 4 4 2" xfId="2366"/>
    <cellStyle name="20% - akcent 6 4 5" xfId="2367"/>
    <cellStyle name="20% - akcent 6 4 6" xfId="2368"/>
    <cellStyle name="20% - akcent 6 4 7" xfId="2369"/>
    <cellStyle name="20% - akcent 6 4 8" xfId="2370"/>
    <cellStyle name="20% - akcent 6 40" xfId="2371"/>
    <cellStyle name="20% - akcent 6 40 2" xfId="2372"/>
    <cellStyle name="20% - akcent 6 41" xfId="2373"/>
    <cellStyle name="20% - akcent 6 41 2" xfId="2374"/>
    <cellStyle name="20% - akcent 6 42" xfId="2375"/>
    <cellStyle name="20% - akcent 6 42 2" xfId="2376"/>
    <cellStyle name="20% - akcent 6 43" xfId="2377"/>
    <cellStyle name="20% - akcent 6 43 2" xfId="2378"/>
    <cellStyle name="20% - akcent 6 44" xfId="2379"/>
    <cellStyle name="20% - akcent 6 44 2" xfId="2380"/>
    <cellStyle name="20% - akcent 6 45" xfId="2381"/>
    <cellStyle name="20% - akcent 6 45 2" xfId="2382"/>
    <cellStyle name="20% - akcent 6 46" xfId="2383"/>
    <cellStyle name="20% - akcent 6 46 2" xfId="2384"/>
    <cellStyle name="20% - akcent 6 47" xfId="2385"/>
    <cellStyle name="20% - akcent 6 47 2" xfId="2386"/>
    <cellStyle name="20% - akcent 6 48" xfId="2387"/>
    <cellStyle name="20% - akcent 6 48 2" xfId="2388"/>
    <cellStyle name="20% - akcent 6 49" xfId="2389"/>
    <cellStyle name="20% - akcent 6 49 2" xfId="2390"/>
    <cellStyle name="20% - akcent 6 5" xfId="2391"/>
    <cellStyle name="20% - akcent 6 5 2" xfId="2392"/>
    <cellStyle name="20% - akcent 6 5 3" xfId="2393"/>
    <cellStyle name="20% - akcent 6 50" xfId="2394"/>
    <cellStyle name="20% - akcent 6 50 2" xfId="2395"/>
    <cellStyle name="20% - akcent 6 51" xfId="2396"/>
    <cellStyle name="20% - akcent 6 51 2" xfId="2397"/>
    <cellStyle name="20% - akcent 6 52" xfId="2398"/>
    <cellStyle name="20% - akcent 6 52 2" xfId="2399"/>
    <cellStyle name="20% - akcent 6 53" xfId="2400"/>
    <cellStyle name="20% - akcent 6 53 2" xfId="2401"/>
    <cellStyle name="20% - akcent 6 54" xfId="2402"/>
    <cellStyle name="20% - akcent 6 54 2" xfId="2403"/>
    <cellStyle name="20% - akcent 6 55" xfId="2404"/>
    <cellStyle name="20% - akcent 6 55 2" xfId="2405"/>
    <cellStyle name="20% - akcent 6 56" xfId="2406"/>
    <cellStyle name="20% - akcent 6 56 2" xfId="2407"/>
    <cellStyle name="20% - akcent 6 57" xfId="2408"/>
    <cellStyle name="20% - akcent 6 57 2" xfId="2409"/>
    <cellStyle name="20% - akcent 6 58" xfId="2410"/>
    <cellStyle name="20% - akcent 6 58 2" xfId="2411"/>
    <cellStyle name="20% - akcent 6 59" xfId="2412"/>
    <cellStyle name="20% - akcent 6 59 2" xfId="2413"/>
    <cellStyle name="20% - akcent 6 6" xfId="2414"/>
    <cellStyle name="20% - akcent 6 60" xfId="2415"/>
    <cellStyle name="20% - akcent 6 60 2" xfId="2416"/>
    <cellStyle name="20% - akcent 6 61" xfId="2417"/>
    <cellStyle name="20% - akcent 6 61 2" xfId="2418"/>
    <cellStyle name="20% - akcent 6 62" xfId="2419"/>
    <cellStyle name="20% - akcent 6 62 2" xfId="2420"/>
    <cellStyle name="20% - akcent 6 63" xfId="2421"/>
    <cellStyle name="20% - akcent 6 63 2" xfId="2422"/>
    <cellStyle name="20% - akcent 6 64" xfId="2423"/>
    <cellStyle name="20% - akcent 6 64 2" xfId="2424"/>
    <cellStyle name="20% - akcent 6 65" xfId="2425"/>
    <cellStyle name="20% - akcent 6 65 2" xfId="2426"/>
    <cellStyle name="20% - akcent 6 66" xfId="2427"/>
    <cellStyle name="20% - akcent 6 66 2" xfId="2428"/>
    <cellStyle name="20% - akcent 6 67" xfId="2429"/>
    <cellStyle name="20% - akcent 6 67 2" xfId="2430"/>
    <cellStyle name="20% - akcent 6 68" xfId="2431"/>
    <cellStyle name="20% - akcent 6 68 2" xfId="2432"/>
    <cellStyle name="20% - akcent 6 69" xfId="2433"/>
    <cellStyle name="20% - akcent 6 69 2" xfId="2434"/>
    <cellStyle name="20% - akcent 6 7" xfId="2435"/>
    <cellStyle name="20% - akcent 6 70" xfId="2436"/>
    <cellStyle name="20% - akcent 6 70 2" xfId="2437"/>
    <cellStyle name="20% - akcent 6 71" xfId="2438"/>
    <cellStyle name="20% - akcent 6 71 2" xfId="2439"/>
    <cellStyle name="20% - akcent 6 72" xfId="2440"/>
    <cellStyle name="20% - akcent 6 72 2" xfId="2441"/>
    <cellStyle name="20% - akcent 6 73" xfId="2442"/>
    <cellStyle name="20% - akcent 6 73 2" xfId="2443"/>
    <cellStyle name="20% - akcent 6 74" xfId="2444"/>
    <cellStyle name="20% - akcent 6 74 2" xfId="2445"/>
    <cellStyle name="20% - akcent 6 75" xfId="2446"/>
    <cellStyle name="20% - akcent 6 75 2" xfId="2447"/>
    <cellStyle name="20% - akcent 6 76" xfId="2448"/>
    <cellStyle name="20% - akcent 6 76 2" xfId="2449"/>
    <cellStyle name="20% - akcent 6 77" xfId="2450"/>
    <cellStyle name="20% - akcent 6 77 2" xfId="2451"/>
    <cellStyle name="20% - akcent 6 78" xfId="2452"/>
    <cellStyle name="20% - akcent 6 78 2" xfId="2453"/>
    <cellStyle name="20% - akcent 6 79" xfId="2454"/>
    <cellStyle name="20% - akcent 6 79 2" xfId="2455"/>
    <cellStyle name="20% - akcent 6 8" xfId="2456"/>
    <cellStyle name="20% - akcent 6 80" xfId="2457"/>
    <cellStyle name="20% - akcent 6 80 2" xfId="2458"/>
    <cellStyle name="20% - akcent 6 81" xfId="2459"/>
    <cellStyle name="20% - akcent 6 81 2" xfId="2460"/>
    <cellStyle name="20% - akcent 6 82" xfId="2461"/>
    <cellStyle name="20% - akcent 6 82 2" xfId="2462"/>
    <cellStyle name="20% - akcent 6 83" xfId="2463"/>
    <cellStyle name="20% - akcent 6 83 2" xfId="2464"/>
    <cellStyle name="20% - akcent 6 84" xfId="2465"/>
    <cellStyle name="20% - akcent 6 84 2" xfId="2466"/>
    <cellStyle name="20% - akcent 6 85" xfId="2467"/>
    <cellStyle name="20% - akcent 6 85 2" xfId="2468"/>
    <cellStyle name="20% - akcent 6 86" xfId="2469"/>
    <cellStyle name="20% - akcent 6 86 2" xfId="2470"/>
    <cellStyle name="20% - akcent 6 87" xfId="2471"/>
    <cellStyle name="20% - akcent 6 87 2" xfId="2472"/>
    <cellStyle name="20% - akcent 6 88" xfId="2473"/>
    <cellStyle name="20% - akcent 6 88 2" xfId="2474"/>
    <cellStyle name="20% - akcent 6 89" xfId="2475"/>
    <cellStyle name="20% - akcent 6 89 2" xfId="2476"/>
    <cellStyle name="20% - akcent 6 9" xfId="2477"/>
    <cellStyle name="20% - akcent 6 90" xfId="2478"/>
    <cellStyle name="20% - akcent 6 90 2" xfId="2479"/>
    <cellStyle name="20% - akcent 6 91" xfId="2480"/>
    <cellStyle name="20% - akcent 6 91 2" xfId="2481"/>
    <cellStyle name="20% - akcent 6 92" xfId="2482"/>
    <cellStyle name="20% - akcent 6 92 2" xfId="2483"/>
    <cellStyle name="20% - akcent 6 93" xfId="2484"/>
    <cellStyle name="20% - akcent 6 93 2" xfId="2485"/>
    <cellStyle name="20% - akcent 6 94" xfId="2486"/>
    <cellStyle name="20% - akcent 6 94 2" xfId="2487"/>
    <cellStyle name="20% - akcent 6 95" xfId="2488"/>
    <cellStyle name="20% - akcent 6 95 2" xfId="2489"/>
    <cellStyle name="20% - akcent 6 96" xfId="2490"/>
    <cellStyle name="20% - akcent 6 96 2" xfId="2491"/>
    <cellStyle name="20% - akcent 6 97" xfId="2492"/>
    <cellStyle name="20% - akcent 6 97 2" xfId="2493"/>
    <cellStyle name="20% - akcent 6 98" xfId="2494"/>
    <cellStyle name="20% - akcent 6 98 2" xfId="2495"/>
    <cellStyle name="20% - akcent 6 99" xfId="2496"/>
    <cellStyle name="20% - akcent 6 99 2" xfId="2497"/>
    <cellStyle name="40% - akcent 1 10" xfId="2498"/>
    <cellStyle name="40% - akcent 1 100" xfId="2499"/>
    <cellStyle name="40% - akcent 1 100 2" xfId="2500"/>
    <cellStyle name="40% - akcent 1 101" xfId="2501"/>
    <cellStyle name="40% - akcent 1 101 2" xfId="2502"/>
    <cellStyle name="40% - akcent 1 102" xfId="2503"/>
    <cellStyle name="40% - akcent 1 102 2" xfId="2504"/>
    <cellStyle name="40% - akcent 1 103" xfId="2505"/>
    <cellStyle name="40% - akcent 1 103 2" xfId="2506"/>
    <cellStyle name="40% - akcent 1 104" xfId="2507"/>
    <cellStyle name="40% - akcent 1 104 2" xfId="2508"/>
    <cellStyle name="40% - akcent 1 105" xfId="2509"/>
    <cellStyle name="40% - akcent 1 105 2" xfId="2510"/>
    <cellStyle name="40% - akcent 1 106" xfId="2511"/>
    <cellStyle name="40% - akcent 1 106 2" xfId="2512"/>
    <cellStyle name="40% - akcent 1 107" xfId="2513"/>
    <cellStyle name="40% - akcent 1 107 2" xfId="2514"/>
    <cellStyle name="40% - akcent 1 108" xfId="2515"/>
    <cellStyle name="40% - akcent 1 108 2" xfId="2516"/>
    <cellStyle name="40% - akcent 1 109" xfId="2517"/>
    <cellStyle name="40% - akcent 1 109 2" xfId="2518"/>
    <cellStyle name="40% - akcent 1 11" xfId="2519"/>
    <cellStyle name="40% - akcent 1 110" xfId="2520"/>
    <cellStyle name="40% - akcent 1 110 2" xfId="2521"/>
    <cellStyle name="40% - akcent 1 111" xfId="2522"/>
    <cellStyle name="40% - akcent 1 111 2" xfId="2523"/>
    <cellStyle name="40% - akcent 1 112" xfId="2524"/>
    <cellStyle name="40% - akcent 1 112 2" xfId="2525"/>
    <cellStyle name="40% - akcent 1 113" xfId="2526"/>
    <cellStyle name="40% - akcent 1 113 2" xfId="2527"/>
    <cellStyle name="40% - akcent 1 114" xfId="2528"/>
    <cellStyle name="40% - akcent 1 114 2" xfId="2529"/>
    <cellStyle name="40% - akcent 1 115" xfId="2530"/>
    <cellStyle name="40% - akcent 1 115 2" xfId="2531"/>
    <cellStyle name="40% - akcent 1 116" xfId="2532"/>
    <cellStyle name="40% - akcent 1 116 2" xfId="2533"/>
    <cellStyle name="40% - akcent 1 117" xfId="2534"/>
    <cellStyle name="40% - akcent 1 117 2" xfId="2535"/>
    <cellStyle name="40% - akcent 1 118" xfId="2536"/>
    <cellStyle name="40% - akcent 1 118 2" xfId="2537"/>
    <cellStyle name="40% - akcent 1 119" xfId="2538"/>
    <cellStyle name="40% - akcent 1 119 2" xfId="2539"/>
    <cellStyle name="40% - akcent 1 12" xfId="2540"/>
    <cellStyle name="40% - akcent 1 120" xfId="2541"/>
    <cellStyle name="40% - akcent 1 121" xfId="2542"/>
    <cellStyle name="40% - akcent 1 13" xfId="2543"/>
    <cellStyle name="40% - akcent 1 14" xfId="2544"/>
    <cellStyle name="40% - akcent 1 15" xfId="2545"/>
    <cellStyle name="40% - akcent 1 16" xfId="2546"/>
    <cellStyle name="40% - akcent 1 17" xfId="2547"/>
    <cellStyle name="40% - akcent 1 18" xfId="2548"/>
    <cellStyle name="40% - akcent 1 19" xfId="2549"/>
    <cellStyle name="40% - akcent 1 2" xfId="2550"/>
    <cellStyle name="40% - akcent 1 2 10" xfId="2551"/>
    <cellStyle name="40% - akcent 1 2 10 2" xfId="2552"/>
    <cellStyle name="40% - akcent 1 2 10 3" xfId="2553"/>
    <cellStyle name="40% - akcent 1 2 10 4" xfId="2554"/>
    <cellStyle name="40% - akcent 1 2 10 5" xfId="2555"/>
    <cellStyle name="40% - akcent 1 2 10 6" xfId="2556"/>
    <cellStyle name="40% - akcent 1 2 11" xfId="2557"/>
    <cellStyle name="40% - akcent 1 2 11 2" xfId="2558"/>
    <cellStyle name="40% - akcent 1 2 11 3" xfId="2559"/>
    <cellStyle name="40% - akcent 1 2 11 4" xfId="2560"/>
    <cellStyle name="40% - akcent 1 2 11 5" xfId="2561"/>
    <cellStyle name="40% - akcent 1 2 11 6" xfId="2562"/>
    <cellStyle name="40% - akcent 1 2 12" xfId="2563"/>
    <cellStyle name="40% - akcent 1 2 12 2" xfId="2564"/>
    <cellStyle name="40% - akcent 1 2 12 3" xfId="2565"/>
    <cellStyle name="40% - akcent 1 2 12 4" xfId="2566"/>
    <cellStyle name="40% - akcent 1 2 12 5" xfId="2567"/>
    <cellStyle name="40% - akcent 1 2 12 6" xfId="2568"/>
    <cellStyle name="40% - akcent 1 2 13" xfId="2569"/>
    <cellStyle name="40% - akcent 1 2 13 2" xfId="2570"/>
    <cellStyle name="40% - akcent 1 2 13 3" xfId="2571"/>
    <cellStyle name="40% - akcent 1 2 13 4" xfId="2572"/>
    <cellStyle name="40% - akcent 1 2 13 5" xfId="2573"/>
    <cellStyle name="40% - akcent 1 2 13 6" xfId="2574"/>
    <cellStyle name="40% - akcent 1 2 14" xfId="2575"/>
    <cellStyle name="40% - akcent 1 2 14 2" xfId="2576"/>
    <cellStyle name="40% - akcent 1 2 14 3" xfId="2577"/>
    <cellStyle name="40% - akcent 1 2 14 4" xfId="2578"/>
    <cellStyle name="40% - akcent 1 2 14 5" xfId="2579"/>
    <cellStyle name="40% - akcent 1 2 14 6" xfId="2580"/>
    <cellStyle name="40% - akcent 1 2 15" xfId="2581"/>
    <cellStyle name="40% - akcent 1 2 15 2" xfId="2582"/>
    <cellStyle name="40% - akcent 1 2 15 3" xfId="2583"/>
    <cellStyle name="40% - akcent 1 2 15 4" xfId="2584"/>
    <cellStyle name="40% - akcent 1 2 15 5" xfId="2585"/>
    <cellStyle name="40% - akcent 1 2 15 6" xfId="2586"/>
    <cellStyle name="40% - akcent 1 2 16" xfId="2587"/>
    <cellStyle name="40% - akcent 1 2 16 2" xfId="2588"/>
    <cellStyle name="40% - akcent 1 2 16 3" xfId="2589"/>
    <cellStyle name="40% - akcent 1 2 16 4" xfId="2590"/>
    <cellStyle name="40% - akcent 1 2 16 5" xfId="2591"/>
    <cellStyle name="40% - akcent 1 2 16 6" xfId="2592"/>
    <cellStyle name="40% - akcent 1 2 17" xfId="2593"/>
    <cellStyle name="40% - akcent 1 2 17 2" xfId="2594"/>
    <cellStyle name="40% - akcent 1 2 17 3" xfId="2595"/>
    <cellStyle name="40% - akcent 1 2 17 4" xfId="2596"/>
    <cellStyle name="40% - akcent 1 2 17 5" xfId="2597"/>
    <cellStyle name="40% - akcent 1 2 17 6" xfId="2598"/>
    <cellStyle name="40% - akcent 1 2 18" xfId="2599"/>
    <cellStyle name="40% - akcent 1 2 18 2" xfId="2600"/>
    <cellStyle name="40% - akcent 1 2 18 3" xfId="2601"/>
    <cellStyle name="40% - akcent 1 2 18 4" xfId="2602"/>
    <cellStyle name="40% - akcent 1 2 18 5" xfId="2603"/>
    <cellStyle name="40% - akcent 1 2 18 6" xfId="2604"/>
    <cellStyle name="40% - akcent 1 2 19" xfId="2605"/>
    <cellStyle name="40% - akcent 1 2 19 2" xfId="2606"/>
    <cellStyle name="40% - akcent 1 2 19 3" xfId="2607"/>
    <cellStyle name="40% - akcent 1 2 19 4" xfId="2608"/>
    <cellStyle name="40% - akcent 1 2 19 5" xfId="2609"/>
    <cellStyle name="40% - akcent 1 2 19 6" xfId="2610"/>
    <cellStyle name="40% - akcent 1 2 2" xfId="2611"/>
    <cellStyle name="40% - akcent 1 2 2 2" xfId="2612"/>
    <cellStyle name="40% - akcent 1 2 2 3" xfId="2613"/>
    <cellStyle name="40% - akcent 1 2 2 4" xfId="2614"/>
    <cellStyle name="40% - akcent 1 2 2 5" xfId="2615"/>
    <cellStyle name="40% - akcent 1 2 2 6" xfId="2616"/>
    <cellStyle name="40% - akcent 1 2 2 7" xfId="2617"/>
    <cellStyle name="40% - akcent 1 2 20" xfId="2618"/>
    <cellStyle name="40% - akcent 1 2 20 2" xfId="2619"/>
    <cellStyle name="40% - akcent 1 2 20 3" xfId="2620"/>
    <cellStyle name="40% - akcent 1 2 20 4" xfId="2621"/>
    <cellStyle name="40% - akcent 1 2 20 5" xfId="2622"/>
    <cellStyle name="40% - akcent 1 2 20 6" xfId="2623"/>
    <cellStyle name="40% - akcent 1 2 21" xfId="2624"/>
    <cellStyle name="40% - akcent 1 2 21 2" xfId="2625"/>
    <cellStyle name="40% - akcent 1 2 21 3" xfId="2626"/>
    <cellStyle name="40% - akcent 1 2 21 4" xfId="2627"/>
    <cellStyle name="40% - akcent 1 2 21 5" xfId="2628"/>
    <cellStyle name="40% - akcent 1 2 21 6" xfId="2629"/>
    <cellStyle name="40% - akcent 1 2 22" xfId="2630"/>
    <cellStyle name="40% - akcent 1 2 22 2" xfId="2631"/>
    <cellStyle name="40% - akcent 1 2 22 3" xfId="2632"/>
    <cellStyle name="40% - akcent 1 2 22 4" xfId="2633"/>
    <cellStyle name="40% - akcent 1 2 22 5" xfId="2634"/>
    <cellStyle name="40% - akcent 1 2 22 6" xfId="2635"/>
    <cellStyle name="40% - akcent 1 2 23" xfId="2636"/>
    <cellStyle name="40% - akcent 1 2 23 2" xfId="2637"/>
    <cellStyle name="40% - akcent 1 2 23 3" xfId="2638"/>
    <cellStyle name="40% - akcent 1 2 23 4" xfId="2639"/>
    <cellStyle name="40% - akcent 1 2 23 5" xfId="2640"/>
    <cellStyle name="40% - akcent 1 2 23 6" xfId="2641"/>
    <cellStyle name="40% - akcent 1 2 24" xfId="2642"/>
    <cellStyle name="40% - akcent 1 2 24 2" xfId="2643"/>
    <cellStyle name="40% - akcent 1 2 24 3" xfId="2644"/>
    <cellStyle name="40% - akcent 1 2 24 4" xfId="2645"/>
    <cellStyle name="40% - akcent 1 2 24 5" xfId="2646"/>
    <cellStyle name="40% - akcent 1 2 24 6" xfId="2647"/>
    <cellStyle name="40% - akcent 1 2 25" xfId="2648"/>
    <cellStyle name="40% - akcent 1 2 25 2" xfId="2649"/>
    <cellStyle name="40% - akcent 1 2 25 3" xfId="2650"/>
    <cellStyle name="40% - akcent 1 2 25 4" xfId="2651"/>
    <cellStyle name="40% - akcent 1 2 25 5" xfId="2652"/>
    <cellStyle name="40% - akcent 1 2 25 6" xfId="2653"/>
    <cellStyle name="40% - akcent 1 2 26" xfId="2654"/>
    <cellStyle name="40% - akcent 1 2 26 2" xfId="2655"/>
    <cellStyle name="40% - akcent 1 2 26 3" xfId="2656"/>
    <cellStyle name="40% - akcent 1 2 26 4" xfId="2657"/>
    <cellStyle name="40% - akcent 1 2 26 5" xfId="2658"/>
    <cellStyle name="40% - akcent 1 2 26 6" xfId="2659"/>
    <cellStyle name="40% - akcent 1 2 27" xfId="2660"/>
    <cellStyle name="40% - akcent 1 2 27 2" xfId="2661"/>
    <cellStyle name="40% - akcent 1 2 27 3" xfId="2662"/>
    <cellStyle name="40% - akcent 1 2 27 4" xfId="2663"/>
    <cellStyle name="40% - akcent 1 2 27 5" xfId="2664"/>
    <cellStyle name="40% - akcent 1 2 27 6" xfId="2665"/>
    <cellStyle name="40% - akcent 1 2 28" xfId="2666"/>
    <cellStyle name="40% - akcent 1 2 28 2" xfId="2667"/>
    <cellStyle name="40% - akcent 1 2 28 3" xfId="2668"/>
    <cellStyle name="40% - akcent 1 2 28 4" xfId="2669"/>
    <cellStyle name="40% - akcent 1 2 28 5" xfId="2670"/>
    <cellStyle name="40% - akcent 1 2 28 6" xfId="2671"/>
    <cellStyle name="40% - akcent 1 2 29" xfId="2672"/>
    <cellStyle name="40% - akcent 1 2 29 2" xfId="2673"/>
    <cellStyle name="40% - akcent 1 2 3" xfId="2674"/>
    <cellStyle name="40% - akcent 1 2 3 2" xfId="2675"/>
    <cellStyle name="40% - akcent 1 2 3 3" xfId="2676"/>
    <cellStyle name="40% - akcent 1 2 3 4" xfId="2677"/>
    <cellStyle name="40% - akcent 1 2 3 5" xfId="2678"/>
    <cellStyle name="40% - akcent 1 2 3 6" xfId="2679"/>
    <cellStyle name="40% - akcent 1 2 3 7" xfId="2680"/>
    <cellStyle name="40% - akcent 1 2 30" xfId="2681"/>
    <cellStyle name="40% - akcent 1 2 30 2" xfId="2682"/>
    <cellStyle name="40% - akcent 1 2 31" xfId="2683"/>
    <cellStyle name="40% - akcent 1 2 31 2" xfId="2684"/>
    <cellStyle name="40% - akcent 1 2 32" xfId="2685"/>
    <cellStyle name="40% - akcent 1 2 32 2" xfId="2686"/>
    <cellStyle name="40% - akcent 1 2 33" xfId="2687"/>
    <cellStyle name="40% - akcent 1 2 34" xfId="2688"/>
    <cellStyle name="40% - akcent 1 2 35" xfId="2689"/>
    <cellStyle name="40% - akcent 1 2 36" xfId="2690"/>
    <cellStyle name="40% - akcent 1 2 37" xfId="2691"/>
    <cellStyle name="40% - akcent 1 2 38" xfId="2692"/>
    <cellStyle name="40% - akcent 1 2 39" xfId="2693"/>
    <cellStyle name="40% - akcent 1 2 4" xfId="2694"/>
    <cellStyle name="40% - akcent 1 2 4 2" xfId="2695"/>
    <cellStyle name="40% - akcent 1 2 4 3" xfId="2696"/>
    <cellStyle name="40% - akcent 1 2 4 4" xfId="2697"/>
    <cellStyle name="40% - akcent 1 2 4 5" xfId="2698"/>
    <cellStyle name="40% - akcent 1 2 4 6" xfId="2699"/>
    <cellStyle name="40% - akcent 1 2 4 7" xfId="2700"/>
    <cellStyle name="40% - akcent 1 2 40" xfId="2701"/>
    <cellStyle name="40% - akcent 1 2 41" xfId="2702"/>
    <cellStyle name="40% - akcent 1 2 42" xfId="2703"/>
    <cellStyle name="40% - akcent 1 2 43" xfId="2704"/>
    <cellStyle name="40% - akcent 1 2 44" xfId="2705"/>
    <cellStyle name="40% - akcent 1 2 45" xfId="2706"/>
    <cellStyle name="40% - akcent 1 2 46" xfId="2707"/>
    <cellStyle name="40% - akcent 1 2 47" xfId="2708"/>
    <cellStyle name="40% - akcent 1 2 48" xfId="2709"/>
    <cellStyle name="40% - akcent 1 2 49" xfId="2710"/>
    <cellStyle name="40% - akcent 1 2 5" xfId="2711"/>
    <cellStyle name="40% - akcent 1 2 5 2" xfId="2712"/>
    <cellStyle name="40% - akcent 1 2 5 3" xfId="2713"/>
    <cellStyle name="40% - akcent 1 2 5 4" xfId="2714"/>
    <cellStyle name="40% - akcent 1 2 5 5" xfId="2715"/>
    <cellStyle name="40% - akcent 1 2 5 6" xfId="2716"/>
    <cellStyle name="40% - akcent 1 2 50" xfId="2717"/>
    <cellStyle name="40% - akcent 1 2 51" xfId="2718"/>
    <cellStyle name="40% - akcent 1 2 6" xfId="2719"/>
    <cellStyle name="40% - akcent 1 2 6 2" xfId="2720"/>
    <cellStyle name="40% - akcent 1 2 6 3" xfId="2721"/>
    <cellStyle name="40% - akcent 1 2 6 4" xfId="2722"/>
    <cellStyle name="40% - akcent 1 2 6 5" xfId="2723"/>
    <cellStyle name="40% - akcent 1 2 6 6" xfId="2724"/>
    <cellStyle name="40% - akcent 1 2 7" xfId="2725"/>
    <cellStyle name="40% - akcent 1 2 7 2" xfId="2726"/>
    <cellStyle name="40% - akcent 1 2 7 3" xfId="2727"/>
    <cellStyle name="40% - akcent 1 2 7 4" xfId="2728"/>
    <cellStyle name="40% - akcent 1 2 7 5" xfId="2729"/>
    <cellStyle name="40% - akcent 1 2 7 6" xfId="2730"/>
    <cellStyle name="40% - akcent 1 2 8" xfId="2731"/>
    <cellStyle name="40% - akcent 1 2 8 2" xfId="2732"/>
    <cellStyle name="40% - akcent 1 2 8 3" xfId="2733"/>
    <cellStyle name="40% - akcent 1 2 8 4" xfId="2734"/>
    <cellStyle name="40% - akcent 1 2 8 5" xfId="2735"/>
    <cellStyle name="40% - akcent 1 2 8 6" xfId="2736"/>
    <cellStyle name="40% - akcent 1 2 9" xfId="2737"/>
    <cellStyle name="40% - akcent 1 2 9 2" xfId="2738"/>
    <cellStyle name="40% - akcent 1 2 9 3" xfId="2739"/>
    <cellStyle name="40% - akcent 1 2 9 4" xfId="2740"/>
    <cellStyle name="40% - akcent 1 2 9 5" xfId="2741"/>
    <cellStyle name="40% - akcent 1 2 9 6" xfId="2742"/>
    <cellStyle name="40% - akcent 1 20" xfId="2743"/>
    <cellStyle name="40% - akcent 1 21" xfId="2744"/>
    <cellStyle name="40% - akcent 1 22" xfId="2745"/>
    <cellStyle name="40% - akcent 1 23" xfId="2746"/>
    <cellStyle name="40% - akcent 1 24" xfId="2747"/>
    <cellStyle name="40% - akcent 1 25" xfId="2748"/>
    <cellStyle name="40% - akcent 1 26" xfId="2749"/>
    <cellStyle name="40% - akcent 1 27" xfId="2750"/>
    <cellStyle name="40% - akcent 1 28" xfId="2751"/>
    <cellStyle name="40% - akcent 1 29" xfId="2752"/>
    <cellStyle name="40% - akcent 1 3" xfId="2753"/>
    <cellStyle name="40% - akcent 1 3 2" xfId="2754"/>
    <cellStyle name="40% - akcent 1 3 2 2" xfId="2755"/>
    <cellStyle name="40% - akcent 1 3 3" xfId="2756"/>
    <cellStyle name="40% - akcent 1 3 3 2" xfId="2757"/>
    <cellStyle name="40% - akcent 1 3 4" xfId="2758"/>
    <cellStyle name="40% - akcent 1 3 4 2" xfId="2759"/>
    <cellStyle name="40% - akcent 1 3 5" xfId="2760"/>
    <cellStyle name="40% - akcent 1 3 6" xfId="2761"/>
    <cellStyle name="40% - akcent 1 3 7" xfId="2762"/>
    <cellStyle name="40% - akcent 1 3 8" xfId="2763"/>
    <cellStyle name="40% - akcent 1 30" xfId="2764"/>
    <cellStyle name="40% - akcent 1 30 2" xfId="2765"/>
    <cellStyle name="40% - akcent 1 31" xfId="2766"/>
    <cellStyle name="40% - akcent 1 31 2" xfId="2767"/>
    <cellStyle name="40% - akcent 1 32" xfId="2768"/>
    <cellStyle name="40% - akcent 1 32 2" xfId="2769"/>
    <cellStyle name="40% - akcent 1 33" xfId="2770"/>
    <cellStyle name="40% - akcent 1 33 2" xfId="2771"/>
    <cellStyle name="40% - akcent 1 34" xfId="2772"/>
    <cellStyle name="40% - akcent 1 34 2" xfId="2773"/>
    <cellStyle name="40% - akcent 1 35" xfId="2774"/>
    <cellStyle name="40% - akcent 1 35 2" xfId="2775"/>
    <cellStyle name="40% - akcent 1 36" xfId="2776"/>
    <cellStyle name="40% - akcent 1 36 2" xfId="2777"/>
    <cellStyle name="40% - akcent 1 37" xfId="2778"/>
    <cellStyle name="40% - akcent 1 37 2" xfId="2779"/>
    <cellStyle name="40% - akcent 1 38" xfId="2780"/>
    <cellStyle name="40% - akcent 1 38 2" xfId="2781"/>
    <cellStyle name="40% - akcent 1 39" xfId="2782"/>
    <cellStyle name="40% - akcent 1 39 2" xfId="2783"/>
    <cellStyle name="40% - akcent 1 4" xfId="2784"/>
    <cellStyle name="40% - akcent 1 4 2" xfId="2785"/>
    <cellStyle name="40% - akcent 1 4 2 2" xfId="2786"/>
    <cellStyle name="40% - akcent 1 4 3" xfId="2787"/>
    <cellStyle name="40% - akcent 1 4 3 2" xfId="2788"/>
    <cellStyle name="40% - akcent 1 4 4" xfId="2789"/>
    <cellStyle name="40% - akcent 1 4 4 2" xfId="2790"/>
    <cellStyle name="40% - akcent 1 4 5" xfId="2791"/>
    <cellStyle name="40% - akcent 1 4 6" xfId="2792"/>
    <cellStyle name="40% - akcent 1 4 7" xfId="2793"/>
    <cellStyle name="40% - akcent 1 4 8" xfId="2794"/>
    <cellStyle name="40% - akcent 1 40" xfId="2795"/>
    <cellStyle name="40% - akcent 1 40 2" xfId="2796"/>
    <cellStyle name="40% - akcent 1 41" xfId="2797"/>
    <cellStyle name="40% - akcent 1 41 2" xfId="2798"/>
    <cellStyle name="40% - akcent 1 42" xfId="2799"/>
    <cellStyle name="40% - akcent 1 42 2" xfId="2800"/>
    <cellStyle name="40% - akcent 1 43" xfId="2801"/>
    <cellStyle name="40% - akcent 1 43 2" xfId="2802"/>
    <cellStyle name="40% - akcent 1 44" xfId="2803"/>
    <cellStyle name="40% - akcent 1 44 2" xfId="2804"/>
    <cellStyle name="40% - akcent 1 45" xfId="2805"/>
    <cellStyle name="40% - akcent 1 45 2" xfId="2806"/>
    <cellStyle name="40% - akcent 1 46" xfId="2807"/>
    <cellStyle name="40% - akcent 1 46 2" xfId="2808"/>
    <cellStyle name="40% - akcent 1 47" xfId="2809"/>
    <cellStyle name="40% - akcent 1 47 2" xfId="2810"/>
    <cellStyle name="40% - akcent 1 48" xfId="2811"/>
    <cellStyle name="40% - akcent 1 48 2" xfId="2812"/>
    <cellStyle name="40% - akcent 1 49" xfId="2813"/>
    <cellStyle name="40% - akcent 1 49 2" xfId="2814"/>
    <cellStyle name="40% - akcent 1 5" xfId="2815"/>
    <cellStyle name="40% - akcent 1 5 2" xfId="2816"/>
    <cellStyle name="40% - akcent 1 5 3" xfId="2817"/>
    <cellStyle name="40% - akcent 1 50" xfId="2818"/>
    <cellStyle name="40% - akcent 1 50 2" xfId="2819"/>
    <cellStyle name="40% - akcent 1 51" xfId="2820"/>
    <cellStyle name="40% - akcent 1 51 2" xfId="2821"/>
    <cellStyle name="40% - akcent 1 52" xfId="2822"/>
    <cellStyle name="40% - akcent 1 52 2" xfId="2823"/>
    <cellStyle name="40% - akcent 1 53" xfId="2824"/>
    <cellStyle name="40% - akcent 1 53 2" xfId="2825"/>
    <cellStyle name="40% - akcent 1 54" xfId="2826"/>
    <cellStyle name="40% - akcent 1 54 2" xfId="2827"/>
    <cellStyle name="40% - akcent 1 55" xfId="2828"/>
    <cellStyle name="40% - akcent 1 55 2" xfId="2829"/>
    <cellStyle name="40% - akcent 1 56" xfId="2830"/>
    <cellStyle name="40% - akcent 1 56 2" xfId="2831"/>
    <cellStyle name="40% - akcent 1 57" xfId="2832"/>
    <cellStyle name="40% - akcent 1 57 2" xfId="2833"/>
    <cellStyle name="40% - akcent 1 58" xfId="2834"/>
    <cellStyle name="40% - akcent 1 58 2" xfId="2835"/>
    <cellStyle name="40% - akcent 1 59" xfId="2836"/>
    <cellStyle name="40% - akcent 1 59 2" xfId="2837"/>
    <cellStyle name="40% - akcent 1 6" xfId="2838"/>
    <cellStyle name="40% - akcent 1 60" xfId="2839"/>
    <cellStyle name="40% - akcent 1 60 2" xfId="2840"/>
    <cellStyle name="40% - akcent 1 61" xfId="2841"/>
    <cellStyle name="40% - akcent 1 61 2" xfId="2842"/>
    <cellStyle name="40% - akcent 1 62" xfId="2843"/>
    <cellStyle name="40% - akcent 1 62 2" xfId="2844"/>
    <cellStyle name="40% - akcent 1 63" xfId="2845"/>
    <cellStyle name="40% - akcent 1 63 2" xfId="2846"/>
    <cellStyle name="40% - akcent 1 64" xfId="2847"/>
    <cellStyle name="40% - akcent 1 64 2" xfId="2848"/>
    <cellStyle name="40% - akcent 1 65" xfId="2849"/>
    <cellStyle name="40% - akcent 1 65 2" xfId="2850"/>
    <cellStyle name="40% - akcent 1 66" xfId="2851"/>
    <cellStyle name="40% - akcent 1 66 2" xfId="2852"/>
    <cellStyle name="40% - akcent 1 67" xfId="2853"/>
    <cellStyle name="40% - akcent 1 67 2" xfId="2854"/>
    <cellStyle name="40% - akcent 1 68" xfId="2855"/>
    <cellStyle name="40% - akcent 1 68 2" xfId="2856"/>
    <cellStyle name="40% - akcent 1 69" xfId="2857"/>
    <cellStyle name="40% - akcent 1 69 2" xfId="2858"/>
    <cellStyle name="40% - akcent 1 7" xfId="2859"/>
    <cellStyle name="40% - akcent 1 70" xfId="2860"/>
    <cellStyle name="40% - akcent 1 70 2" xfId="2861"/>
    <cellStyle name="40% - akcent 1 71" xfId="2862"/>
    <cellStyle name="40% - akcent 1 71 2" xfId="2863"/>
    <cellStyle name="40% - akcent 1 72" xfId="2864"/>
    <cellStyle name="40% - akcent 1 72 2" xfId="2865"/>
    <cellStyle name="40% - akcent 1 73" xfId="2866"/>
    <cellStyle name="40% - akcent 1 73 2" xfId="2867"/>
    <cellStyle name="40% - akcent 1 74" xfId="2868"/>
    <cellStyle name="40% - akcent 1 74 2" xfId="2869"/>
    <cellStyle name="40% - akcent 1 75" xfId="2870"/>
    <cellStyle name="40% - akcent 1 75 2" xfId="2871"/>
    <cellStyle name="40% - akcent 1 76" xfId="2872"/>
    <cellStyle name="40% - akcent 1 76 2" xfId="2873"/>
    <cellStyle name="40% - akcent 1 77" xfId="2874"/>
    <cellStyle name="40% - akcent 1 77 2" xfId="2875"/>
    <cellStyle name="40% - akcent 1 78" xfId="2876"/>
    <cellStyle name="40% - akcent 1 78 2" xfId="2877"/>
    <cellStyle name="40% - akcent 1 79" xfId="2878"/>
    <cellStyle name="40% - akcent 1 79 2" xfId="2879"/>
    <cellStyle name="40% - akcent 1 8" xfId="2880"/>
    <cellStyle name="40% - akcent 1 80" xfId="2881"/>
    <cellStyle name="40% - akcent 1 80 2" xfId="2882"/>
    <cellStyle name="40% - akcent 1 81" xfId="2883"/>
    <cellStyle name="40% - akcent 1 81 2" xfId="2884"/>
    <cellStyle name="40% - akcent 1 82" xfId="2885"/>
    <cellStyle name="40% - akcent 1 82 2" xfId="2886"/>
    <cellStyle name="40% - akcent 1 83" xfId="2887"/>
    <cellStyle name="40% - akcent 1 83 2" xfId="2888"/>
    <cellStyle name="40% - akcent 1 84" xfId="2889"/>
    <cellStyle name="40% - akcent 1 84 2" xfId="2890"/>
    <cellStyle name="40% - akcent 1 85" xfId="2891"/>
    <cellStyle name="40% - akcent 1 85 2" xfId="2892"/>
    <cellStyle name="40% - akcent 1 86" xfId="2893"/>
    <cellStyle name="40% - akcent 1 86 2" xfId="2894"/>
    <cellStyle name="40% - akcent 1 87" xfId="2895"/>
    <cellStyle name="40% - akcent 1 87 2" xfId="2896"/>
    <cellStyle name="40% - akcent 1 88" xfId="2897"/>
    <cellStyle name="40% - akcent 1 88 2" xfId="2898"/>
    <cellStyle name="40% - akcent 1 89" xfId="2899"/>
    <cellStyle name="40% - akcent 1 89 2" xfId="2900"/>
    <cellStyle name="40% - akcent 1 9" xfId="2901"/>
    <cellStyle name="40% - akcent 1 90" xfId="2902"/>
    <cellStyle name="40% - akcent 1 90 2" xfId="2903"/>
    <cellStyle name="40% - akcent 1 91" xfId="2904"/>
    <cellStyle name="40% - akcent 1 91 2" xfId="2905"/>
    <cellStyle name="40% - akcent 1 92" xfId="2906"/>
    <cellStyle name="40% - akcent 1 92 2" xfId="2907"/>
    <cellStyle name="40% - akcent 1 93" xfId="2908"/>
    <cellStyle name="40% - akcent 1 93 2" xfId="2909"/>
    <cellStyle name="40% - akcent 1 94" xfId="2910"/>
    <cellStyle name="40% - akcent 1 94 2" xfId="2911"/>
    <cellStyle name="40% - akcent 1 95" xfId="2912"/>
    <cellStyle name="40% - akcent 1 95 2" xfId="2913"/>
    <cellStyle name="40% - akcent 1 96" xfId="2914"/>
    <cellStyle name="40% - akcent 1 96 2" xfId="2915"/>
    <cellStyle name="40% - akcent 1 97" xfId="2916"/>
    <cellStyle name="40% - akcent 1 97 2" xfId="2917"/>
    <cellStyle name="40% - akcent 1 98" xfId="2918"/>
    <cellStyle name="40% - akcent 1 98 2" xfId="2919"/>
    <cellStyle name="40% - akcent 1 99" xfId="2920"/>
    <cellStyle name="40% - akcent 1 99 2" xfId="2921"/>
    <cellStyle name="40% - akcent 2 10" xfId="2922"/>
    <cellStyle name="40% - akcent 2 100" xfId="2923"/>
    <cellStyle name="40% - akcent 2 100 2" xfId="2924"/>
    <cellStyle name="40% - akcent 2 101" xfId="2925"/>
    <cellStyle name="40% - akcent 2 101 2" xfId="2926"/>
    <cellStyle name="40% - akcent 2 102" xfId="2927"/>
    <cellStyle name="40% - akcent 2 102 2" xfId="2928"/>
    <cellStyle name="40% - akcent 2 103" xfId="2929"/>
    <cellStyle name="40% - akcent 2 103 2" xfId="2930"/>
    <cellStyle name="40% - akcent 2 104" xfId="2931"/>
    <cellStyle name="40% - akcent 2 104 2" xfId="2932"/>
    <cellStyle name="40% - akcent 2 105" xfId="2933"/>
    <cellStyle name="40% - akcent 2 105 2" xfId="2934"/>
    <cellStyle name="40% - akcent 2 106" xfId="2935"/>
    <cellStyle name="40% - akcent 2 106 2" xfId="2936"/>
    <cellStyle name="40% - akcent 2 107" xfId="2937"/>
    <cellStyle name="40% - akcent 2 107 2" xfId="2938"/>
    <cellStyle name="40% - akcent 2 108" xfId="2939"/>
    <cellStyle name="40% - akcent 2 108 2" xfId="2940"/>
    <cellStyle name="40% - akcent 2 109" xfId="2941"/>
    <cellStyle name="40% - akcent 2 109 2" xfId="2942"/>
    <cellStyle name="40% - akcent 2 11" xfId="2943"/>
    <cellStyle name="40% - akcent 2 110" xfId="2944"/>
    <cellStyle name="40% - akcent 2 110 2" xfId="2945"/>
    <cellStyle name="40% - akcent 2 111" xfId="2946"/>
    <cellStyle name="40% - akcent 2 111 2" xfId="2947"/>
    <cellStyle name="40% - akcent 2 112" xfId="2948"/>
    <cellStyle name="40% - akcent 2 112 2" xfId="2949"/>
    <cellStyle name="40% - akcent 2 113" xfId="2950"/>
    <cellStyle name="40% - akcent 2 113 2" xfId="2951"/>
    <cellStyle name="40% - akcent 2 114" xfId="2952"/>
    <cellStyle name="40% - akcent 2 114 2" xfId="2953"/>
    <cellStyle name="40% - akcent 2 115" xfId="2954"/>
    <cellStyle name="40% - akcent 2 115 2" xfId="2955"/>
    <cellStyle name="40% - akcent 2 116" xfId="2956"/>
    <cellStyle name="40% - akcent 2 116 2" xfId="2957"/>
    <cellStyle name="40% - akcent 2 117" xfId="2958"/>
    <cellStyle name="40% - akcent 2 117 2" xfId="2959"/>
    <cellStyle name="40% - akcent 2 118" xfId="2960"/>
    <cellStyle name="40% - akcent 2 118 2" xfId="2961"/>
    <cellStyle name="40% - akcent 2 119" xfId="2962"/>
    <cellStyle name="40% - akcent 2 119 2" xfId="2963"/>
    <cellStyle name="40% - akcent 2 12" xfId="2964"/>
    <cellStyle name="40% - akcent 2 120" xfId="2965"/>
    <cellStyle name="40% - akcent 2 121" xfId="2966"/>
    <cellStyle name="40% - akcent 2 13" xfId="2967"/>
    <cellStyle name="40% - akcent 2 14" xfId="2968"/>
    <cellStyle name="40% - akcent 2 15" xfId="2969"/>
    <cellStyle name="40% - akcent 2 16" xfId="2970"/>
    <cellStyle name="40% - akcent 2 17" xfId="2971"/>
    <cellStyle name="40% - akcent 2 18" xfId="2972"/>
    <cellStyle name="40% - akcent 2 19" xfId="2973"/>
    <cellStyle name="40% - akcent 2 2" xfId="2974"/>
    <cellStyle name="40% - akcent 2 2 10" xfId="2975"/>
    <cellStyle name="40% - akcent 2 2 10 2" xfId="2976"/>
    <cellStyle name="40% - akcent 2 2 10 3" xfId="2977"/>
    <cellStyle name="40% - akcent 2 2 10 4" xfId="2978"/>
    <cellStyle name="40% - akcent 2 2 10 5" xfId="2979"/>
    <cellStyle name="40% - akcent 2 2 10 6" xfId="2980"/>
    <cellStyle name="40% - akcent 2 2 11" xfId="2981"/>
    <cellStyle name="40% - akcent 2 2 11 2" xfId="2982"/>
    <cellStyle name="40% - akcent 2 2 11 3" xfId="2983"/>
    <cellStyle name="40% - akcent 2 2 11 4" xfId="2984"/>
    <cellStyle name="40% - akcent 2 2 11 5" xfId="2985"/>
    <cellStyle name="40% - akcent 2 2 11 6" xfId="2986"/>
    <cellStyle name="40% - akcent 2 2 12" xfId="2987"/>
    <cellStyle name="40% - akcent 2 2 12 2" xfId="2988"/>
    <cellStyle name="40% - akcent 2 2 12 3" xfId="2989"/>
    <cellStyle name="40% - akcent 2 2 12 4" xfId="2990"/>
    <cellStyle name="40% - akcent 2 2 12 5" xfId="2991"/>
    <cellStyle name="40% - akcent 2 2 12 6" xfId="2992"/>
    <cellStyle name="40% - akcent 2 2 13" xfId="2993"/>
    <cellStyle name="40% - akcent 2 2 13 2" xfId="2994"/>
    <cellStyle name="40% - akcent 2 2 13 3" xfId="2995"/>
    <cellStyle name="40% - akcent 2 2 13 4" xfId="2996"/>
    <cellStyle name="40% - akcent 2 2 13 5" xfId="2997"/>
    <cellStyle name="40% - akcent 2 2 13 6" xfId="2998"/>
    <cellStyle name="40% - akcent 2 2 14" xfId="2999"/>
    <cellStyle name="40% - akcent 2 2 14 2" xfId="3000"/>
    <cellStyle name="40% - akcent 2 2 14 3" xfId="3001"/>
    <cellStyle name="40% - akcent 2 2 14 4" xfId="3002"/>
    <cellStyle name="40% - akcent 2 2 14 5" xfId="3003"/>
    <cellStyle name="40% - akcent 2 2 14 6" xfId="3004"/>
    <cellStyle name="40% - akcent 2 2 15" xfId="3005"/>
    <cellStyle name="40% - akcent 2 2 15 2" xfId="3006"/>
    <cellStyle name="40% - akcent 2 2 15 3" xfId="3007"/>
    <cellStyle name="40% - akcent 2 2 15 4" xfId="3008"/>
    <cellStyle name="40% - akcent 2 2 15 5" xfId="3009"/>
    <cellStyle name="40% - akcent 2 2 15 6" xfId="3010"/>
    <cellStyle name="40% - akcent 2 2 16" xfId="3011"/>
    <cellStyle name="40% - akcent 2 2 16 2" xfId="3012"/>
    <cellStyle name="40% - akcent 2 2 16 3" xfId="3013"/>
    <cellStyle name="40% - akcent 2 2 16 4" xfId="3014"/>
    <cellStyle name="40% - akcent 2 2 16 5" xfId="3015"/>
    <cellStyle name="40% - akcent 2 2 16 6" xfId="3016"/>
    <cellStyle name="40% - akcent 2 2 17" xfId="3017"/>
    <cellStyle name="40% - akcent 2 2 17 2" xfId="3018"/>
    <cellStyle name="40% - akcent 2 2 17 3" xfId="3019"/>
    <cellStyle name="40% - akcent 2 2 17 4" xfId="3020"/>
    <cellStyle name="40% - akcent 2 2 17 5" xfId="3021"/>
    <cellStyle name="40% - akcent 2 2 17 6" xfId="3022"/>
    <cellStyle name="40% - akcent 2 2 18" xfId="3023"/>
    <cellStyle name="40% - akcent 2 2 18 2" xfId="3024"/>
    <cellStyle name="40% - akcent 2 2 18 3" xfId="3025"/>
    <cellStyle name="40% - akcent 2 2 18 4" xfId="3026"/>
    <cellStyle name="40% - akcent 2 2 18 5" xfId="3027"/>
    <cellStyle name="40% - akcent 2 2 18 6" xfId="3028"/>
    <cellStyle name="40% - akcent 2 2 19" xfId="3029"/>
    <cellStyle name="40% - akcent 2 2 19 2" xfId="3030"/>
    <cellStyle name="40% - akcent 2 2 19 3" xfId="3031"/>
    <cellStyle name="40% - akcent 2 2 19 4" xfId="3032"/>
    <cellStyle name="40% - akcent 2 2 19 5" xfId="3033"/>
    <cellStyle name="40% - akcent 2 2 19 6" xfId="3034"/>
    <cellStyle name="40% - akcent 2 2 2" xfId="3035"/>
    <cellStyle name="40% - akcent 2 2 2 2" xfId="3036"/>
    <cellStyle name="40% - akcent 2 2 2 3" xfId="3037"/>
    <cellStyle name="40% - akcent 2 2 2 4" xfId="3038"/>
    <cellStyle name="40% - akcent 2 2 2 5" xfId="3039"/>
    <cellStyle name="40% - akcent 2 2 2 6" xfId="3040"/>
    <cellStyle name="40% - akcent 2 2 2 7" xfId="3041"/>
    <cellStyle name="40% - akcent 2 2 20" xfId="3042"/>
    <cellStyle name="40% - akcent 2 2 20 2" xfId="3043"/>
    <cellStyle name="40% - akcent 2 2 20 3" xfId="3044"/>
    <cellStyle name="40% - akcent 2 2 20 4" xfId="3045"/>
    <cellStyle name="40% - akcent 2 2 20 5" xfId="3046"/>
    <cellStyle name="40% - akcent 2 2 20 6" xfId="3047"/>
    <cellStyle name="40% - akcent 2 2 21" xfId="3048"/>
    <cellStyle name="40% - akcent 2 2 21 2" xfId="3049"/>
    <cellStyle name="40% - akcent 2 2 21 3" xfId="3050"/>
    <cellStyle name="40% - akcent 2 2 21 4" xfId="3051"/>
    <cellStyle name="40% - akcent 2 2 21 5" xfId="3052"/>
    <cellStyle name="40% - akcent 2 2 21 6" xfId="3053"/>
    <cellStyle name="40% - akcent 2 2 22" xfId="3054"/>
    <cellStyle name="40% - akcent 2 2 22 2" xfId="3055"/>
    <cellStyle name="40% - akcent 2 2 22 3" xfId="3056"/>
    <cellStyle name="40% - akcent 2 2 22 4" xfId="3057"/>
    <cellStyle name="40% - akcent 2 2 22 5" xfId="3058"/>
    <cellStyle name="40% - akcent 2 2 22 6" xfId="3059"/>
    <cellStyle name="40% - akcent 2 2 23" xfId="3060"/>
    <cellStyle name="40% - akcent 2 2 23 2" xfId="3061"/>
    <cellStyle name="40% - akcent 2 2 23 3" xfId="3062"/>
    <cellStyle name="40% - akcent 2 2 23 4" xfId="3063"/>
    <cellStyle name="40% - akcent 2 2 23 5" xfId="3064"/>
    <cellStyle name="40% - akcent 2 2 23 6" xfId="3065"/>
    <cellStyle name="40% - akcent 2 2 24" xfId="3066"/>
    <cellStyle name="40% - akcent 2 2 24 2" xfId="3067"/>
    <cellStyle name="40% - akcent 2 2 24 3" xfId="3068"/>
    <cellStyle name="40% - akcent 2 2 24 4" xfId="3069"/>
    <cellStyle name="40% - akcent 2 2 24 5" xfId="3070"/>
    <cellStyle name="40% - akcent 2 2 24 6" xfId="3071"/>
    <cellStyle name="40% - akcent 2 2 25" xfId="3072"/>
    <cellStyle name="40% - akcent 2 2 25 2" xfId="3073"/>
    <cellStyle name="40% - akcent 2 2 25 3" xfId="3074"/>
    <cellStyle name="40% - akcent 2 2 25 4" xfId="3075"/>
    <cellStyle name="40% - akcent 2 2 25 5" xfId="3076"/>
    <cellStyle name="40% - akcent 2 2 25 6" xfId="3077"/>
    <cellStyle name="40% - akcent 2 2 26" xfId="3078"/>
    <cellStyle name="40% - akcent 2 2 26 2" xfId="3079"/>
    <cellStyle name="40% - akcent 2 2 26 3" xfId="3080"/>
    <cellStyle name="40% - akcent 2 2 26 4" xfId="3081"/>
    <cellStyle name="40% - akcent 2 2 26 5" xfId="3082"/>
    <cellStyle name="40% - akcent 2 2 26 6" xfId="3083"/>
    <cellStyle name="40% - akcent 2 2 27" xfId="3084"/>
    <cellStyle name="40% - akcent 2 2 27 2" xfId="3085"/>
    <cellStyle name="40% - akcent 2 2 27 3" xfId="3086"/>
    <cellStyle name="40% - akcent 2 2 27 4" xfId="3087"/>
    <cellStyle name="40% - akcent 2 2 27 5" xfId="3088"/>
    <cellStyle name="40% - akcent 2 2 27 6" xfId="3089"/>
    <cellStyle name="40% - akcent 2 2 28" xfId="3090"/>
    <cellStyle name="40% - akcent 2 2 28 2" xfId="3091"/>
    <cellStyle name="40% - akcent 2 2 28 3" xfId="3092"/>
    <cellStyle name="40% - akcent 2 2 28 4" xfId="3093"/>
    <cellStyle name="40% - akcent 2 2 28 5" xfId="3094"/>
    <cellStyle name="40% - akcent 2 2 28 6" xfId="3095"/>
    <cellStyle name="40% - akcent 2 2 29" xfId="3096"/>
    <cellStyle name="40% - akcent 2 2 29 2" xfId="3097"/>
    <cellStyle name="40% - akcent 2 2 3" xfId="3098"/>
    <cellStyle name="40% - akcent 2 2 3 2" xfId="3099"/>
    <cellStyle name="40% - akcent 2 2 3 3" xfId="3100"/>
    <cellStyle name="40% - akcent 2 2 3 4" xfId="3101"/>
    <cellStyle name="40% - akcent 2 2 3 5" xfId="3102"/>
    <cellStyle name="40% - akcent 2 2 3 6" xfId="3103"/>
    <cellStyle name="40% - akcent 2 2 3 7" xfId="3104"/>
    <cellStyle name="40% - akcent 2 2 30" xfId="3105"/>
    <cellStyle name="40% - akcent 2 2 30 2" xfId="3106"/>
    <cellStyle name="40% - akcent 2 2 31" xfId="3107"/>
    <cellStyle name="40% - akcent 2 2 31 2" xfId="3108"/>
    <cellStyle name="40% - akcent 2 2 32" xfId="3109"/>
    <cellStyle name="40% - akcent 2 2 32 2" xfId="3110"/>
    <cellStyle name="40% - akcent 2 2 33" xfId="3111"/>
    <cellStyle name="40% - akcent 2 2 34" xfId="3112"/>
    <cellStyle name="40% - akcent 2 2 35" xfId="3113"/>
    <cellStyle name="40% - akcent 2 2 36" xfId="3114"/>
    <cellStyle name="40% - akcent 2 2 37" xfId="3115"/>
    <cellStyle name="40% - akcent 2 2 38" xfId="3116"/>
    <cellStyle name="40% - akcent 2 2 39" xfId="3117"/>
    <cellStyle name="40% - akcent 2 2 4" xfId="3118"/>
    <cellStyle name="40% - akcent 2 2 4 2" xfId="3119"/>
    <cellStyle name="40% - akcent 2 2 4 3" xfId="3120"/>
    <cellStyle name="40% - akcent 2 2 4 4" xfId="3121"/>
    <cellStyle name="40% - akcent 2 2 4 5" xfId="3122"/>
    <cellStyle name="40% - akcent 2 2 4 6" xfId="3123"/>
    <cellStyle name="40% - akcent 2 2 4 7" xfId="3124"/>
    <cellStyle name="40% - akcent 2 2 40" xfId="3125"/>
    <cellStyle name="40% - akcent 2 2 41" xfId="3126"/>
    <cellStyle name="40% - akcent 2 2 42" xfId="3127"/>
    <cellStyle name="40% - akcent 2 2 43" xfId="3128"/>
    <cellStyle name="40% - akcent 2 2 44" xfId="3129"/>
    <cellStyle name="40% - akcent 2 2 45" xfId="3130"/>
    <cellStyle name="40% - akcent 2 2 46" xfId="3131"/>
    <cellStyle name="40% - akcent 2 2 47" xfId="3132"/>
    <cellStyle name="40% - akcent 2 2 48" xfId="3133"/>
    <cellStyle name="40% - akcent 2 2 49" xfId="3134"/>
    <cellStyle name="40% - akcent 2 2 5" xfId="3135"/>
    <cellStyle name="40% - akcent 2 2 5 2" xfId="3136"/>
    <cellStyle name="40% - akcent 2 2 5 3" xfId="3137"/>
    <cellStyle name="40% - akcent 2 2 5 4" xfId="3138"/>
    <cellStyle name="40% - akcent 2 2 5 5" xfId="3139"/>
    <cellStyle name="40% - akcent 2 2 5 6" xfId="3140"/>
    <cellStyle name="40% - akcent 2 2 50" xfId="3141"/>
    <cellStyle name="40% - akcent 2 2 51" xfId="3142"/>
    <cellStyle name="40% - akcent 2 2 6" xfId="3143"/>
    <cellStyle name="40% - akcent 2 2 6 2" xfId="3144"/>
    <cellStyle name="40% - akcent 2 2 6 3" xfId="3145"/>
    <cellStyle name="40% - akcent 2 2 6 4" xfId="3146"/>
    <cellStyle name="40% - akcent 2 2 6 5" xfId="3147"/>
    <cellStyle name="40% - akcent 2 2 6 6" xfId="3148"/>
    <cellStyle name="40% - akcent 2 2 7" xfId="3149"/>
    <cellStyle name="40% - akcent 2 2 7 2" xfId="3150"/>
    <cellStyle name="40% - akcent 2 2 7 3" xfId="3151"/>
    <cellStyle name="40% - akcent 2 2 7 4" xfId="3152"/>
    <cellStyle name="40% - akcent 2 2 7 5" xfId="3153"/>
    <cellStyle name="40% - akcent 2 2 7 6" xfId="3154"/>
    <cellStyle name="40% - akcent 2 2 8" xfId="3155"/>
    <cellStyle name="40% - akcent 2 2 8 2" xfId="3156"/>
    <cellStyle name="40% - akcent 2 2 8 3" xfId="3157"/>
    <cellStyle name="40% - akcent 2 2 8 4" xfId="3158"/>
    <cellStyle name="40% - akcent 2 2 8 5" xfId="3159"/>
    <cellStyle name="40% - akcent 2 2 8 6" xfId="3160"/>
    <cellStyle name="40% - akcent 2 2 9" xfId="3161"/>
    <cellStyle name="40% - akcent 2 2 9 2" xfId="3162"/>
    <cellStyle name="40% - akcent 2 2 9 3" xfId="3163"/>
    <cellStyle name="40% - akcent 2 2 9 4" xfId="3164"/>
    <cellStyle name="40% - akcent 2 2 9 5" xfId="3165"/>
    <cellStyle name="40% - akcent 2 2 9 6" xfId="3166"/>
    <cellStyle name="40% - akcent 2 20" xfId="3167"/>
    <cellStyle name="40% - akcent 2 21" xfId="3168"/>
    <cellStyle name="40% - akcent 2 22" xfId="3169"/>
    <cellStyle name="40% - akcent 2 23" xfId="3170"/>
    <cellStyle name="40% - akcent 2 24" xfId="3171"/>
    <cellStyle name="40% - akcent 2 25" xfId="3172"/>
    <cellStyle name="40% - akcent 2 26" xfId="3173"/>
    <cellStyle name="40% - akcent 2 27" xfId="3174"/>
    <cellStyle name="40% - akcent 2 28" xfId="3175"/>
    <cellStyle name="40% - akcent 2 29" xfId="3176"/>
    <cellStyle name="40% - akcent 2 3" xfId="3177"/>
    <cellStyle name="40% - akcent 2 3 2" xfId="3178"/>
    <cellStyle name="40% - akcent 2 3 2 2" xfId="3179"/>
    <cellStyle name="40% - akcent 2 3 3" xfId="3180"/>
    <cellStyle name="40% - akcent 2 3 3 2" xfId="3181"/>
    <cellStyle name="40% - akcent 2 3 4" xfId="3182"/>
    <cellStyle name="40% - akcent 2 3 4 2" xfId="3183"/>
    <cellStyle name="40% - akcent 2 3 5" xfId="3184"/>
    <cellStyle name="40% - akcent 2 3 6" xfId="3185"/>
    <cellStyle name="40% - akcent 2 3 7" xfId="3186"/>
    <cellStyle name="40% - akcent 2 3 8" xfId="3187"/>
    <cellStyle name="40% - akcent 2 30" xfId="3188"/>
    <cellStyle name="40% - akcent 2 30 2" xfId="3189"/>
    <cellStyle name="40% - akcent 2 31" xfId="3190"/>
    <cellStyle name="40% - akcent 2 31 2" xfId="3191"/>
    <cellStyle name="40% - akcent 2 32" xfId="3192"/>
    <cellStyle name="40% - akcent 2 32 2" xfId="3193"/>
    <cellStyle name="40% - akcent 2 33" xfId="3194"/>
    <cellStyle name="40% - akcent 2 33 2" xfId="3195"/>
    <cellStyle name="40% - akcent 2 34" xfId="3196"/>
    <cellStyle name="40% - akcent 2 34 2" xfId="3197"/>
    <cellStyle name="40% - akcent 2 35" xfId="3198"/>
    <cellStyle name="40% - akcent 2 35 2" xfId="3199"/>
    <cellStyle name="40% - akcent 2 36" xfId="3200"/>
    <cellStyle name="40% - akcent 2 36 2" xfId="3201"/>
    <cellStyle name="40% - akcent 2 37" xfId="3202"/>
    <cellStyle name="40% - akcent 2 37 2" xfId="3203"/>
    <cellStyle name="40% - akcent 2 38" xfId="3204"/>
    <cellStyle name="40% - akcent 2 38 2" xfId="3205"/>
    <cellStyle name="40% - akcent 2 39" xfId="3206"/>
    <cellStyle name="40% - akcent 2 39 2" xfId="3207"/>
    <cellStyle name="40% - akcent 2 4" xfId="3208"/>
    <cellStyle name="40% - akcent 2 4 2" xfId="3209"/>
    <cellStyle name="40% - akcent 2 4 2 2" xfId="3210"/>
    <cellStyle name="40% - akcent 2 4 3" xfId="3211"/>
    <cellStyle name="40% - akcent 2 4 3 2" xfId="3212"/>
    <cellStyle name="40% - akcent 2 4 4" xfId="3213"/>
    <cellStyle name="40% - akcent 2 4 4 2" xfId="3214"/>
    <cellStyle name="40% - akcent 2 4 5" xfId="3215"/>
    <cellStyle name="40% - akcent 2 4 6" xfId="3216"/>
    <cellStyle name="40% - akcent 2 4 7" xfId="3217"/>
    <cellStyle name="40% - akcent 2 4 8" xfId="3218"/>
    <cellStyle name="40% - akcent 2 40" xfId="3219"/>
    <cellStyle name="40% - akcent 2 40 2" xfId="3220"/>
    <cellStyle name="40% - akcent 2 41" xfId="3221"/>
    <cellStyle name="40% - akcent 2 41 2" xfId="3222"/>
    <cellStyle name="40% - akcent 2 42" xfId="3223"/>
    <cellStyle name="40% - akcent 2 42 2" xfId="3224"/>
    <cellStyle name="40% - akcent 2 43" xfId="3225"/>
    <cellStyle name="40% - akcent 2 43 2" xfId="3226"/>
    <cellStyle name="40% - akcent 2 44" xfId="3227"/>
    <cellStyle name="40% - akcent 2 44 2" xfId="3228"/>
    <cellStyle name="40% - akcent 2 45" xfId="3229"/>
    <cellStyle name="40% - akcent 2 45 2" xfId="3230"/>
    <cellStyle name="40% - akcent 2 46" xfId="3231"/>
    <cellStyle name="40% - akcent 2 46 2" xfId="3232"/>
    <cellStyle name="40% - akcent 2 47" xfId="3233"/>
    <cellStyle name="40% - akcent 2 47 2" xfId="3234"/>
    <cellStyle name="40% - akcent 2 48" xfId="3235"/>
    <cellStyle name="40% - akcent 2 48 2" xfId="3236"/>
    <cellStyle name="40% - akcent 2 49" xfId="3237"/>
    <cellStyle name="40% - akcent 2 49 2" xfId="3238"/>
    <cellStyle name="40% - akcent 2 5" xfId="3239"/>
    <cellStyle name="40% - akcent 2 5 2" xfId="3240"/>
    <cellStyle name="40% - akcent 2 5 3" xfId="3241"/>
    <cellStyle name="40% - akcent 2 50" xfId="3242"/>
    <cellStyle name="40% - akcent 2 50 2" xfId="3243"/>
    <cellStyle name="40% - akcent 2 51" xfId="3244"/>
    <cellStyle name="40% - akcent 2 51 2" xfId="3245"/>
    <cellStyle name="40% - akcent 2 52" xfId="3246"/>
    <cellStyle name="40% - akcent 2 52 2" xfId="3247"/>
    <cellStyle name="40% - akcent 2 53" xfId="3248"/>
    <cellStyle name="40% - akcent 2 53 2" xfId="3249"/>
    <cellStyle name="40% - akcent 2 54" xfId="3250"/>
    <cellStyle name="40% - akcent 2 54 2" xfId="3251"/>
    <cellStyle name="40% - akcent 2 55" xfId="3252"/>
    <cellStyle name="40% - akcent 2 55 2" xfId="3253"/>
    <cellStyle name="40% - akcent 2 56" xfId="3254"/>
    <cellStyle name="40% - akcent 2 56 2" xfId="3255"/>
    <cellStyle name="40% - akcent 2 57" xfId="3256"/>
    <cellStyle name="40% - akcent 2 57 2" xfId="3257"/>
    <cellStyle name="40% - akcent 2 58" xfId="3258"/>
    <cellStyle name="40% - akcent 2 58 2" xfId="3259"/>
    <cellStyle name="40% - akcent 2 59" xfId="3260"/>
    <cellStyle name="40% - akcent 2 59 2" xfId="3261"/>
    <cellStyle name="40% - akcent 2 6" xfId="3262"/>
    <cellStyle name="40% - akcent 2 60" xfId="3263"/>
    <cellStyle name="40% - akcent 2 60 2" xfId="3264"/>
    <cellStyle name="40% - akcent 2 61" xfId="3265"/>
    <cellStyle name="40% - akcent 2 61 2" xfId="3266"/>
    <cellStyle name="40% - akcent 2 62" xfId="3267"/>
    <cellStyle name="40% - akcent 2 62 2" xfId="3268"/>
    <cellStyle name="40% - akcent 2 63" xfId="3269"/>
    <cellStyle name="40% - akcent 2 63 2" xfId="3270"/>
    <cellStyle name="40% - akcent 2 64" xfId="3271"/>
    <cellStyle name="40% - akcent 2 64 2" xfId="3272"/>
    <cellStyle name="40% - akcent 2 65" xfId="3273"/>
    <cellStyle name="40% - akcent 2 65 2" xfId="3274"/>
    <cellStyle name="40% - akcent 2 66" xfId="3275"/>
    <cellStyle name="40% - akcent 2 66 2" xfId="3276"/>
    <cellStyle name="40% - akcent 2 67" xfId="3277"/>
    <cellStyle name="40% - akcent 2 67 2" xfId="3278"/>
    <cellStyle name="40% - akcent 2 68" xfId="3279"/>
    <cellStyle name="40% - akcent 2 68 2" xfId="3280"/>
    <cellStyle name="40% - akcent 2 69" xfId="3281"/>
    <cellStyle name="40% - akcent 2 69 2" xfId="3282"/>
    <cellStyle name="40% - akcent 2 7" xfId="3283"/>
    <cellStyle name="40% - akcent 2 70" xfId="3284"/>
    <cellStyle name="40% - akcent 2 70 2" xfId="3285"/>
    <cellStyle name="40% - akcent 2 71" xfId="3286"/>
    <cellStyle name="40% - akcent 2 71 2" xfId="3287"/>
    <cellStyle name="40% - akcent 2 72" xfId="3288"/>
    <cellStyle name="40% - akcent 2 72 2" xfId="3289"/>
    <cellStyle name="40% - akcent 2 73" xfId="3290"/>
    <cellStyle name="40% - akcent 2 73 2" xfId="3291"/>
    <cellStyle name="40% - akcent 2 74" xfId="3292"/>
    <cellStyle name="40% - akcent 2 74 2" xfId="3293"/>
    <cellStyle name="40% - akcent 2 75" xfId="3294"/>
    <cellStyle name="40% - akcent 2 75 2" xfId="3295"/>
    <cellStyle name="40% - akcent 2 76" xfId="3296"/>
    <cellStyle name="40% - akcent 2 76 2" xfId="3297"/>
    <cellStyle name="40% - akcent 2 77" xfId="3298"/>
    <cellStyle name="40% - akcent 2 77 2" xfId="3299"/>
    <cellStyle name="40% - akcent 2 78" xfId="3300"/>
    <cellStyle name="40% - akcent 2 78 2" xfId="3301"/>
    <cellStyle name="40% - akcent 2 79" xfId="3302"/>
    <cellStyle name="40% - akcent 2 79 2" xfId="3303"/>
    <cellStyle name="40% - akcent 2 8" xfId="3304"/>
    <cellStyle name="40% - akcent 2 80" xfId="3305"/>
    <cellStyle name="40% - akcent 2 80 2" xfId="3306"/>
    <cellStyle name="40% - akcent 2 81" xfId="3307"/>
    <cellStyle name="40% - akcent 2 81 2" xfId="3308"/>
    <cellStyle name="40% - akcent 2 82" xfId="3309"/>
    <cellStyle name="40% - akcent 2 82 2" xfId="3310"/>
    <cellStyle name="40% - akcent 2 83" xfId="3311"/>
    <cellStyle name="40% - akcent 2 83 2" xfId="3312"/>
    <cellStyle name="40% - akcent 2 84" xfId="3313"/>
    <cellStyle name="40% - akcent 2 84 2" xfId="3314"/>
    <cellStyle name="40% - akcent 2 85" xfId="3315"/>
    <cellStyle name="40% - akcent 2 85 2" xfId="3316"/>
    <cellStyle name="40% - akcent 2 86" xfId="3317"/>
    <cellStyle name="40% - akcent 2 86 2" xfId="3318"/>
    <cellStyle name="40% - akcent 2 87" xfId="3319"/>
    <cellStyle name="40% - akcent 2 87 2" xfId="3320"/>
    <cellStyle name="40% - akcent 2 88" xfId="3321"/>
    <cellStyle name="40% - akcent 2 88 2" xfId="3322"/>
    <cellStyle name="40% - akcent 2 89" xfId="3323"/>
    <cellStyle name="40% - akcent 2 89 2" xfId="3324"/>
    <cellStyle name="40% - akcent 2 9" xfId="3325"/>
    <cellStyle name="40% - akcent 2 90" xfId="3326"/>
    <cellStyle name="40% - akcent 2 90 2" xfId="3327"/>
    <cellStyle name="40% - akcent 2 91" xfId="3328"/>
    <cellStyle name="40% - akcent 2 91 2" xfId="3329"/>
    <cellStyle name="40% - akcent 2 92" xfId="3330"/>
    <cellStyle name="40% - akcent 2 92 2" xfId="3331"/>
    <cellStyle name="40% - akcent 2 93" xfId="3332"/>
    <cellStyle name="40% - akcent 2 93 2" xfId="3333"/>
    <cellStyle name="40% - akcent 2 94" xfId="3334"/>
    <cellStyle name="40% - akcent 2 94 2" xfId="3335"/>
    <cellStyle name="40% - akcent 2 95" xfId="3336"/>
    <cellStyle name="40% - akcent 2 95 2" xfId="3337"/>
    <cellStyle name="40% - akcent 2 96" xfId="3338"/>
    <cellStyle name="40% - akcent 2 96 2" xfId="3339"/>
    <cellStyle name="40% - akcent 2 97" xfId="3340"/>
    <cellStyle name="40% - akcent 2 97 2" xfId="3341"/>
    <cellStyle name="40% - akcent 2 98" xfId="3342"/>
    <cellStyle name="40% - akcent 2 98 2" xfId="3343"/>
    <cellStyle name="40% - akcent 2 99" xfId="3344"/>
    <cellStyle name="40% - akcent 2 99 2" xfId="3345"/>
    <cellStyle name="40% - akcent 3 10" xfId="3346"/>
    <cellStyle name="40% - akcent 3 100" xfId="3347"/>
    <cellStyle name="40% - akcent 3 100 2" xfId="3348"/>
    <cellStyle name="40% - akcent 3 101" xfId="3349"/>
    <cellStyle name="40% - akcent 3 101 2" xfId="3350"/>
    <cellStyle name="40% - akcent 3 102" xfId="3351"/>
    <cellStyle name="40% - akcent 3 102 2" xfId="3352"/>
    <cellStyle name="40% - akcent 3 103" xfId="3353"/>
    <cellStyle name="40% - akcent 3 103 2" xfId="3354"/>
    <cellStyle name="40% - akcent 3 104" xfId="3355"/>
    <cellStyle name="40% - akcent 3 104 2" xfId="3356"/>
    <cellStyle name="40% - akcent 3 105" xfId="3357"/>
    <cellStyle name="40% - akcent 3 105 2" xfId="3358"/>
    <cellStyle name="40% - akcent 3 106" xfId="3359"/>
    <cellStyle name="40% - akcent 3 106 2" xfId="3360"/>
    <cellStyle name="40% - akcent 3 107" xfId="3361"/>
    <cellStyle name="40% - akcent 3 107 2" xfId="3362"/>
    <cellStyle name="40% - akcent 3 108" xfId="3363"/>
    <cellStyle name="40% - akcent 3 108 2" xfId="3364"/>
    <cellStyle name="40% - akcent 3 109" xfId="3365"/>
    <cellStyle name="40% - akcent 3 109 2" xfId="3366"/>
    <cellStyle name="40% - akcent 3 11" xfId="3367"/>
    <cellStyle name="40% - akcent 3 110" xfId="3368"/>
    <cellStyle name="40% - akcent 3 110 2" xfId="3369"/>
    <cellStyle name="40% - akcent 3 111" xfId="3370"/>
    <cellStyle name="40% - akcent 3 111 2" xfId="3371"/>
    <cellStyle name="40% - akcent 3 112" xfId="3372"/>
    <cellStyle name="40% - akcent 3 112 2" xfId="3373"/>
    <cellStyle name="40% - akcent 3 113" xfId="3374"/>
    <cellStyle name="40% - akcent 3 113 2" xfId="3375"/>
    <cellStyle name="40% - akcent 3 114" xfId="3376"/>
    <cellStyle name="40% - akcent 3 114 2" xfId="3377"/>
    <cellStyle name="40% - akcent 3 115" xfId="3378"/>
    <cellStyle name="40% - akcent 3 115 2" xfId="3379"/>
    <cellStyle name="40% - akcent 3 116" xfId="3380"/>
    <cellStyle name="40% - akcent 3 116 2" xfId="3381"/>
    <cellStyle name="40% - akcent 3 117" xfId="3382"/>
    <cellStyle name="40% - akcent 3 117 2" xfId="3383"/>
    <cellStyle name="40% - akcent 3 118" xfId="3384"/>
    <cellStyle name="40% - akcent 3 118 2" xfId="3385"/>
    <cellStyle name="40% - akcent 3 119" xfId="3386"/>
    <cellStyle name="40% - akcent 3 119 2" xfId="3387"/>
    <cellStyle name="40% - akcent 3 12" xfId="3388"/>
    <cellStyle name="40% - akcent 3 120" xfId="3389"/>
    <cellStyle name="40% - akcent 3 121" xfId="3390"/>
    <cellStyle name="40% - akcent 3 13" xfId="3391"/>
    <cellStyle name="40% - akcent 3 14" xfId="3392"/>
    <cellStyle name="40% - akcent 3 15" xfId="3393"/>
    <cellStyle name="40% - akcent 3 16" xfId="3394"/>
    <cellStyle name="40% - akcent 3 17" xfId="3395"/>
    <cellStyle name="40% - akcent 3 18" xfId="3396"/>
    <cellStyle name="40% - akcent 3 19" xfId="3397"/>
    <cellStyle name="40% - akcent 3 2" xfId="3398"/>
    <cellStyle name="40% - akcent 3 2 10" xfId="3399"/>
    <cellStyle name="40% - akcent 3 2 10 2" xfId="3400"/>
    <cellStyle name="40% - akcent 3 2 10 3" xfId="3401"/>
    <cellStyle name="40% - akcent 3 2 10 4" xfId="3402"/>
    <cellStyle name="40% - akcent 3 2 10 5" xfId="3403"/>
    <cellStyle name="40% - akcent 3 2 10 6" xfId="3404"/>
    <cellStyle name="40% - akcent 3 2 11" xfId="3405"/>
    <cellStyle name="40% - akcent 3 2 11 2" xfId="3406"/>
    <cellStyle name="40% - akcent 3 2 11 3" xfId="3407"/>
    <cellStyle name="40% - akcent 3 2 11 4" xfId="3408"/>
    <cellStyle name="40% - akcent 3 2 11 5" xfId="3409"/>
    <cellStyle name="40% - akcent 3 2 11 6" xfId="3410"/>
    <cellStyle name="40% - akcent 3 2 12" xfId="3411"/>
    <cellStyle name="40% - akcent 3 2 12 2" xfId="3412"/>
    <cellStyle name="40% - akcent 3 2 12 3" xfId="3413"/>
    <cellStyle name="40% - akcent 3 2 12 4" xfId="3414"/>
    <cellStyle name="40% - akcent 3 2 12 5" xfId="3415"/>
    <cellStyle name="40% - akcent 3 2 12 6" xfId="3416"/>
    <cellStyle name="40% - akcent 3 2 13" xfId="3417"/>
    <cellStyle name="40% - akcent 3 2 13 2" xfId="3418"/>
    <cellStyle name="40% - akcent 3 2 13 3" xfId="3419"/>
    <cellStyle name="40% - akcent 3 2 13 4" xfId="3420"/>
    <cellStyle name="40% - akcent 3 2 13 5" xfId="3421"/>
    <cellStyle name="40% - akcent 3 2 13 6" xfId="3422"/>
    <cellStyle name="40% - akcent 3 2 14" xfId="3423"/>
    <cellStyle name="40% - akcent 3 2 14 2" xfId="3424"/>
    <cellStyle name="40% - akcent 3 2 14 3" xfId="3425"/>
    <cellStyle name="40% - akcent 3 2 14 4" xfId="3426"/>
    <cellStyle name="40% - akcent 3 2 14 5" xfId="3427"/>
    <cellStyle name="40% - akcent 3 2 14 6" xfId="3428"/>
    <cellStyle name="40% - akcent 3 2 15" xfId="3429"/>
    <cellStyle name="40% - akcent 3 2 15 2" xfId="3430"/>
    <cellStyle name="40% - akcent 3 2 15 3" xfId="3431"/>
    <cellStyle name="40% - akcent 3 2 15 4" xfId="3432"/>
    <cellStyle name="40% - akcent 3 2 15 5" xfId="3433"/>
    <cellStyle name="40% - akcent 3 2 15 6" xfId="3434"/>
    <cellStyle name="40% - akcent 3 2 16" xfId="3435"/>
    <cellStyle name="40% - akcent 3 2 16 2" xfId="3436"/>
    <cellStyle name="40% - akcent 3 2 16 3" xfId="3437"/>
    <cellStyle name="40% - akcent 3 2 16 4" xfId="3438"/>
    <cellStyle name="40% - akcent 3 2 16 5" xfId="3439"/>
    <cellStyle name="40% - akcent 3 2 16 6" xfId="3440"/>
    <cellStyle name="40% - akcent 3 2 17" xfId="3441"/>
    <cellStyle name="40% - akcent 3 2 17 2" xfId="3442"/>
    <cellStyle name="40% - akcent 3 2 17 3" xfId="3443"/>
    <cellStyle name="40% - akcent 3 2 17 4" xfId="3444"/>
    <cellStyle name="40% - akcent 3 2 17 5" xfId="3445"/>
    <cellStyle name="40% - akcent 3 2 17 6" xfId="3446"/>
    <cellStyle name="40% - akcent 3 2 18" xfId="3447"/>
    <cellStyle name="40% - akcent 3 2 18 2" xfId="3448"/>
    <cellStyle name="40% - akcent 3 2 18 3" xfId="3449"/>
    <cellStyle name="40% - akcent 3 2 18 4" xfId="3450"/>
    <cellStyle name="40% - akcent 3 2 18 5" xfId="3451"/>
    <cellStyle name="40% - akcent 3 2 18 6" xfId="3452"/>
    <cellStyle name="40% - akcent 3 2 19" xfId="3453"/>
    <cellStyle name="40% - akcent 3 2 19 2" xfId="3454"/>
    <cellStyle name="40% - akcent 3 2 19 3" xfId="3455"/>
    <cellStyle name="40% - akcent 3 2 19 4" xfId="3456"/>
    <cellStyle name="40% - akcent 3 2 19 5" xfId="3457"/>
    <cellStyle name="40% - akcent 3 2 19 6" xfId="3458"/>
    <cellStyle name="40% - akcent 3 2 2" xfId="3459"/>
    <cellStyle name="40% - akcent 3 2 2 2" xfId="3460"/>
    <cellStyle name="40% - akcent 3 2 2 3" xfId="3461"/>
    <cellStyle name="40% - akcent 3 2 2 4" xfId="3462"/>
    <cellStyle name="40% - akcent 3 2 2 5" xfId="3463"/>
    <cellStyle name="40% - akcent 3 2 2 6" xfId="3464"/>
    <cellStyle name="40% - akcent 3 2 2 7" xfId="3465"/>
    <cellStyle name="40% - akcent 3 2 20" xfId="3466"/>
    <cellStyle name="40% - akcent 3 2 20 2" xfId="3467"/>
    <cellStyle name="40% - akcent 3 2 20 3" xfId="3468"/>
    <cellStyle name="40% - akcent 3 2 20 4" xfId="3469"/>
    <cellStyle name="40% - akcent 3 2 20 5" xfId="3470"/>
    <cellStyle name="40% - akcent 3 2 20 6" xfId="3471"/>
    <cellStyle name="40% - akcent 3 2 21" xfId="3472"/>
    <cellStyle name="40% - akcent 3 2 21 2" xfId="3473"/>
    <cellStyle name="40% - akcent 3 2 21 3" xfId="3474"/>
    <cellStyle name="40% - akcent 3 2 21 4" xfId="3475"/>
    <cellStyle name="40% - akcent 3 2 21 5" xfId="3476"/>
    <cellStyle name="40% - akcent 3 2 21 6" xfId="3477"/>
    <cellStyle name="40% - akcent 3 2 22" xfId="3478"/>
    <cellStyle name="40% - akcent 3 2 22 2" xfId="3479"/>
    <cellStyle name="40% - akcent 3 2 22 3" xfId="3480"/>
    <cellStyle name="40% - akcent 3 2 22 4" xfId="3481"/>
    <cellStyle name="40% - akcent 3 2 22 5" xfId="3482"/>
    <cellStyle name="40% - akcent 3 2 22 6" xfId="3483"/>
    <cellStyle name="40% - akcent 3 2 23" xfId="3484"/>
    <cellStyle name="40% - akcent 3 2 23 2" xfId="3485"/>
    <cellStyle name="40% - akcent 3 2 23 3" xfId="3486"/>
    <cellStyle name="40% - akcent 3 2 23 4" xfId="3487"/>
    <cellStyle name="40% - akcent 3 2 23 5" xfId="3488"/>
    <cellStyle name="40% - akcent 3 2 23 6" xfId="3489"/>
    <cellStyle name="40% - akcent 3 2 24" xfId="3490"/>
    <cellStyle name="40% - akcent 3 2 24 2" xfId="3491"/>
    <cellStyle name="40% - akcent 3 2 24 3" xfId="3492"/>
    <cellStyle name="40% - akcent 3 2 24 4" xfId="3493"/>
    <cellStyle name="40% - akcent 3 2 24 5" xfId="3494"/>
    <cellStyle name="40% - akcent 3 2 24 6" xfId="3495"/>
    <cellStyle name="40% - akcent 3 2 25" xfId="3496"/>
    <cellStyle name="40% - akcent 3 2 25 2" xfId="3497"/>
    <cellStyle name="40% - akcent 3 2 25 3" xfId="3498"/>
    <cellStyle name="40% - akcent 3 2 25 4" xfId="3499"/>
    <cellStyle name="40% - akcent 3 2 25 5" xfId="3500"/>
    <cellStyle name="40% - akcent 3 2 25 6" xfId="3501"/>
    <cellStyle name="40% - akcent 3 2 26" xfId="3502"/>
    <cellStyle name="40% - akcent 3 2 26 2" xfId="3503"/>
    <cellStyle name="40% - akcent 3 2 26 3" xfId="3504"/>
    <cellStyle name="40% - akcent 3 2 26 4" xfId="3505"/>
    <cellStyle name="40% - akcent 3 2 26 5" xfId="3506"/>
    <cellStyle name="40% - akcent 3 2 26 6" xfId="3507"/>
    <cellStyle name="40% - akcent 3 2 27" xfId="3508"/>
    <cellStyle name="40% - akcent 3 2 27 2" xfId="3509"/>
    <cellStyle name="40% - akcent 3 2 27 3" xfId="3510"/>
    <cellStyle name="40% - akcent 3 2 27 4" xfId="3511"/>
    <cellStyle name="40% - akcent 3 2 27 5" xfId="3512"/>
    <cellStyle name="40% - akcent 3 2 27 6" xfId="3513"/>
    <cellStyle name="40% - akcent 3 2 28" xfId="3514"/>
    <cellStyle name="40% - akcent 3 2 28 2" xfId="3515"/>
    <cellStyle name="40% - akcent 3 2 28 3" xfId="3516"/>
    <cellStyle name="40% - akcent 3 2 28 4" xfId="3517"/>
    <cellStyle name="40% - akcent 3 2 28 5" xfId="3518"/>
    <cellStyle name="40% - akcent 3 2 28 6" xfId="3519"/>
    <cellStyle name="40% - akcent 3 2 29" xfId="3520"/>
    <cellStyle name="40% - akcent 3 2 29 2" xfId="3521"/>
    <cellStyle name="40% - akcent 3 2 3" xfId="3522"/>
    <cellStyle name="40% - akcent 3 2 3 2" xfId="3523"/>
    <cellStyle name="40% - akcent 3 2 3 3" xfId="3524"/>
    <cellStyle name="40% - akcent 3 2 3 4" xfId="3525"/>
    <cellStyle name="40% - akcent 3 2 3 5" xfId="3526"/>
    <cellStyle name="40% - akcent 3 2 3 6" xfId="3527"/>
    <cellStyle name="40% - akcent 3 2 3 7" xfId="3528"/>
    <cellStyle name="40% - akcent 3 2 30" xfId="3529"/>
    <cellStyle name="40% - akcent 3 2 30 2" xfId="3530"/>
    <cellStyle name="40% - akcent 3 2 31" xfId="3531"/>
    <cellStyle name="40% - akcent 3 2 31 2" xfId="3532"/>
    <cellStyle name="40% - akcent 3 2 32" xfId="3533"/>
    <cellStyle name="40% - akcent 3 2 32 2" xfId="3534"/>
    <cellStyle name="40% - akcent 3 2 33" xfId="3535"/>
    <cellStyle name="40% - akcent 3 2 34" xfId="3536"/>
    <cellStyle name="40% - akcent 3 2 35" xfId="3537"/>
    <cellStyle name="40% - akcent 3 2 36" xfId="3538"/>
    <cellStyle name="40% - akcent 3 2 37" xfId="3539"/>
    <cellStyle name="40% - akcent 3 2 38" xfId="3540"/>
    <cellStyle name="40% - akcent 3 2 39" xfId="3541"/>
    <cellStyle name="40% - akcent 3 2 4" xfId="3542"/>
    <cellStyle name="40% - akcent 3 2 4 2" xfId="3543"/>
    <cellStyle name="40% - akcent 3 2 4 3" xfId="3544"/>
    <cellStyle name="40% - akcent 3 2 4 4" xfId="3545"/>
    <cellStyle name="40% - akcent 3 2 4 5" xfId="3546"/>
    <cellStyle name="40% - akcent 3 2 4 6" xfId="3547"/>
    <cellStyle name="40% - akcent 3 2 4 7" xfId="3548"/>
    <cellStyle name="40% - akcent 3 2 40" xfId="3549"/>
    <cellStyle name="40% - akcent 3 2 41" xfId="3550"/>
    <cellStyle name="40% - akcent 3 2 42" xfId="3551"/>
    <cellStyle name="40% - akcent 3 2 43" xfId="3552"/>
    <cellStyle name="40% - akcent 3 2 44" xfId="3553"/>
    <cellStyle name="40% - akcent 3 2 45" xfId="3554"/>
    <cellStyle name="40% - akcent 3 2 46" xfId="3555"/>
    <cellStyle name="40% - akcent 3 2 47" xfId="3556"/>
    <cellStyle name="40% - akcent 3 2 48" xfId="3557"/>
    <cellStyle name="40% - akcent 3 2 49" xfId="3558"/>
    <cellStyle name="40% - akcent 3 2 5" xfId="3559"/>
    <cellStyle name="40% - akcent 3 2 5 2" xfId="3560"/>
    <cellStyle name="40% - akcent 3 2 5 3" xfId="3561"/>
    <cellStyle name="40% - akcent 3 2 5 4" xfId="3562"/>
    <cellStyle name="40% - akcent 3 2 5 5" xfId="3563"/>
    <cellStyle name="40% - akcent 3 2 5 6" xfId="3564"/>
    <cellStyle name="40% - akcent 3 2 50" xfId="3565"/>
    <cellStyle name="40% - akcent 3 2 51" xfId="3566"/>
    <cellStyle name="40% - akcent 3 2 6" xfId="3567"/>
    <cellStyle name="40% - akcent 3 2 6 2" xfId="3568"/>
    <cellStyle name="40% - akcent 3 2 6 3" xfId="3569"/>
    <cellStyle name="40% - akcent 3 2 6 4" xfId="3570"/>
    <cellStyle name="40% - akcent 3 2 6 5" xfId="3571"/>
    <cellStyle name="40% - akcent 3 2 6 6" xfId="3572"/>
    <cellStyle name="40% - akcent 3 2 7" xfId="3573"/>
    <cellStyle name="40% - akcent 3 2 7 2" xfId="3574"/>
    <cellStyle name="40% - akcent 3 2 7 3" xfId="3575"/>
    <cellStyle name="40% - akcent 3 2 7 4" xfId="3576"/>
    <cellStyle name="40% - akcent 3 2 7 5" xfId="3577"/>
    <cellStyle name="40% - akcent 3 2 7 6" xfId="3578"/>
    <cellStyle name="40% - akcent 3 2 8" xfId="3579"/>
    <cellStyle name="40% - akcent 3 2 8 2" xfId="3580"/>
    <cellStyle name="40% - akcent 3 2 8 3" xfId="3581"/>
    <cellStyle name="40% - akcent 3 2 8 4" xfId="3582"/>
    <cellStyle name="40% - akcent 3 2 8 5" xfId="3583"/>
    <cellStyle name="40% - akcent 3 2 8 6" xfId="3584"/>
    <cellStyle name="40% - akcent 3 2 9" xfId="3585"/>
    <cellStyle name="40% - akcent 3 2 9 2" xfId="3586"/>
    <cellStyle name="40% - akcent 3 2 9 3" xfId="3587"/>
    <cellStyle name="40% - akcent 3 2 9 4" xfId="3588"/>
    <cellStyle name="40% - akcent 3 2 9 5" xfId="3589"/>
    <cellStyle name="40% - akcent 3 2 9 6" xfId="3590"/>
    <cellStyle name="40% - akcent 3 20" xfId="3591"/>
    <cellStyle name="40% - akcent 3 21" xfId="3592"/>
    <cellStyle name="40% - akcent 3 22" xfId="3593"/>
    <cellStyle name="40% - akcent 3 23" xfId="3594"/>
    <cellStyle name="40% - akcent 3 24" xfId="3595"/>
    <cellStyle name="40% - akcent 3 25" xfId="3596"/>
    <cellStyle name="40% - akcent 3 26" xfId="3597"/>
    <cellStyle name="40% - akcent 3 27" xfId="3598"/>
    <cellStyle name="40% - akcent 3 28" xfId="3599"/>
    <cellStyle name="40% - akcent 3 29" xfId="3600"/>
    <cellStyle name="40% - akcent 3 3" xfId="3601"/>
    <cellStyle name="40% - akcent 3 3 2" xfId="3602"/>
    <cellStyle name="40% - akcent 3 3 2 2" xfId="3603"/>
    <cellStyle name="40% - akcent 3 3 3" xfId="3604"/>
    <cellStyle name="40% - akcent 3 3 3 2" xfId="3605"/>
    <cellStyle name="40% - akcent 3 3 4" xfId="3606"/>
    <cellStyle name="40% - akcent 3 3 4 2" xfId="3607"/>
    <cellStyle name="40% - akcent 3 3 5" xfId="3608"/>
    <cellStyle name="40% - akcent 3 3 6" xfId="3609"/>
    <cellStyle name="40% - akcent 3 3 7" xfId="3610"/>
    <cellStyle name="40% - akcent 3 3 8" xfId="3611"/>
    <cellStyle name="40% - akcent 3 30" xfId="3612"/>
    <cellStyle name="40% - akcent 3 30 2" xfId="3613"/>
    <cellStyle name="40% - akcent 3 31" xfId="3614"/>
    <cellStyle name="40% - akcent 3 31 2" xfId="3615"/>
    <cellStyle name="40% - akcent 3 32" xfId="3616"/>
    <cellStyle name="40% - akcent 3 32 2" xfId="3617"/>
    <cellStyle name="40% - akcent 3 33" xfId="3618"/>
    <cellStyle name="40% - akcent 3 33 2" xfId="3619"/>
    <cellStyle name="40% - akcent 3 34" xfId="3620"/>
    <cellStyle name="40% - akcent 3 34 2" xfId="3621"/>
    <cellStyle name="40% - akcent 3 35" xfId="3622"/>
    <cellStyle name="40% - akcent 3 35 2" xfId="3623"/>
    <cellStyle name="40% - akcent 3 36" xfId="3624"/>
    <cellStyle name="40% - akcent 3 36 2" xfId="3625"/>
    <cellStyle name="40% - akcent 3 37" xfId="3626"/>
    <cellStyle name="40% - akcent 3 37 2" xfId="3627"/>
    <cellStyle name="40% - akcent 3 38" xfId="3628"/>
    <cellStyle name="40% - akcent 3 38 2" xfId="3629"/>
    <cellStyle name="40% - akcent 3 39" xfId="3630"/>
    <cellStyle name="40% - akcent 3 39 2" xfId="3631"/>
    <cellStyle name="40% - akcent 3 4" xfId="3632"/>
    <cellStyle name="40% - akcent 3 4 2" xfId="3633"/>
    <cellStyle name="40% - akcent 3 4 2 2" xfId="3634"/>
    <cellStyle name="40% - akcent 3 4 3" xfId="3635"/>
    <cellStyle name="40% - akcent 3 4 3 2" xfId="3636"/>
    <cellStyle name="40% - akcent 3 4 4" xfId="3637"/>
    <cellStyle name="40% - akcent 3 4 4 2" xfId="3638"/>
    <cellStyle name="40% - akcent 3 4 5" xfId="3639"/>
    <cellStyle name="40% - akcent 3 4 6" xfId="3640"/>
    <cellStyle name="40% - akcent 3 4 7" xfId="3641"/>
    <cellStyle name="40% - akcent 3 4 8" xfId="3642"/>
    <cellStyle name="40% - akcent 3 40" xfId="3643"/>
    <cellStyle name="40% - akcent 3 40 2" xfId="3644"/>
    <cellStyle name="40% - akcent 3 41" xfId="3645"/>
    <cellStyle name="40% - akcent 3 41 2" xfId="3646"/>
    <cellStyle name="40% - akcent 3 42" xfId="3647"/>
    <cellStyle name="40% - akcent 3 42 2" xfId="3648"/>
    <cellStyle name="40% - akcent 3 43" xfId="3649"/>
    <cellStyle name="40% - akcent 3 43 2" xfId="3650"/>
    <cellStyle name="40% - akcent 3 44" xfId="3651"/>
    <cellStyle name="40% - akcent 3 44 2" xfId="3652"/>
    <cellStyle name="40% - akcent 3 45" xfId="3653"/>
    <cellStyle name="40% - akcent 3 45 2" xfId="3654"/>
    <cellStyle name="40% - akcent 3 46" xfId="3655"/>
    <cellStyle name="40% - akcent 3 46 2" xfId="3656"/>
    <cellStyle name="40% - akcent 3 47" xfId="3657"/>
    <cellStyle name="40% - akcent 3 47 2" xfId="3658"/>
    <cellStyle name="40% - akcent 3 48" xfId="3659"/>
    <cellStyle name="40% - akcent 3 48 2" xfId="3660"/>
    <cellStyle name="40% - akcent 3 49" xfId="3661"/>
    <cellStyle name="40% - akcent 3 49 2" xfId="3662"/>
    <cellStyle name="40% - akcent 3 5" xfId="3663"/>
    <cellStyle name="40% - akcent 3 5 2" xfId="3664"/>
    <cellStyle name="40% - akcent 3 5 3" xfId="3665"/>
    <cellStyle name="40% - akcent 3 50" xfId="3666"/>
    <cellStyle name="40% - akcent 3 50 2" xfId="3667"/>
    <cellStyle name="40% - akcent 3 51" xfId="3668"/>
    <cellStyle name="40% - akcent 3 51 2" xfId="3669"/>
    <cellStyle name="40% - akcent 3 52" xfId="3670"/>
    <cellStyle name="40% - akcent 3 52 2" xfId="3671"/>
    <cellStyle name="40% - akcent 3 53" xfId="3672"/>
    <cellStyle name="40% - akcent 3 53 2" xfId="3673"/>
    <cellStyle name="40% - akcent 3 54" xfId="3674"/>
    <cellStyle name="40% - akcent 3 54 2" xfId="3675"/>
    <cellStyle name="40% - akcent 3 55" xfId="3676"/>
    <cellStyle name="40% - akcent 3 55 2" xfId="3677"/>
    <cellStyle name="40% - akcent 3 56" xfId="3678"/>
    <cellStyle name="40% - akcent 3 56 2" xfId="3679"/>
    <cellStyle name="40% - akcent 3 57" xfId="3680"/>
    <cellStyle name="40% - akcent 3 57 2" xfId="3681"/>
    <cellStyle name="40% - akcent 3 58" xfId="3682"/>
    <cellStyle name="40% - akcent 3 58 2" xfId="3683"/>
    <cellStyle name="40% - akcent 3 59" xfId="3684"/>
    <cellStyle name="40% - akcent 3 59 2" xfId="3685"/>
    <cellStyle name="40% - akcent 3 6" xfId="3686"/>
    <cellStyle name="40% - akcent 3 60" xfId="3687"/>
    <cellStyle name="40% - akcent 3 60 2" xfId="3688"/>
    <cellStyle name="40% - akcent 3 61" xfId="3689"/>
    <cellStyle name="40% - akcent 3 61 2" xfId="3690"/>
    <cellStyle name="40% - akcent 3 62" xfId="3691"/>
    <cellStyle name="40% - akcent 3 62 2" xfId="3692"/>
    <cellStyle name="40% - akcent 3 63" xfId="3693"/>
    <cellStyle name="40% - akcent 3 63 2" xfId="3694"/>
    <cellStyle name="40% - akcent 3 64" xfId="3695"/>
    <cellStyle name="40% - akcent 3 64 2" xfId="3696"/>
    <cellStyle name="40% - akcent 3 65" xfId="3697"/>
    <cellStyle name="40% - akcent 3 65 2" xfId="3698"/>
    <cellStyle name="40% - akcent 3 66" xfId="3699"/>
    <cellStyle name="40% - akcent 3 66 2" xfId="3700"/>
    <cellStyle name="40% - akcent 3 67" xfId="3701"/>
    <cellStyle name="40% - akcent 3 67 2" xfId="3702"/>
    <cellStyle name="40% - akcent 3 68" xfId="3703"/>
    <cellStyle name="40% - akcent 3 68 2" xfId="3704"/>
    <cellStyle name="40% - akcent 3 69" xfId="3705"/>
    <cellStyle name="40% - akcent 3 69 2" xfId="3706"/>
    <cellStyle name="40% - akcent 3 7" xfId="3707"/>
    <cellStyle name="40% - akcent 3 70" xfId="3708"/>
    <cellStyle name="40% - akcent 3 70 2" xfId="3709"/>
    <cellStyle name="40% - akcent 3 71" xfId="3710"/>
    <cellStyle name="40% - akcent 3 71 2" xfId="3711"/>
    <cellStyle name="40% - akcent 3 72" xfId="3712"/>
    <cellStyle name="40% - akcent 3 72 2" xfId="3713"/>
    <cellStyle name="40% - akcent 3 73" xfId="3714"/>
    <cellStyle name="40% - akcent 3 73 2" xfId="3715"/>
    <cellStyle name="40% - akcent 3 74" xfId="3716"/>
    <cellStyle name="40% - akcent 3 74 2" xfId="3717"/>
    <cellStyle name="40% - akcent 3 75" xfId="3718"/>
    <cellStyle name="40% - akcent 3 75 2" xfId="3719"/>
    <cellStyle name="40% - akcent 3 76" xfId="3720"/>
    <cellStyle name="40% - akcent 3 76 2" xfId="3721"/>
    <cellStyle name="40% - akcent 3 77" xfId="3722"/>
    <cellStyle name="40% - akcent 3 77 2" xfId="3723"/>
    <cellStyle name="40% - akcent 3 78" xfId="3724"/>
    <cellStyle name="40% - akcent 3 78 2" xfId="3725"/>
    <cellStyle name="40% - akcent 3 79" xfId="3726"/>
    <cellStyle name="40% - akcent 3 79 2" xfId="3727"/>
    <cellStyle name="40% - akcent 3 8" xfId="3728"/>
    <cellStyle name="40% - akcent 3 80" xfId="3729"/>
    <cellStyle name="40% - akcent 3 80 2" xfId="3730"/>
    <cellStyle name="40% - akcent 3 81" xfId="3731"/>
    <cellStyle name="40% - akcent 3 81 2" xfId="3732"/>
    <cellStyle name="40% - akcent 3 82" xfId="3733"/>
    <cellStyle name="40% - akcent 3 82 2" xfId="3734"/>
    <cellStyle name="40% - akcent 3 83" xfId="3735"/>
    <cellStyle name="40% - akcent 3 83 2" xfId="3736"/>
    <cellStyle name="40% - akcent 3 84" xfId="3737"/>
    <cellStyle name="40% - akcent 3 84 2" xfId="3738"/>
    <cellStyle name="40% - akcent 3 85" xfId="3739"/>
    <cellStyle name="40% - akcent 3 85 2" xfId="3740"/>
    <cellStyle name="40% - akcent 3 86" xfId="3741"/>
    <cellStyle name="40% - akcent 3 86 2" xfId="3742"/>
    <cellStyle name="40% - akcent 3 87" xfId="3743"/>
    <cellStyle name="40% - akcent 3 87 2" xfId="3744"/>
    <cellStyle name="40% - akcent 3 88" xfId="3745"/>
    <cellStyle name="40% - akcent 3 88 2" xfId="3746"/>
    <cellStyle name="40% - akcent 3 89" xfId="3747"/>
    <cellStyle name="40% - akcent 3 89 2" xfId="3748"/>
    <cellStyle name="40% - akcent 3 9" xfId="3749"/>
    <cellStyle name="40% - akcent 3 90" xfId="3750"/>
    <cellStyle name="40% - akcent 3 90 2" xfId="3751"/>
    <cellStyle name="40% - akcent 3 91" xfId="3752"/>
    <cellStyle name="40% - akcent 3 91 2" xfId="3753"/>
    <cellStyle name="40% - akcent 3 92" xfId="3754"/>
    <cellStyle name="40% - akcent 3 92 2" xfId="3755"/>
    <cellStyle name="40% - akcent 3 93" xfId="3756"/>
    <cellStyle name="40% - akcent 3 93 2" xfId="3757"/>
    <cellStyle name="40% - akcent 3 94" xfId="3758"/>
    <cellStyle name="40% - akcent 3 94 2" xfId="3759"/>
    <cellStyle name="40% - akcent 3 95" xfId="3760"/>
    <cellStyle name="40% - akcent 3 95 2" xfId="3761"/>
    <cellStyle name="40% - akcent 3 96" xfId="3762"/>
    <cellStyle name="40% - akcent 3 96 2" xfId="3763"/>
    <cellStyle name="40% - akcent 3 97" xfId="3764"/>
    <cellStyle name="40% - akcent 3 97 2" xfId="3765"/>
    <cellStyle name="40% - akcent 3 98" xfId="3766"/>
    <cellStyle name="40% - akcent 3 98 2" xfId="3767"/>
    <cellStyle name="40% - akcent 3 99" xfId="3768"/>
    <cellStyle name="40% - akcent 3 99 2" xfId="3769"/>
    <cellStyle name="40% - akcent 4 10" xfId="3770"/>
    <cellStyle name="40% - akcent 4 100" xfId="3771"/>
    <cellStyle name="40% - akcent 4 100 2" xfId="3772"/>
    <cellStyle name="40% - akcent 4 101" xfId="3773"/>
    <cellStyle name="40% - akcent 4 101 2" xfId="3774"/>
    <cellStyle name="40% - akcent 4 102" xfId="3775"/>
    <cellStyle name="40% - akcent 4 102 2" xfId="3776"/>
    <cellStyle name="40% - akcent 4 103" xfId="3777"/>
    <cellStyle name="40% - akcent 4 103 2" xfId="3778"/>
    <cellStyle name="40% - akcent 4 104" xfId="3779"/>
    <cellStyle name="40% - akcent 4 104 2" xfId="3780"/>
    <cellStyle name="40% - akcent 4 105" xfId="3781"/>
    <cellStyle name="40% - akcent 4 105 2" xfId="3782"/>
    <cellStyle name="40% - akcent 4 106" xfId="3783"/>
    <cellStyle name="40% - akcent 4 106 2" xfId="3784"/>
    <cellStyle name="40% - akcent 4 107" xfId="3785"/>
    <cellStyle name="40% - akcent 4 107 2" xfId="3786"/>
    <cellStyle name="40% - akcent 4 108" xfId="3787"/>
    <cellStyle name="40% - akcent 4 108 2" xfId="3788"/>
    <cellStyle name="40% - akcent 4 109" xfId="3789"/>
    <cellStyle name="40% - akcent 4 109 2" xfId="3790"/>
    <cellStyle name="40% - akcent 4 11" xfId="3791"/>
    <cellStyle name="40% - akcent 4 110" xfId="3792"/>
    <cellStyle name="40% - akcent 4 110 2" xfId="3793"/>
    <cellStyle name="40% - akcent 4 111" xfId="3794"/>
    <cellStyle name="40% - akcent 4 111 2" xfId="3795"/>
    <cellStyle name="40% - akcent 4 112" xfId="3796"/>
    <cellStyle name="40% - akcent 4 112 2" xfId="3797"/>
    <cellStyle name="40% - akcent 4 113" xfId="3798"/>
    <cellStyle name="40% - akcent 4 113 2" xfId="3799"/>
    <cellStyle name="40% - akcent 4 114" xfId="3800"/>
    <cellStyle name="40% - akcent 4 114 2" xfId="3801"/>
    <cellStyle name="40% - akcent 4 115" xfId="3802"/>
    <cellStyle name="40% - akcent 4 115 2" xfId="3803"/>
    <cellStyle name="40% - akcent 4 116" xfId="3804"/>
    <cellStyle name="40% - akcent 4 116 2" xfId="3805"/>
    <cellStyle name="40% - akcent 4 117" xfId="3806"/>
    <cellStyle name="40% - akcent 4 117 2" xfId="3807"/>
    <cellStyle name="40% - akcent 4 118" xfId="3808"/>
    <cellStyle name="40% - akcent 4 118 2" xfId="3809"/>
    <cellStyle name="40% - akcent 4 119" xfId="3810"/>
    <cellStyle name="40% - akcent 4 119 2" xfId="3811"/>
    <cellStyle name="40% - akcent 4 12" xfId="3812"/>
    <cellStyle name="40% - akcent 4 120" xfId="3813"/>
    <cellStyle name="40% - akcent 4 121" xfId="3814"/>
    <cellStyle name="40% - akcent 4 13" xfId="3815"/>
    <cellStyle name="40% - akcent 4 14" xfId="3816"/>
    <cellStyle name="40% - akcent 4 15" xfId="3817"/>
    <cellStyle name="40% - akcent 4 16" xfId="3818"/>
    <cellStyle name="40% - akcent 4 17" xfId="3819"/>
    <cellStyle name="40% - akcent 4 18" xfId="3820"/>
    <cellStyle name="40% - akcent 4 19" xfId="3821"/>
    <cellStyle name="40% - akcent 4 2" xfId="3822"/>
    <cellStyle name="40% - akcent 4 2 10" xfId="3823"/>
    <cellStyle name="40% - akcent 4 2 10 2" xfId="3824"/>
    <cellStyle name="40% - akcent 4 2 10 3" xfId="3825"/>
    <cellStyle name="40% - akcent 4 2 10 4" xfId="3826"/>
    <cellStyle name="40% - akcent 4 2 10 5" xfId="3827"/>
    <cellStyle name="40% - akcent 4 2 10 6" xfId="3828"/>
    <cellStyle name="40% - akcent 4 2 11" xfId="3829"/>
    <cellStyle name="40% - akcent 4 2 11 2" xfId="3830"/>
    <cellStyle name="40% - akcent 4 2 11 3" xfId="3831"/>
    <cellStyle name="40% - akcent 4 2 11 4" xfId="3832"/>
    <cellStyle name="40% - akcent 4 2 11 5" xfId="3833"/>
    <cellStyle name="40% - akcent 4 2 11 6" xfId="3834"/>
    <cellStyle name="40% - akcent 4 2 12" xfId="3835"/>
    <cellStyle name="40% - akcent 4 2 12 2" xfId="3836"/>
    <cellStyle name="40% - akcent 4 2 12 3" xfId="3837"/>
    <cellStyle name="40% - akcent 4 2 12 4" xfId="3838"/>
    <cellStyle name="40% - akcent 4 2 12 5" xfId="3839"/>
    <cellStyle name="40% - akcent 4 2 12 6" xfId="3840"/>
    <cellStyle name="40% - akcent 4 2 13" xfId="3841"/>
    <cellStyle name="40% - akcent 4 2 13 2" xfId="3842"/>
    <cellStyle name="40% - akcent 4 2 13 3" xfId="3843"/>
    <cellStyle name="40% - akcent 4 2 13 4" xfId="3844"/>
    <cellStyle name="40% - akcent 4 2 13 5" xfId="3845"/>
    <cellStyle name="40% - akcent 4 2 13 6" xfId="3846"/>
    <cellStyle name="40% - akcent 4 2 14" xfId="3847"/>
    <cellStyle name="40% - akcent 4 2 14 2" xfId="3848"/>
    <cellStyle name="40% - akcent 4 2 14 3" xfId="3849"/>
    <cellStyle name="40% - akcent 4 2 14 4" xfId="3850"/>
    <cellStyle name="40% - akcent 4 2 14 5" xfId="3851"/>
    <cellStyle name="40% - akcent 4 2 14 6" xfId="3852"/>
    <cellStyle name="40% - akcent 4 2 15" xfId="3853"/>
    <cellStyle name="40% - akcent 4 2 15 2" xfId="3854"/>
    <cellStyle name="40% - akcent 4 2 15 3" xfId="3855"/>
    <cellStyle name="40% - akcent 4 2 15 4" xfId="3856"/>
    <cellStyle name="40% - akcent 4 2 15 5" xfId="3857"/>
    <cellStyle name="40% - akcent 4 2 15 6" xfId="3858"/>
    <cellStyle name="40% - akcent 4 2 16" xfId="3859"/>
    <cellStyle name="40% - akcent 4 2 16 2" xfId="3860"/>
    <cellStyle name="40% - akcent 4 2 16 3" xfId="3861"/>
    <cellStyle name="40% - akcent 4 2 16 4" xfId="3862"/>
    <cellStyle name="40% - akcent 4 2 16 5" xfId="3863"/>
    <cellStyle name="40% - akcent 4 2 16 6" xfId="3864"/>
    <cellStyle name="40% - akcent 4 2 17" xfId="3865"/>
    <cellStyle name="40% - akcent 4 2 17 2" xfId="3866"/>
    <cellStyle name="40% - akcent 4 2 17 3" xfId="3867"/>
    <cellStyle name="40% - akcent 4 2 17 4" xfId="3868"/>
    <cellStyle name="40% - akcent 4 2 17 5" xfId="3869"/>
    <cellStyle name="40% - akcent 4 2 17 6" xfId="3870"/>
    <cellStyle name="40% - akcent 4 2 18" xfId="3871"/>
    <cellStyle name="40% - akcent 4 2 18 2" xfId="3872"/>
    <cellStyle name="40% - akcent 4 2 18 3" xfId="3873"/>
    <cellStyle name="40% - akcent 4 2 18 4" xfId="3874"/>
    <cellStyle name="40% - akcent 4 2 18 5" xfId="3875"/>
    <cellStyle name="40% - akcent 4 2 18 6" xfId="3876"/>
    <cellStyle name="40% - akcent 4 2 19" xfId="3877"/>
    <cellStyle name="40% - akcent 4 2 19 2" xfId="3878"/>
    <cellStyle name="40% - akcent 4 2 19 3" xfId="3879"/>
    <cellStyle name="40% - akcent 4 2 19 4" xfId="3880"/>
    <cellStyle name="40% - akcent 4 2 19 5" xfId="3881"/>
    <cellStyle name="40% - akcent 4 2 19 6" xfId="3882"/>
    <cellStyle name="40% - akcent 4 2 2" xfId="3883"/>
    <cellStyle name="40% - akcent 4 2 2 2" xfId="3884"/>
    <cellStyle name="40% - akcent 4 2 2 3" xfId="3885"/>
    <cellStyle name="40% - akcent 4 2 2 4" xfId="3886"/>
    <cellStyle name="40% - akcent 4 2 2 5" xfId="3887"/>
    <cellStyle name="40% - akcent 4 2 2 6" xfId="3888"/>
    <cellStyle name="40% - akcent 4 2 2 7" xfId="3889"/>
    <cellStyle name="40% - akcent 4 2 20" xfId="3890"/>
    <cellStyle name="40% - akcent 4 2 20 2" xfId="3891"/>
    <cellStyle name="40% - akcent 4 2 20 3" xfId="3892"/>
    <cellStyle name="40% - akcent 4 2 20 4" xfId="3893"/>
    <cellStyle name="40% - akcent 4 2 20 5" xfId="3894"/>
    <cellStyle name="40% - akcent 4 2 20 6" xfId="3895"/>
    <cellStyle name="40% - akcent 4 2 21" xfId="3896"/>
    <cellStyle name="40% - akcent 4 2 21 2" xfId="3897"/>
    <cellStyle name="40% - akcent 4 2 21 3" xfId="3898"/>
    <cellStyle name="40% - akcent 4 2 21 4" xfId="3899"/>
    <cellStyle name="40% - akcent 4 2 21 5" xfId="3900"/>
    <cellStyle name="40% - akcent 4 2 21 6" xfId="3901"/>
    <cellStyle name="40% - akcent 4 2 22" xfId="3902"/>
    <cellStyle name="40% - akcent 4 2 22 2" xfId="3903"/>
    <cellStyle name="40% - akcent 4 2 22 3" xfId="3904"/>
    <cellStyle name="40% - akcent 4 2 22 4" xfId="3905"/>
    <cellStyle name="40% - akcent 4 2 22 5" xfId="3906"/>
    <cellStyle name="40% - akcent 4 2 22 6" xfId="3907"/>
    <cellStyle name="40% - akcent 4 2 23" xfId="3908"/>
    <cellStyle name="40% - akcent 4 2 23 2" xfId="3909"/>
    <cellStyle name="40% - akcent 4 2 23 3" xfId="3910"/>
    <cellStyle name="40% - akcent 4 2 23 4" xfId="3911"/>
    <cellStyle name="40% - akcent 4 2 23 5" xfId="3912"/>
    <cellStyle name="40% - akcent 4 2 23 6" xfId="3913"/>
    <cellStyle name="40% - akcent 4 2 24" xfId="3914"/>
    <cellStyle name="40% - akcent 4 2 24 2" xfId="3915"/>
    <cellStyle name="40% - akcent 4 2 24 3" xfId="3916"/>
    <cellStyle name="40% - akcent 4 2 24 4" xfId="3917"/>
    <cellStyle name="40% - akcent 4 2 24 5" xfId="3918"/>
    <cellStyle name="40% - akcent 4 2 24 6" xfId="3919"/>
    <cellStyle name="40% - akcent 4 2 25" xfId="3920"/>
    <cellStyle name="40% - akcent 4 2 25 2" xfId="3921"/>
    <cellStyle name="40% - akcent 4 2 25 3" xfId="3922"/>
    <cellStyle name="40% - akcent 4 2 25 4" xfId="3923"/>
    <cellStyle name="40% - akcent 4 2 25 5" xfId="3924"/>
    <cellStyle name="40% - akcent 4 2 25 6" xfId="3925"/>
    <cellStyle name="40% - akcent 4 2 26" xfId="3926"/>
    <cellStyle name="40% - akcent 4 2 26 2" xfId="3927"/>
    <cellStyle name="40% - akcent 4 2 26 3" xfId="3928"/>
    <cellStyle name="40% - akcent 4 2 26 4" xfId="3929"/>
    <cellStyle name="40% - akcent 4 2 26 5" xfId="3930"/>
    <cellStyle name="40% - akcent 4 2 26 6" xfId="3931"/>
    <cellStyle name="40% - akcent 4 2 27" xfId="3932"/>
    <cellStyle name="40% - akcent 4 2 27 2" xfId="3933"/>
    <cellStyle name="40% - akcent 4 2 27 3" xfId="3934"/>
    <cellStyle name="40% - akcent 4 2 27 4" xfId="3935"/>
    <cellStyle name="40% - akcent 4 2 27 5" xfId="3936"/>
    <cellStyle name="40% - akcent 4 2 27 6" xfId="3937"/>
    <cellStyle name="40% - akcent 4 2 28" xfId="3938"/>
    <cellStyle name="40% - akcent 4 2 28 2" xfId="3939"/>
    <cellStyle name="40% - akcent 4 2 28 3" xfId="3940"/>
    <cellStyle name="40% - akcent 4 2 28 4" xfId="3941"/>
    <cellStyle name="40% - akcent 4 2 28 5" xfId="3942"/>
    <cellStyle name="40% - akcent 4 2 28 6" xfId="3943"/>
    <cellStyle name="40% - akcent 4 2 29" xfId="3944"/>
    <cellStyle name="40% - akcent 4 2 29 2" xfId="3945"/>
    <cellStyle name="40% - akcent 4 2 3" xfId="3946"/>
    <cellStyle name="40% - akcent 4 2 3 2" xfId="3947"/>
    <cellStyle name="40% - akcent 4 2 3 3" xfId="3948"/>
    <cellStyle name="40% - akcent 4 2 3 4" xfId="3949"/>
    <cellStyle name="40% - akcent 4 2 3 5" xfId="3950"/>
    <cellStyle name="40% - akcent 4 2 3 6" xfId="3951"/>
    <cellStyle name="40% - akcent 4 2 3 7" xfId="3952"/>
    <cellStyle name="40% - akcent 4 2 30" xfId="3953"/>
    <cellStyle name="40% - akcent 4 2 30 2" xfId="3954"/>
    <cellStyle name="40% - akcent 4 2 31" xfId="3955"/>
    <cellStyle name="40% - akcent 4 2 31 2" xfId="3956"/>
    <cellStyle name="40% - akcent 4 2 32" xfId="3957"/>
    <cellStyle name="40% - akcent 4 2 32 2" xfId="3958"/>
    <cellStyle name="40% - akcent 4 2 33" xfId="3959"/>
    <cellStyle name="40% - akcent 4 2 34" xfId="3960"/>
    <cellStyle name="40% - akcent 4 2 35" xfId="3961"/>
    <cellStyle name="40% - akcent 4 2 36" xfId="3962"/>
    <cellStyle name="40% - akcent 4 2 37" xfId="3963"/>
    <cellStyle name="40% - akcent 4 2 38" xfId="3964"/>
    <cellStyle name="40% - akcent 4 2 39" xfId="3965"/>
    <cellStyle name="40% - akcent 4 2 4" xfId="3966"/>
    <cellStyle name="40% - akcent 4 2 4 2" xfId="3967"/>
    <cellStyle name="40% - akcent 4 2 4 3" xfId="3968"/>
    <cellStyle name="40% - akcent 4 2 4 4" xfId="3969"/>
    <cellStyle name="40% - akcent 4 2 4 5" xfId="3970"/>
    <cellStyle name="40% - akcent 4 2 4 6" xfId="3971"/>
    <cellStyle name="40% - akcent 4 2 4 7" xfId="3972"/>
    <cellStyle name="40% - akcent 4 2 40" xfId="3973"/>
    <cellStyle name="40% - akcent 4 2 41" xfId="3974"/>
    <cellStyle name="40% - akcent 4 2 42" xfId="3975"/>
    <cellStyle name="40% - akcent 4 2 43" xfId="3976"/>
    <cellStyle name="40% - akcent 4 2 44" xfId="3977"/>
    <cellStyle name="40% - akcent 4 2 45" xfId="3978"/>
    <cellStyle name="40% - akcent 4 2 46" xfId="3979"/>
    <cellStyle name="40% - akcent 4 2 47" xfId="3980"/>
    <cellStyle name="40% - akcent 4 2 48" xfId="3981"/>
    <cellStyle name="40% - akcent 4 2 49" xfId="3982"/>
    <cellStyle name="40% - akcent 4 2 5" xfId="3983"/>
    <cellStyle name="40% - akcent 4 2 5 2" xfId="3984"/>
    <cellStyle name="40% - akcent 4 2 5 3" xfId="3985"/>
    <cellStyle name="40% - akcent 4 2 5 4" xfId="3986"/>
    <cellStyle name="40% - akcent 4 2 5 5" xfId="3987"/>
    <cellStyle name="40% - akcent 4 2 5 6" xfId="3988"/>
    <cellStyle name="40% - akcent 4 2 50" xfId="3989"/>
    <cellStyle name="40% - akcent 4 2 51" xfId="3990"/>
    <cellStyle name="40% - akcent 4 2 6" xfId="3991"/>
    <cellStyle name="40% - akcent 4 2 6 2" xfId="3992"/>
    <cellStyle name="40% - akcent 4 2 6 3" xfId="3993"/>
    <cellStyle name="40% - akcent 4 2 6 4" xfId="3994"/>
    <cellStyle name="40% - akcent 4 2 6 5" xfId="3995"/>
    <cellStyle name="40% - akcent 4 2 6 6" xfId="3996"/>
    <cellStyle name="40% - akcent 4 2 7" xfId="3997"/>
    <cellStyle name="40% - akcent 4 2 7 2" xfId="3998"/>
    <cellStyle name="40% - akcent 4 2 7 3" xfId="3999"/>
    <cellStyle name="40% - akcent 4 2 7 4" xfId="4000"/>
    <cellStyle name="40% - akcent 4 2 7 5" xfId="4001"/>
    <cellStyle name="40% - akcent 4 2 7 6" xfId="4002"/>
    <cellStyle name="40% - akcent 4 2 8" xfId="4003"/>
    <cellStyle name="40% - akcent 4 2 8 2" xfId="4004"/>
    <cellStyle name="40% - akcent 4 2 8 3" xfId="4005"/>
    <cellStyle name="40% - akcent 4 2 8 4" xfId="4006"/>
    <cellStyle name="40% - akcent 4 2 8 5" xfId="4007"/>
    <cellStyle name="40% - akcent 4 2 8 6" xfId="4008"/>
    <cellStyle name="40% - akcent 4 2 9" xfId="4009"/>
    <cellStyle name="40% - akcent 4 2 9 2" xfId="4010"/>
    <cellStyle name="40% - akcent 4 2 9 3" xfId="4011"/>
    <cellStyle name="40% - akcent 4 2 9 4" xfId="4012"/>
    <cellStyle name="40% - akcent 4 2 9 5" xfId="4013"/>
    <cellStyle name="40% - akcent 4 2 9 6" xfId="4014"/>
    <cellStyle name="40% - akcent 4 20" xfId="4015"/>
    <cellStyle name="40% - akcent 4 21" xfId="4016"/>
    <cellStyle name="40% - akcent 4 22" xfId="4017"/>
    <cellStyle name="40% - akcent 4 23" xfId="4018"/>
    <cellStyle name="40% - akcent 4 24" xfId="4019"/>
    <cellStyle name="40% - akcent 4 25" xfId="4020"/>
    <cellStyle name="40% - akcent 4 26" xfId="4021"/>
    <cellStyle name="40% - akcent 4 27" xfId="4022"/>
    <cellStyle name="40% - akcent 4 28" xfId="4023"/>
    <cellStyle name="40% - akcent 4 29" xfId="4024"/>
    <cellStyle name="40% - akcent 4 3" xfId="4025"/>
    <cellStyle name="40% - akcent 4 3 2" xfId="4026"/>
    <cellStyle name="40% - akcent 4 3 2 2" xfId="4027"/>
    <cellStyle name="40% - akcent 4 3 3" xfId="4028"/>
    <cellStyle name="40% - akcent 4 3 3 2" xfId="4029"/>
    <cellStyle name="40% - akcent 4 3 4" xfId="4030"/>
    <cellStyle name="40% - akcent 4 3 4 2" xfId="4031"/>
    <cellStyle name="40% - akcent 4 3 5" xfId="4032"/>
    <cellStyle name="40% - akcent 4 3 6" xfId="4033"/>
    <cellStyle name="40% - akcent 4 3 7" xfId="4034"/>
    <cellStyle name="40% - akcent 4 3 8" xfId="4035"/>
    <cellStyle name="40% - akcent 4 30" xfId="4036"/>
    <cellStyle name="40% - akcent 4 30 2" xfId="4037"/>
    <cellStyle name="40% - akcent 4 31" xfId="4038"/>
    <cellStyle name="40% - akcent 4 31 2" xfId="4039"/>
    <cellStyle name="40% - akcent 4 32" xfId="4040"/>
    <cellStyle name="40% - akcent 4 32 2" xfId="4041"/>
    <cellStyle name="40% - akcent 4 33" xfId="4042"/>
    <cellStyle name="40% - akcent 4 33 2" xfId="4043"/>
    <cellStyle name="40% - akcent 4 34" xfId="4044"/>
    <cellStyle name="40% - akcent 4 34 2" xfId="4045"/>
    <cellStyle name="40% - akcent 4 35" xfId="4046"/>
    <cellStyle name="40% - akcent 4 35 2" xfId="4047"/>
    <cellStyle name="40% - akcent 4 36" xfId="4048"/>
    <cellStyle name="40% - akcent 4 36 2" xfId="4049"/>
    <cellStyle name="40% - akcent 4 37" xfId="4050"/>
    <cellStyle name="40% - akcent 4 37 2" xfId="4051"/>
    <cellStyle name="40% - akcent 4 38" xfId="4052"/>
    <cellStyle name="40% - akcent 4 38 2" xfId="4053"/>
    <cellStyle name="40% - akcent 4 39" xfId="4054"/>
    <cellStyle name="40% - akcent 4 39 2" xfId="4055"/>
    <cellStyle name="40% - akcent 4 4" xfId="4056"/>
    <cellStyle name="40% - akcent 4 4 2" xfId="4057"/>
    <cellStyle name="40% - akcent 4 4 2 2" xfId="4058"/>
    <cellStyle name="40% - akcent 4 4 3" xfId="4059"/>
    <cellStyle name="40% - akcent 4 4 3 2" xfId="4060"/>
    <cellStyle name="40% - akcent 4 4 4" xfId="4061"/>
    <cellStyle name="40% - akcent 4 4 4 2" xfId="4062"/>
    <cellStyle name="40% - akcent 4 4 5" xfId="4063"/>
    <cellStyle name="40% - akcent 4 4 6" xfId="4064"/>
    <cellStyle name="40% - akcent 4 4 7" xfId="4065"/>
    <cellStyle name="40% - akcent 4 4 8" xfId="4066"/>
    <cellStyle name="40% - akcent 4 40" xfId="4067"/>
    <cellStyle name="40% - akcent 4 40 2" xfId="4068"/>
    <cellStyle name="40% - akcent 4 41" xfId="4069"/>
    <cellStyle name="40% - akcent 4 41 2" xfId="4070"/>
    <cellStyle name="40% - akcent 4 42" xfId="4071"/>
    <cellStyle name="40% - akcent 4 42 2" xfId="4072"/>
    <cellStyle name="40% - akcent 4 43" xfId="4073"/>
    <cellStyle name="40% - akcent 4 43 2" xfId="4074"/>
    <cellStyle name="40% - akcent 4 44" xfId="4075"/>
    <cellStyle name="40% - akcent 4 44 2" xfId="4076"/>
    <cellStyle name="40% - akcent 4 45" xfId="4077"/>
    <cellStyle name="40% - akcent 4 45 2" xfId="4078"/>
    <cellStyle name="40% - akcent 4 46" xfId="4079"/>
    <cellStyle name="40% - akcent 4 46 2" xfId="4080"/>
    <cellStyle name="40% - akcent 4 47" xfId="4081"/>
    <cellStyle name="40% - akcent 4 47 2" xfId="4082"/>
    <cellStyle name="40% - akcent 4 48" xfId="4083"/>
    <cellStyle name="40% - akcent 4 48 2" xfId="4084"/>
    <cellStyle name="40% - akcent 4 49" xfId="4085"/>
    <cellStyle name="40% - akcent 4 49 2" xfId="4086"/>
    <cellStyle name="40% - akcent 4 5" xfId="4087"/>
    <cellStyle name="40% - akcent 4 5 2" xfId="4088"/>
    <cellStyle name="40% - akcent 4 5 3" xfId="4089"/>
    <cellStyle name="40% - akcent 4 50" xfId="4090"/>
    <cellStyle name="40% - akcent 4 50 2" xfId="4091"/>
    <cellStyle name="40% - akcent 4 51" xfId="4092"/>
    <cellStyle name="40% - akcent 4 51 2" xfId="4093"/>
    <cellStyle name="40% - akcent 4 52" xfId="4094"/>
    <cellStyle name="40% - akcent 4 52 2" xfId="4095"/>
    <cellStyle name="40% - akcent 4 53" xfId="4096"/>
    <cellStyle name="40% - akcent 4 53 2" xfId="4097"/>
    <cellStyle name="40% - akcent 4 54" xfId="4098"/>
    <cellStyle name="40% - akcent 4 54 2" xfId="4099"/>
    <cellStyle name="40% - akcent 4 55" xfId="4100"/>
    <cellStyle name="40% - akcent 4 55 2" xfId="4101"/>
    <cellStyle name="40% - akcent 4 56" xfId="4102"/>
    <cellStyle name="40% - akcent 4 56 2" xfId="4103"/>
    <cellStyle name="40% - akcent 4 57" xfId="4104"/>
    <cellStyle name="40% - akcent 4 57 2" xfId="4105"/>
    <cellStyle name="40% - akcent 4 58" xfId="4106"/>
    <cellStyle name="40% - akcent 4 58 2" xfId="4107"/>
    <cellStyle name="40% - akcent 4 59" xfId="4108"/>
    <cellStyle name="40% - akcent 4 59 2" xfId="4109"/>
    <cellStyle name="40% - akcent 4 6" xfId="4110"/>
    <cellStyle name="40% - akcent 4 60" xfId="4111"/>
    <cellStyle name="40% - akcent 4 60 2" xfId="4112"/>
    <cellStyle name="40% - akcent 4 61" xfId="4113"/>
    <cellStyle name="40% - akcent 4 61 2" xfId="4114"/>
    <cellStyle name="40% - akcent 4 62" xfId="4115"/>
    <cellStyle name="40% - akcent 4 62 2" xfId="4116"/>
    <cellStyle name="40% - akcent 4 63" xfId="4117"/>
    <cellStyle name="40% - akcent 4 63 2" xfId="4118"/>
    <cellStyle name="40% - akcent 4 64" xfId="4119"/>
    <cellStyle name="40% - akcent 4 64 2" xfId="4120"/>
    <cellStyle name="40% - akcent 4 65" xfId="4121"/>
    <cellStyle name="40% - akcent 4 65 2" xfId="4122"/>
    <cellStyle name="40% - akcent 4 66" xfId="4123"/>
    <cellStyle name="40% - akcent 4 66 2" xfId="4124"/>
    <cellStyle name="40% - akcent 4 67" xfId="4125"/>
    <cellStyle name="40% - akcent 4 67 2" xfId="4126"/>
    <cellStyle name="40% - akcent 4 68" xfId="4127"/>
    <cellStyle name="40% - akcent 4 68 2" xfId="4128"/>
    <cellStyle name="40% - akcent 4 69" xfId="4129"/>
    <cellStyle name="40% - akcent 4 69 2" xfId="4130"/>
    <cellStyle name="40% - akcent 4 7" xfId="4131"/>
    <cellStyle name="40% - akcent 4 70" xfId="4132"/>
    <cellStyle name="40% - akcent 4 70 2" xfId="4133"/>
    <cellStyle name="40% - akcent 4 71" xfId="4134"/>
    <cellStyle name="40% - akcent 4 71 2" xfId="4135"/>
    <cellStyle name="40% - akcent 4 72" xfId="4136"/>
    <cellStyle name="40% - akcent 4 72 2" xfId="4137"/>
    <cellStyle name="40% - akcent 4 73" xfId="4138"/>
    <cellStyle name="40% - akcent 4 73 2" xfId="4139"/>
    <cellStyle name="40% - akcent 4 74" xfId="4140"/>
    <cellStyle name="40% - akcent 4 74 2" xfId="4141"/>
    <cellStyle name="40% - akcent 4 75" xfId="4142"/>
    <cellStyle name="40% - akcent 4 75 2" xfId="4143"/>
    <cellStyle name="40% - akcent 4 76" xfId="4144"/>
    <cellStyle name="40% - akcent 4 76 2" xfId="4145"/>
    <cellStyle name="40% - akcent 4 77" xfId="4146"/>
    <cellStyle name="40% - akcent 4 77 2" xfId="4147"/>
    <cellStyle name="40% - akcent 4 78" xfId="4148"/>
    <cellStyle name="40% - akcent 4 78 2" xfId="4149"/>
    <cellStyle name="40% - akcent 4 79" xfId="4150"/>
    <cellStyle name="40% - akcent 4 79 2" xfId="4151"/>
    <cellStyle name="40% - akcent 4 8" xfId="4152"/>
    <cellStyle name="40% - akcent 4 80" xfId="4153"/>
    <cellStyle name="40% - akcent 4 80 2" xfId="4154"/>
    <cellStyle name="40% - akcent 4 81" xfId="4155"/>
    <cellStyle name="40% - akcent 4 81 2" xfId="4156"/>
    <cellStyle name="40% - akcent 4 82" xfId="4157"/>
    <cellStyle name="40% - akcent 4 82 2" xfId="4158"/>
    <cellStyle name="40% - akcent 4 83" xfId="4159"/>
    <cellStyle name="40% - akcent 4 83 2" xfId="4160"/>
    <cellStyle name="40% - akcent 4 84" xfId="4161"/>
    <cellStyle name="40% - akcent 4 84 2" xfId="4162"/>
    <cellStyle name="40% - akcent 4 85" xfId="4163"/>
    <cellStyle name="40% - akcent 4 85 2" xfId="4164"/>
    <cellStyle name="40% - akcent 4 86" xfId="4165"/>
    <cellStyle name="40% - akcent 4 86 2" xfId="4166"/>
    <cellStyle name="40% - akcent 4 87" xfId="4167"/>
    <cellStyle name="40% - akcent 4 87 2" xfId="4168"/>
    <cellStyle name="40% - akcent 4 88" xfId="4169"/>
    <cellStyle name="40% - akcent 4 88 2" xfId="4170"/>
    <cellStyle name="40% - akcent 4 89" xfId="4171"/>
    <cellStyle name="40% - akcent 4 89 2" xfId="4172"/>
    <cellStyle name="40% - akcent 4 9" xfId="4173"/>
    <cellStyle name="40% - akcent 4 90" xfId="4174"/>
    <cellStyle name="40% - akcent 4 90 2" xfId="4175"/>
    <cellStyle name="40% - akcent 4 91" xfId="4176"/>
    <cellStyle name="40% - akcent 4 91 2" xfId="4177"/>
    <cellStyle name="40% - akcent 4 92" xfId="4178"/>
    <cellStyle name="40% - akcent 4 92 2" xfId="4179"/>
    <cellStyle name="40% - akcent 4 93" xfId="4180"/>
    <cellStyle name="40% - akcent 4 93 2" xfId="4181"/>
    <cellStyle name="40% - akcent 4 94" xfId="4182"/>
    <cellStyle name="40% - akcent 4 94 2" xfId="4183"/>
    <cellStyle name="40% - akcent 4 95" xfId="4184"/>
    <cellStyle name="40% - akcent 4 95 2" xfId="4185"/>
    <cellStyle name="40% - akcent 4 96" xfId="4186"/>
    <cellStyle name="40% - akcent 4 96 2" xfId="4187"/>
    <cellStyle name="40% - akcent 4 97" xfId="4188"/>
    <cellStyle name="40% - akcent 4 97 2" xfId="4189"/>
    <cellStyle name="40% - akcent 4 98" xfId="4190"/>
    <cellStyle name="40% - akcent 4 98 2" xfId="4191"/>
    <cellStyle name="40% - akcent 4 99" xfId="4192"/>
    <cellStyle name="40% - akcent 4 99 2" xfId="4193"/>
    <cellStyle name="40% - akcent 5 10" xfId="4194"/>
    <cellStyle name="40% - akcent 5 100" xfId="4195"/>
    <cellStyle name="40% - akcent 5 100 2" xfId="4196"/>
    <cellStyle name="40% - akcent 5 101" xfId="4197"/>
    <cellStyle name="40% - akcent 5 101 2" xfId="4198"/>
    <cellStyle name="40% - akcent 5 102" xfId="4199"/>
    <cellStyle name="40% - akcent 5 102 2" xfId="4200"/>
    <cellStyle name="40% - akcent 5 103" xfId="4201"/>
    <cellStyle name="40% - akcent 5 103 2" xfId="4202"/>
    <cellStyle name="40% - akcent 5 104" xfId="4203"/>
    <cellStyle name="40% - akcent 5 104 2" xfId="4204"/>
    <cellStyle name="40% - akcent 5 105" xfId="4205"/>
    <cellStyle name="40% - akcent 5 105 2" xfId="4206"/>
    <cellStyle name="40% - akcent 5 106" xfId="4207"/>
    <cellStyle name="40% - akcent 5 106 2" xfId="4208"/>
    <cellStyle name="40% - akcent 5 107" xfId="4209"/>
    <cellStyle name="40% - akcent 5 107 2" xfId="4210"/>
    <cellStyle name="40% - akcent 5 108" xfId="4211"/>
    <cellStyle name="40% - akcent 5 108 2" xfId="4212"/>
    <cellStyle name="40% - akcent 5 109" xfId="4213"/>
    <cellStyle name="40% - akcent 5 109 2" xfId="4214"/>
    <cellStyle name="40% - akcent 5 11" xfId="4215"/>
    <cellStyle name="40% - akcent 5 110" xfId="4216"/>
    <cellStyle name="40% - akcent 5 110 2" xfId="4217"/>
    <cellStyle name="40% - akcent 5 111" xfId="4218"/>
    <cellStyle name="40% - akcent 5 111 2" xfId="4219"/>
    <cellStyle name="40% - akcent 5 112" xfId="4220"/>
    <cellStyle name="40% - akcent 5 112 2" xfId="4221"/>
    <cellStyle name="40% - akcent 5 113" xfId="4222"/>
    <cellStyle name="40% - akcent 5 113 2" xfId="4223"/>
    <cellStyle name="40% - akcent 5 114" xfId="4224"/>
    <cellStyle name="40% - akcent 5 114 2" xfId="4225"/>
    <cellStyle name="40% - akcent 5 115" xfId="4226"/>
    <cellStyle name="40% - akcent 5 115 2" xfId="4227"/>
    <cellStyle name="40% - akcent 5 116" xfId="4228"/>
    <cellStyle name="40% - akcent 5 116 2" xfId="4229"/>
    <cellStyle name="40% - akcent 5 117" xfId="4230"/>
    <cellStyle name="40% - akcent 5 117 2" xfId="4231"/>
    <cellStyle name="40% - akcent 5 118" xfId="4232"/>
    <cellStyle name="40% - akcent 5 118 2" xfId="4233"/>
    <cellStyle name="40% - akcent 5 119" xfId="4234"/>
    <cellStyle name="40% - akcent 5 119 2" xfId="4235"/>
    <cellStyle name="40% - akcent 5 12" xfId="4236"/>
    <cellStyle name="40% - akcent 5 120" xfId="4237"/>
    <cellStyle name="40% - akcent 5 121" xfId="4238"/>
    <cellStyle name="40% - akcent 5 13" xfId="4239"/>
    <cellStyle name="40% - akcent 5 14" xfId="4240"/>
    <cellStyle name="40% - akcent 5 15" xfId="4241"/>
    <cellStyle name="40% - akcent 5 16" xfId="4242"/>
    <cellStyle name="40% - akcent 5 17" xfId="4243"/>
    <cellStyle name="40% - akcent 5 18" xfId="4244"/>
    <cellStyle name="40% - akcent 5 19" xfId="4245"/>
    <cellStyle name="40% - akcent 5 2" xfId="4246"/>
    <cellStyle name="40% - akcent 5 2 10" xfId="4247"/>
    <cellStyle name="40% - akcent 5 2 10 2" xfId="4248"/>
    <cellStyle name="40% - akcent 5 2 10 3" xfId="4249"/>
    <cellStyle name="40% - akcent 5 2 10 4" xfId="4250"/>
    <cellStyle name="40% - akcent 5 2 10 5" xfId="4251"/>
    <cellStyle name="40% - akcent 5 2 10 6" xfId="4252"/>
    <cellStyle name="40% - akcent 5 2 11" xfId="4253"/>
    <cellStyle name="40% - akcent 5 2 11 2" xfId="4254"/>
    <cellStyle name="40% - akcent 5 2 11 3" xfId="4255"/>
    <cellStyle name="40% - akcent 5 2 11 4" xfId="4256"/>
    <cellStyle name="40% - akcent 5 2 11 5" xfId="4257"/>
    <cellStyle name="40% - akcent 5 2 11 6" xfId="4258"/>
    <cellStyle name="40% - akcent 5 2 12" xfId="4259"/>
    <cellStyle name="40% - akcent 5 2 12 2" xfId="4260"/>
    <cellStyle name="40% - akcent 5 2 12 3" xfId="4261"/>
    <cellStyle name="40% - akcent 5 2 12 4" xfId="4262"/>
    <cellStyle name="40% - akcent 5 2 12 5" xfId="4263"/>
    <cellStyle name="40% - akcent 5 2 12 6" xfId="4264"/>
    <cellStyle name="40% - akcent 5 2 13" xfId="4265"/>
    <cellStyle name="40% - akcent 5 2 13 2" xfId="4266"/>
    <cellStyle name="40% - akcent 5 2 13 3" xfId="4267"/>
    <cellStyle name="40% - akcent 5 2 13 4" xfId="4268"/>
    <cellStyle name="40% - akcent 5 2 13 5" xfId="4269"/>
    <cellStyle name="40% - akcent 5 2 13 6" xfId="4270"/>
    <cellStyle name="40% - akcent 5 2 14" xfId="4271"/>
    <cellStyle name="40% - akcent 5 2 14 2" xfId="4272"/>
    <cellStyle name="40% - akcent 5 2 14 3" xfId="4273"/>
    <cellStyle name="40% - akcent 5 2 14 4" xfId="4274"/>
    <cellStyle name="40% - akcent 5 2 14 5" xfId="4275"/>
    <cellStyle name="40% - akcent 5 2 14 6" xfId="4276"/>
    <cellStyle name="40% - akcent 5 2 15" xfId="4277"/>
    <cellStyle name="40% - akcent 5 2 15 2" xfId="4278"/>
    <cellStyle name="40% - akcent 5 2 15 3" xfId="4279"/>
    <cellStyle name="40% - akcent 5 2 15 4" xfId="4280"/>
    <cellStyle name="40% - akcent 5 2 15 5" xfId="4281"/>
    <cellStyle name="40% - akcent 5 2 15 6" xfId="4282"/>
    <cellStyle name="40% - akcent 5 2 16" xfId="4283"/>
    <cellStyle name="40% - akcent 5 2 16 2" xfId="4284"/>
    <cellStyle name="40% - akcent 5 2 16 3" xfId="4285"/>
    <cellStyle name="40% - akcent 5 2 16 4" xfId="4286"/>
    <cellStyle name="40% - akcent 5 2 16 5" xfId="4287"/>
    <cellStyle name="40% - akcent 5 2 16 6" xfId="4288"/>
    <cellStyle name="40% - akcent 5 2 17" xfId="4289"/>
    <cellStyle name="40% - akcent 5 2 17 2" xfId="4290"/>
    <cellStyle name="40% - akcent 5 2 17 3" xfId="4291"/>
    <cellStyle name="40% - akcent 5 2 17 4" xfId="4292"/>
    <cellStyle name="40% - akcent 5 2 17 5" xfId="4293"/>
    <cellStyle name="40% - akcent 5 2 17 6" xfId="4294"/>
    <cellStyle name="40% - akcent 5 2 18" xfId="4295"/>
    <cellStyle name="40% - akcent 5 2 18 2" xfId="4296"/>
    <cellStyle name="40% - akcent 5 2 18 3" xfId="4297"/>
    <cellStyle name="40% - akcent 5 2 18 4" xfId="4298"/>
    <cellStyle name="40% - akcent 5 2 18 5" xfId="4299"/>
    <cellStyle name="40% - akcent 5 2 18 6" xfId="4300"/>
    <cellStyle name="40% - akcent 5 2 19" xfId="4301"/>
    <cellStyle name="40% - akcent 5 2 19 2" xfId="4302"/>
    <cellStyle name="40% - akcent 5 2 19 3" xfId="4303"/>
    <cellStyle name="40% - akcent 5 2 19 4" xfId="4304"/>
    <cellStyle name="40% - akcent 5 2 19 5" xfId="4305"/>
    <cellStyle name="40% - akcent 5 2 19 6" xfId="4306"/>
    <cellStyle name="40% - akcent 5 2 2" xfId="4307"/>
    <cellStyle name="40% - akcent 5 2 2 2" xfId="4308"/>
    <cellStyle name="40% - akcent 5 2 2 3" xfId="4309"/>
    <cellStyle name="40% - akcent 5 2 2 4" xfId="4310"/>
    <cellStyle name="40% - akcent 5 2 2 5" xfId="4311"/>
    <cellStyle name="40% - akcent 5 2 2 6" xfId="4312"/>
    <cellStyle name="40% - akcent 5 2 2 7" xfId="4313"/>
    <cellStyle name="40% - akcent 5 2 20" xfId="4314"/>
    <cellStyle name="40% - akcent 5 2 20 2" xfId="4315"/>
    <cellStyle name="40% - akcent 5 2 20 3" xfId="4316"/>
    <cellStyle name="40% - akcent 5 2 20 4" xfId="4317"/>
    <cellStyle name="40% - akcent 5 2 20 5" xfId="4318"/>
    <cellStyle name="40% - akcent 5 2 20 6" xfId="4319"/>
    <cellStyle name="40% - akcent 5 2 21" xfId="4320"/>
    <cellStyle name="40% - akcent 5 2 21 2" xfId="4321"/>
    <cellStyle name="40% - akcent 5 2 21 3" xfId="4322"/>
    <cellStyle name="40% - akcent 5 2 21 4" xfId="4323"/>
    <cellStyle name="40% - akcent 5 2 21 5" xfId="4324"/>
    <cellStyle name="40% - akcent 5 2 21 6" xfId="4325"/>
    <cellStyle name="40% - akcent 5 2 22" xfId="4326"/>
    <cellStyle name="40% - akcent 5 2 22 2" xfId="4327"/>
    <cellStyle name="40% - akcent 5 2 22 3" xfId="4328"/>
    <cellStyle name="40% - akcent 5 2 22 4" xfId="4329"/>
    <cellStyle name="40% - akcent 5 2 22 5" xfId="4330"/>
    <cellStyle name="40% - akcent 5 2 22 6" xfId="4331"/>
    <cellStyle name="40% - akcent 5 2 23" xfId="4332"/>
    <cellStyle name="40% - akcent 5 2 23 2" xfId="4333"/>
    <cellStyle name="40% - akcent 5 2 23 3" xfId="4334"/>
    <cellStyle name="40% - akcent 5 2 23 4" xfId="4335"/>
    <cellStyle name="40% - akcent 5 2 23 5" xfId="4336"/>
    <cellStyle name="40% - akcent 5 2 23 6" xfId="4337"/>
    <cellStyle name="40% - akcent 5 2 24" xfId="4338"/>
    <cellStyle name="40% - akcent 5 2 24 2" xfId="4339"/>
    <cellStyle name="40% - akcent 5 2 24 3" xfId="4340"/>
    <cellStyle name="40% - akcent 5 2 24 4" xfId="4341"/>
    <cellStyle name="40% - akcent 5 2 24 5" xfId="4342"/>
    <cellStyle name="40% - akcent 5 2 24 6" xfId="4343"/>
    <cellStyle name="40% - akcent 5 2 25" xfId="4344"/>
    <cellStyle name="40% - akcent 5 2 25 2" xfId="4345"/>
    <cellStyle name="40% - akcent 5 2 25 3" xfId="4346"/>
    <cellStyle name="40% - akcent 5 2 25 4" xfId="4347"/>
    <cellStyle name="40% - akcent 5 2 25 5" xfId="4348"/>
    <cellStyle name="40% - akcent 5 2 25 6" xfId="4349"/>
    <cellStyle name="40% - akcent 5 2 26" xfId="4350"/>
    <cellStyle name="40% - akcent 5 2 26 2" xfId="4351"/>
    <cellStyle name="40% - akcent 5 2 26 3" xfId="4352"/>
    <cellStyle name="40% - akcent 5 2 26 4" xfId="4353"/>
    <cellStyle name="40% - akcent 5 2 26 5" xfId="4354"/>
    <cellStyle name="40% - akcent 5 2 26 6" xfId="4355"/>
    <cellStyle name="40% - akcent 5 2 27" xfId="4356"/>
    <cellStyle name="40% - akcent 5 2 27 2" xfId="4357"/>
    <cellStyle name="40% - akcent 5 2 27 3" xfId="4358"/>
    <cellStyle name="40% - akcent 5 2 27 4" xfId="4359"/>
    <cellStyle name="40% - akcent 5 2 27 5" xfId="4360"/>
    <cellStyle name="40% - akcent 5 2 27 6" xfId="4361"/>
    <cellStyle name="40% - akcent 5 2 28" xfId="4362"/>
    <cellStyle name="40% - akcent 5 2 28 2" xfId="4363"/>
    <cellStyle name="40% - akcent 5 2 28 3" xfId="4364"/>
    <cellStyle name="40% - akcent 5 2 28 4" xfId="4365"/>
    <cellStyle name="40% - akcent 5 2 28 5" xfId="4366"/>
    <cellStyle name="40% - akcent 5 2 28 6" xfId="4367"/>
    <cellStyle name="40% - akcent 5 2 29" xfId="4368"/>
    <cellStyle name="40% - akcent 5 2 29 2" xfId="4369"/>
    <cellStyle name="40% - akcent 5 2 3" xfId="4370"/>
    <cellStyle name="40% - akcent 5 2 3 2" xfId="4371"/>
    <cellStyle name="40% - akcent 5 2 3 3" xfId="4372"/>
    <cellStyle name="40% - akcent 5 2 3 4" xfId="4373"/>
    <cellStyle name="40% - akcent 5 2 3 5" xfId="4374"/>
    <cellStyle name="40% - akcent 5 2 3 6" xfId="4375"/>
    <cellStyle name="40% - akcent 5 2 3 7" xfId="4376"/>
    <cellStyle name="40% - akcent 5 2 30" xfId="4377"/>
    <cellStyle name="40% - akcent 5 2 30 2" xfId="4378"/>
    <cellStyle name="40% - akcent 5 2 31" xfId="4379"/>
    <cellStyle name="40% - akcent 5 2 31 2" xfId="4380"/>
    <cellStyle name="40% - akcent 5 2 32" xfId="4381"/>
    <cellStyle name="40% - akcent 5 2 32 2" xfId="4382"/>
    <cellStyle name="40% - akcent 5 2 33" xfId="4383"/>
    <cellStyle name="40% - akcent 5 2 34" xfId="4384"/>
    <cellStyle name="40% - akcent 5 2 35" xfId="4385"/>
    <cellStyle name="40% - akcent 5 2 36" xfId="4386"/>
    <cellStyle name="40% - akcent 5 2 37" xfId="4387"/>
    <cellStyle name="40% - akcent 5 2 38" xfId="4388"/>
    <cellStyle name="40% - akcent 5 2 39" xfId="4389"/>
    <cellStyle name="40% - akcent 5 2 4" xfId="4390"/>
    <cellStyle name="40% - akcent 5 2 4 2" xfId="4391"/>
    <cellStyle name="40% - akcent 5 2 4 3" xfId="4392"/>
    <cellStyle name="40% - akcent 5 2 4 4" xfId="4393"/>
    <cellStyle name="40% - akcent 5 2 4 5" xfId="4394"/>
    <cellStyle name="40% - akcent 5 2 4 6" xfId="4395"/>
    <cellStyle name="40% - akcent 5 2 4 7" xfId="4396"/>
    <cellStyle name="40% - akcent 5 2 40" xfId="4397"/>
    <cellStyle name="40% - akcent 5 2 41" xfId="4398"/>
    <cellStyle name="40% - akcent 5 2 42" xfId="4399"/>
    <cellStyle name="40% - akcent 5 2 43" xfId="4400"/>
    <cellStyle name="40% - akcent 5 2 44" xfId="4401"/>
    <cellStyle name="40% - akcent 5 2 45" xfId="4402"/>
    <cellStyle name="40% - akcent 5 2 46" xfId="4403"/>
    <cellStyle name="40% - akcent 5 2 47" xfId="4404"/>
    <cellStyle name="40% - akcent 5 2 48" xfId="4405"/>
    <cellStyle name="40% - akcent 5 2 49" xfId="4406"/>
    <cellStyle name="40% - akcent 5 2 5" xfId="4407"/>
    <cellStyle name="40% - akcent 5 2 5 2" xfId="4408"/>
    <cellStyle name="40% - akcent 5 2 5 3" xfId="4409"/>
    <cellStyle name="40% - akcent 5 2 5 4" xfId="4410"/>
    <cellStyle name="40% - akcent 5 2 5 5" xfId="4411"/>
    <cellStyle name="40% - akcent 5 2 5 6" xfId="4412"/>
    <cellStyle name="40% - akcent 5 2 50" xfId="4413"/>
    <cellStyle name="40% - akcent 5 2 51" xfId="4414"/>
    <cellStyle name="40% - akcent 5 2 6" xfId="4415"/>
    <cellStyle name="40% - akcent 5 2 6 2" xfId="4416"/>
    <cellStyle name="40% - akcent 5 2 6 3" xfId="4417"/>
    <cellStyle name="40% - akcent 5 2 6 4" xfId="4418"/>
    <cellStyle name="40% - akcent 5 2 6 5" xfId="4419"/>
    <cellStyle name="40% - akcent 5 2 6 6" xfId="4420"/>
    <cellStyle name="40% - akcent 5 2 7" xfId="4421"/>
    <cellStyle name="40% - akcent 5 2 7 2" xfId="4422"/>
    <cellStyle name="40% - akcent 5 2 7 3" xfId="4423"/>
    <cellStyle name="40% - akcent 5 2 7 4" xfId="4424"/>
    <cellStyle name="40% - akcent 5 2 7 5" xfId="4425"/>
    <cellStyle name="40% - akcent 5 2 7 6" xfId="4426"/>
    <cellStyle name="40% - akcent 5 2 8" xfId="4427"/>
    <cellStyle name="40% - akcent 5 2 8 2" xfId="4428"/>
    <cellStyle name="40% - akcent 5 2 8 3" xfId="4429"/>
    <cellStyle name="40% - akcent 5 2 8 4" xfId="4430"/>
    <cellStyle name="40% - akcent 5 2 8 5" xfId="4431"/>
    <cellStyle name="40% - akcent 5 2 8 6" xfId="4432"/>
    <cellStyle name="40% - akcent 5 2 9" xfId="4433"/>
    <cellStyle name="40% - akcent 5 2 9 2" xfId="4434"/>
    <cellStyle name="40% - akcent 5 2 9 3" xfId="4435"/>
    <cellStyle name="40% - akcent 5 2 9 4" xfId="4436"/>
    <cellStyle name="40% - akcent 5 2 9 5" xfId="4437"/>
    <cellStyle name="40% - akcent 5 2 9 6" xfId="4438"/>
    <cellStyle name="40% - akcent 5 20" xfId="4439"/>
    <cellStyle name="40% - akcent 5 21" xfId="4440"/>
    <cellStyle name="40% - akcent 5 22" xfId="4441"/>
    <cellStyle name="40% - akcent 5 23" xfId="4442"/>
    <cellStyle name="40% - akcent 5 24" xfId="4443"/>
    <cellStyle name="40% - akcent 5 25" xfId="4444"/>
    <cellStyle name="40% - akcent 5 26" xfId="4445"/>
    <cellStyle name="40% - akcent 5 27" xfId="4446"/>
    <cellStyle name="40% - akcent 5 28" xfId="4447"/>
    <cellStyle name="40% - akcent 5 29" xfId="4448"/>
    <cellStyle name="40% - akcent 5 3" xfId="4449"/>
    <cellStyle name="40% - akcent 5 3 2" xfId="4450"/>
    <cellStyle name="40% - akcent 5 3 2 2" xfId="4451"/>
    <cellStyle name="40% - akcent 5 3 3" xfId="4452"/>
    <cellStyle name="40% - akcent 5 3 3 2" xfId="4453"/>
    <cellStyle name="40% - akcent 5 3 4" xfId="4454"/>
    <cellStyle name="40% - akcent 5 3 4 2" xfId="4455"/>
    <cellStyle name="40% - akcent 5 3 5" xfId="4456"/>
    <cellStyle name="40% - akcent 5 3 6" xfId="4457"/>
    <cellStyle name="40% - akcent 5 3 7" xfId="4458"/>
    <cellStyle name="40% - akcent 5 3 8" xfId="4459"/>
    <cellStyle name="40% - akcent 5 30" xfId="4460"/>
    <cellStyle name="40% - akcent 5 30 2" xfId="4461"/>
    <cellStyle name="40% - akcent 5 31" xfId="4462"/>
    <cellStyle name="40% - akcent 5 31 2" xfId="4463"/>
    <cellStyle name="40% - akcent 5 32" xfId="4464"/>
    <cellStyle name="40% - akcent 5 32 2" xfId="4465"/>
    <cellStyle name="40% - akcent 5 33" xfId="4466"/>
    <cellStyle name="40% - akcent 5 33 2" xfId="4467"/>
    <cellStyle name="40% - akcent 5 34" xfId="4468"/>
    <cellStyle name="40% - akcent 5 34 2" xfId="4469"/>
    <cellStyle name="40% - akcent 5 35" xfId="4470"/>
    <cellStyle name="40% - akcent 5 35 2" xfId="4471"/>
    <cellStyle name="40% - akcent 5 36" xfId="4472"/>
    <cellStyle name="40% - akcent 5 36 2" xfId="4473"/>
    <cellStyle name="40% - akcent 5 37" xfId="4474"/>
    <cellStyle name="40% - akcent 5 37 2" xfId="4475"/>
    <cellStyle name="40% - akcent 5 38" xfId="4476"/>
    <cellStyle name="40% - akcent 5 38 2" xfId="4477"/>
    <cellStyle name="40% - akcent 5 39" xfId="4478"/>
    <cellStyle name="40% - akcent 5 39 2" xfId="4479"/>
    <cellStyle name="40% - akcent 5 4" xfId="4480"/>
    <cellStyle name="40% - akcent 5 4 2" xfId="4481"/>
    <cellStyle name="40% - akcent 5 4 2 2" xfId="4482"/>
    <cellStyle name="40% - akcent 5 4 3" xfId="4483"/>
    <cellStyle name="40% - akcent 5 4 3 2" xfId="4484"/>
    <cellStyle name="40% - akcent 5 4 4" xfId="4485"/>
    <cellStyle name="40% - akcent 5 4 4 2" xfId="4486"/>
    <cellStyle name="40% - akcent 5 4 5" xfId="4487"/>
    <cellStyle name="40% - akcent 5 4 6" xfId="4488"/>
    <cellStyle name="40% - akcent 5 4 7" xfId="4489"/>
    <cellStyle name="40% - akcent 5 4 8" xfId="4490"/>
    <cellStyle name="40% - akcent 5 40" xfId="4491"/>
    <cellStyle name="40% - akcent 5 40 2" xfId="4492"/>
    <cellStyle name="40% - akcent 5 41" xfId="4493"/>
    <cellStyle name="40% - akcent 5 41 2" xfId="4494"/>
    <cellStyle name="40% - akcent 5 42" xfId="4495"/>
    <cellStyle name="40% - akcent 5 42 2" xfId="4496"/>
    <cellStyle name="40% - akcent 5 43" xfId="4497"/>
    <cellStyle name="40% - akcent 5 43 2" xfId="4498"/>
    <cellStyle name="40% - akcent 5 44" xfId="4499"/>
    <cellStyle name="40% - akcent 5 44 2" xfId="4500"/>
    <cellStyle name="40% - akcent 5 45" xfId="4501"/>
    <cellStyle name="40% - akcent 5 45 2" xfId="4502"/>
    <cellStyle name="40% - akcent 5 46" xfId="4503"/>
    <cellStyle name="40% - akcent 5 46 2" xfId="4504"/>
    <cellStyle name="40% - akcent 5 47" xfId="4505"/>
    <cellStyle name="40% - akcent 5 47 2" xfId="4506"/>
    <cellStyle name="40% - akcent 5 48" xfId="4507"/>
    <cellStyle name="40% - akcent 5 48 2" xfId="4508"/>
    <cellStyle name="40% - akcent 5 49" xfId="4509"/>
    <cellStyle name="40% - akcent 5 49 2" xfId="4510"/>
    <cellStyle name="40% - akcent 5 5" xfId="4511"/>
    <cellStyle name="40% - akcent 5 5 2" xfId="4512"/>
    <cellStyle name="40% - akcent 5 5 3" xfId="4513"/>
    <cellStyle name="40% - akcent 5 50" xfId="4514"/>
    <cellStyle name="40% - akcent 5 50 2" xfId="4515"/>
    <cellStyle name="40% - akcent 5 51" xfId="4516"/>
    <cellStyle name="40% - akcent 5 51 2" xfId="4517"/>
    <cellStyle name="40% - akcent 5 52" xfId="4518"/>
    <cellStyle name="40% - akcent 5 52 2" xfId="4519"/>
    <cellStyle name="40% - akcent 5 53" xfId="4520"/>
    <cellStyle name="40% - akcent 5 53 2" xfId="4521"/>
    <cellStyle name="40% - akcent 5 54" xfId="4522"/>
    <cellStyle name="40% - akcent 5 54 2" xfId="4523"/>
    <cellStyle name="40% - akcent 5 55" xfId="4524"/>
    <cellStyle name="40% - akcent 5 55 2" xfId="4525"/>
    <cellStyle name="40% - akcent 5 56" xfId="4526"/>
    <cellStyle name="40% - akcent 5 56 2" xfId="4527"/>
    <cellStyle name="40% - akcent 5 57" xfId="4528"/>
    <cellStyle name="40% - akcent 5 57 2" xfId="4529"/>
    <cellStyle name="40% - akcent 5 58" xfId="4530"/>
    <cellStyle name="40% - akcent 5 58 2" xfId="4531"/>
    <cellStyle name="40% - akcent 5 59" xfId="4532"/>
    <cellStyle name="40% - akcent 5 59 2" xfId="4533"/>
    <cellStyle name="40% - akcent 5 6" xfId="4534"/>
    <cellStyle name="40% - akcent 5 60" xfId="4535"/>
    <cellStyle name="40% - akcent 5 60 2" xfId="4536"/>
    <cellStyle name="40% - akcent 5 61" xfId="4537"/>
    <cellStyle name="40% - akcent 5 61 2" xfId="4538"/>
    <cellStyle name="40% - akcent 5 62" xfId="4539"/>
    <cellStyle name="40% - akcent 5 62 2" xfId="4540"/>
    <cellStyle name="40% - akcent 5 63" xfId="4541"/>
    <cellStyle name="40% - akcent 5 63 2" xfId="4542"/>
    <cellStyle name="40% - akcent 5 64" xfId="4543"/>
    <cellStyle name="40% - akcent 5 64 2" xfId="4544"/>
    <cellStyle name="40% - akcent 5 65" xfId="4545"/>
    <cellStyle name="40% - akcent 5 65 2" xfId="4546"/>
    <cellStyle name="40% - akcent 5 66" xfId="4547"/>
    <cellStyle name="40% - akcent 5 66 2" xfId="4548"/>
    <cellStyle name="40% - akcent 5 67" xfId="4549"/>
    <cellStyle name="40% - akcent 5 67 2" xfId="4550"/>
    <cellStyle name="40% - akcent 5 68" xfId="4551"/>
    <cellStyle name="40% - akcent 5 68 2" xfId="4552"/>
    <cellStyle name="40% - akcent 5 69" xfId="4553"/>
    <cellStyle name="40% - akcent 5 69 2" xfId="4554"/>
    <cellStyle name="40% - akcent 5 7" xfId="4555"/>
    <cellStyle name="40% - akcent 5 70" xfId="4556"/>
    <cellStyle name="40% - akcent 5 70 2" xfId="4557"/>
    <cellStyle name="40% - akcent 5 71" xfId="4558"/>
    <cellStyle name="40% - akcent 5 71 2" xfId="4559"/>
    <cellStyle name="40% - akcent 5 72" xfId="4560"/>
    <cellStyle name="40% - akcent 5 72 2" xfId="4561"/>
    <cellStyle name="40% - akcent 5 73" xfId="4562"/>
    <cellStyle name="40% - akcent 5 73 2" xfId="4563"/>
    <cellStyle name="40% - akcent 5 74" xfId="4564"/>
    <cellStyle name="40% - akcent 5 74 2" xfId="4565"/>
    <cellStyle name="40% - akcent 5 75" xfId="4566"/>
    <cellStyle name="40% - akcent 5 75 2" xfId="4567"/>
    <cellStyle name="40% - akcent 5 76" xfId="4568"/>
    <cellStyle name="40% - akcent 5 76 2" xfId="4569"/>
    <cellStyle name="40% - akcent 5 77" xfId="4570"/>
    <cellStyle name="40% - akcent 5 77 2" xfId="4571"/>
    <cellStyle name="40% - akcent 5 78" xfId="4572"/>
    <cellStyle name="40% - akcent 5 78 2" xfId="4573"/>
    <cellStyle name="40% - akcent 5 79" xfId="4574"/>
    <cellStyle name="40% - akcent 5 79 2" xfId="4575"/>
    <cellStyle name="40% - akcent 5 8" xfId="4576"/>
    <cellStyle name="40% - akcent 5 80" xfId="4577"/>
    <cellStyle name="40% - akcent 5 80 2" xfId="4578"/>
    <cellStyle name="40% - akcent 5 81" xfId="4579"/>
    <cellStyle name="40% - akcent 5 81 2" xfId="4580"/>
    <cellStyle name="40% - akcent 5 82" xfId="4581"/>
    <cellStyle name="40% - akcent 5 82 2" xfId="4582"/>
    <cellStyle name="40% - akcent 5 83" xfId="4583"/>
    <cellStyle name="40% - akcent 5 83 2" xfId="4584"/>
    <cellStyle name="40% - akcent 5 84" xfId="4585"/>
    <cellStyle name="40% - akcent 5 84 2" xfId="4586"/>
    <cellStyle name="40% - akcent 5 85" xfId="4587"/>
    <cellStyle name="40% - akcent 5 85 2" xfId="4588"/>
    <cellStyle name="40% - akcent 5 86" xfId="4589"/>
    <cellStyle name="40% - akcent 5 86 2" xfId="4590"/>
    <cellStyle name="40% - akcent 5 87" xfId="4591"/>
    <cellStyle name="40% - akcent 5 87 2" xfId="4592"/>
    <cellStyle name="40% - akcent 5 88" xfId="4593"/>
    <cellStyle name="40% - akcent 5 88 2" xfId="4594"/>
    <cellStyle name="40% - akcent 5 89" xfId="4595"/>
    <cellStyle name="40% - akcent 5 89 2" xfId="4596"/>
    <cellStyle name="40% - akcent 5 9" xfId="4597"/>
    <cellStyle name="40% - akcent 5 90" xfId="4598"/>
    <cellStyle name="40% - akcent 5 90 2" xfId="4599"/>
    <cellStyle name="40% - akcent 5 91" xfId="4600"/>
    <cellStyle name="40% - akcent 5 91 2" xfId="4601"/>
    <cellStyle name="40% - akcent 5 92" xfId="4602"/>
    <cellStyle name="40% - akcent 5 92 2" xfId="4603"/>
    <cellStyle name="40% - akcent 5 93" xfId="4604"/>
    <cellStyle name="40% - akcent 5 93 2" xfId="4605"/>
    <cellStyle name="40% - akcent 5 94" xfId="4606"/>
    <cellStyle name="40% - akcent 5 94 2" xfId="4607"/>
    <cellStyle name="40% - akcent 5 95" xfId="4608"/>
    <cellStyle name="40% - akcent 5 95 2" xfId="4609"/>
    <cellStyle name="40% - akcent 5 96" xfId="4610"/>
    <cellStyle name="40% - akcent 5 96 2" xfId="4611"/>
    <cellStyle name="40% - akcent 5 97" xfId="4612"/>
    <cellStyle name="40% - akcent 5 97 2" xfId="4613"/>
    <cellStyle name="40% - akcent 5 98" xfId="4614"/>
    <cellStyle name="40% - akcent 5 98 2" xfId="4615"/>
    <cellStyle name="40% - akcent 5 99" xfId="4616"/>
    <cellStyle name="40% - akcent 5 99 2" xfId="4617"/>
    <cellStyle name="40% - akcent 6 10" xfId="4618"/>
    <cellStyle name="40% - akcent 6 100" xfId="4619"/>
    <cellStyle name="40% - akcent 6 100 2" xfId="4620"/>
    <cellStyle name="40% - akcent 6 101" xfId="4621"/>
    <cellStyle name="40% - akcent 6 101 2" xfId="4622"/>
    <cellStyle name="40% - akcent 6 102" xfId="4623"/>
    <cellStyle name="40% - akcent 6 102 2" xfId="4624"/>
    <cellStyle name="40% - akcent 6 103" xfId="4625"/>
    <cellStyle name="40% - akcent 6 103 2" xfId="4626"/>
    <cellStyle name="40% - akcent 6 104" xfId="4627"/>
    <cellStyle name="40% - akcent 6 104 2" xfId="4628"/>
    <cellStyle name="40% - akcent 6 105" xfId="4629"/>
    <cellStyle name="40% - akcent 6 105 2" xfId="4630"/>
    <cellStyle name="40% - akcent 6 106" xfId="4631"/>
    <cellStyle name="40% - akcent 6 106 2" xfId="4632"/>
    <cellStyle name="40% - akcent 6 107" xfId="4633"/>
    <cellStyle name="40% - akcent 6 107 2" xfId="4634"/>
    <cellStyle name="40% - akcent 6 108" xfId="4635"/>
    <cellStyle name="40% - akcent 6 108 2" xfId="4636"/>
    <cellStyle name="40% - akcent 6 109" xfId="4637"/>
    <cellStyle name="40% - akcent 6 109 2" xfId="4638"/>
    <cellStyle name="40% - akcent 6 11" xfId="4639"/>
    <cellStyle name="40% - akcent 6 110" xfId="4640"/>
    <cellStyle name="40% - akcent 6 110 2" xfId="4641"/>
    <cellStyle name="40% - akcent 6 111" xfId="4642"/>
    <cellStyle name="40% - akcent 6 111 2" xfId="4643"/>
    <cellStyle name="40% - akcent 6 112" xfId="4644"/>
    <cellStyle name="40% - akcent 6 112 2" xfId="4645"/>
    <cellStyle name="40% - akcent 6 113" xfId="4646"/>
    <cellStyle name="40% - akcent 6 113 2" xfId="4647"/>
    <cellStyle name="40% - akcent 6 114" xfId="4648"/>
    <cellStyle name="40% - akcent 6 114 2" xfId="4649"/>
    <cellStyle name="40% - akcent 6 115" xfId="4650"/>
    <cellStyle name="40% - akcent 6 115 2" xfId="4651"/>
    <cellStyle name="40% - akcent 6 116" xfId="4652"/>
    <cellStyle name="40% - akcent 6 116 2" xfId="4653"/>
    <cellStyle name="40% - akcent 6 117" xfId="4654"/>
    <cellStyle name="40% - akcent 6 117 2" xfId="4655"/>
    <cellStyle name="40% - akcent 6 118" xfId="4656"/>
    <cellStyle name="40% - akcent 6 118 2" xfId="4657"/>
    <cellStyle name="40% - akcent 6 119" xfId="4658"/>
    <cellStyle name="40% - akcent 6 119 2" xfId="4659"/>
    <cellStyle name="40% - akcent 6 12" xfId="4660"/>
    <cellStyle name="40% - akcent 6 120" xfId="4661"/>
    <cellStyle name="40% - akcent 6 121" xfId="4662"/>
    <cellStyle name="40% - akcent 6 13" xfId="4663"/>
    <cellStyle name="40% - akcent 6 14" xfId="4664"/>
    <cellStyle name="40% - akcent 6 15" xfId="4665"/>
    <cellStyle name="40% - akcent 6 16" xfId="4666"/>
    <cellStyle name="40% - akcent 6 17" xfId="4667"/>
    <cellStyle name="40% - akcent 6 18" xfId="4668"/>
    <cellStyle name="40% - akcent 6 19" xfId="4669"/>
    <cellStyle name="40% - akcent 6 2" xfId="4670"/>
    <cellStyle name="40% - akcent 6 2 10" xfId="4671"/>
    <cellStyle name="40% - akcent 6 2 10 2" xfId="4672"/>
    <cellStyle name="40% - akcent 6 2 10 3" xfId="4673"/>
    <cellStyle name="40% - akcent 6 2 10 4" xfId="4674"/>
    <cellStyle name="40% - akcent 6 2 10 5" xfId="4675"/>
    <cellStyle name="40% - akcent 6 2 10 6" xfId="4676"/>
    <cellStyle name="40% - akcent 6 2 11" xfId="4677"/>
    <cellStyle name="40% - akcent 6 2 11 2" xfId="4678"/>
    <cellStyle name="40% - akcent 6 2 11 3" xfId="4679"/>
    <cellStyle name="40% - akcent 6 2 11 4" xfId="4680"/>
    <cellStyle name="40% - akcent 6 2 11 5" xfId="4681"/>
    <cellStyle name="40% - akcent 6 2 11 6" xfId="4682"/>
    <cellStyle name="40% - akcent 6 2 12" xfId="4683"/>
    <cellStyle name="40% - akcent 6 2 12 2" xfId="4684"/>
    <cellStyle name="40% - akcent 6 2 12 3" xfId="4685"/>
    <cellStyle name="40% - akcent 6 2 12 4" xfId="4686"/>
    <cellStyle name="40% - akcent 6 2 12 5" xfId="4687"/>
    <cellStyle name="40% - akcent 6 2 12 6" xfId="4688"/>
    <cellStyle name="40% - akcent 6 2 13" xfId="4689"/>
    <cellStyle name="40% - akcent 6 2 13 2" xfId="4690"/>
    <cellStyle name="40% - akcent 6 2 13 3" xfId="4691"/>
    <cellStyle name="40% - akcent 6 2 13 4" xfId="4692"/>
    <cellStyle name="40% - akcent 6 2 13 5" xfId="4693"/>
    <cellStyle name="40% - akcent 6 2 13 6" xfId="4694"/>
    <cellStyle name="40% - akcent 6 2 14" xfId="4695"/>
    <cellStyle name="40% - akcent 6 2 14 2" xfId="4696"/>
    <cellStyle name="40% - akcent 6 2 14 3" xfId="4697"/>
    <cellStyle name="40% - akcent 6 2 14 4" xfId="4698"/>
    <cellStyle name="40% - akcent 6 2 14 5" xfId="4699"/>
    <cellStyle name="40% - akcent 6 2 14 6" xfId="4700"/>
    <cellStyle name="40% - akcent 6 2 15" xfId="4701"/>
    <cellStyle name="40% - akcent 6 2 15 2" xfId="4702"/>
    <cellStyle name="40% - akcent 6 2 15 3" xfId="4703"/>
    <cellStyle name="40% - akcent 6 2 15 4" xfId="4704"/>
    <cellStyle name="40% - akcent 6 2 15 5" xfId="4705"/>
    <cellStyle name="40% - akcent 6 2 15 6" xfId="4706"/>
    <cellStyle name="40% - akcent 6 2 16" xfId="4707"/>
    <cellStyle name="40% - akcent 6 2 16 2" xfId="4708"/>
    <cellStyle name="40% - akcent 6 2 16 3" xfId="4709"/>
    <cellStyle name="40% - akcent 6 2 16 4" xfId="4710"/>
    <cellStyle name="40% - akcent 6 2 16 5" xfId="4711"/>
    <cellStyle name="40% - akcent 6 2 16 6" xfId="4712"/>
    <cellStyle name="40% - akcent 6 2 17" xfId="4713"/>
    <cellStyle name="40% - akcent 6 2 17 2" xfId="4714"/>
    <cellStyle name="40% - akcent 6 2 17 3" xfId="4715"/>
    <cellStyle name="40% - akcent 6 2 17 4" xfId="4716"/>
    <cellStyle name="40% - akcent 6 2 17 5" xfId="4717"/>
    <cellStyle name="40% - akcent 6 2 17 6" xfId="4718"/>
    <cellStyle name="40% - akcent 6 2 18" xfId="4719"/>
    <cellStyle name="40% - akcent 6 2 18 2" xfId="4720"/>
    <cellStyle name="40% - akcent 6 2 18 3" xfId="4721"/>
    <cellStyle name="40% - akcent 6 2 18 4" xfId="4722"/>
    <cellStyle name="40% - akcent 6 2 18 5" xfId="4723"/>
    <cellStyle name="40% - akcent 6 2 18 6" xfId="4724"/>
    <cellStyle name="40% - akcent 6 2 19" xfId="4725"/>
    <cellStyle name="40% - akcent 6 2 19 2" xfId="4726"/>
    <cellStyle name="40% - akcent 6 2 19 3" xfId="4727"/>
    <cellStyle name="40% - akcent 6 2 19 4" xfId="4728"/>
    <cellStyle name="40% - akcent 6 2 19 5" xfId="4729"/>
    <cellStyle name="40% - akcent 6 2 19 6" xfId="4730"/>
    <cellStyle name="40% - akcent 6 2 2" xfId="4731"/>
    <cellStyle name="40% - akcent 6 2 2 2" xfId="4732"/>
    <cellStyle name="40% - akcent 6 2 2 3" xfId="4733"/>
    <cellStyle name="40% - akcent 6 2 2 4" xfId="4734"/>
    <cellStyle name="40% - akcent 6 2 2 5" xfId="4735"/>
    <cellStyle name="40% - akcent 6 2 2 6" xfId="4736"/>
    <cellStyle name="40% - akcent 6 2 2 7" xfId="4737"/>
    <cellStyle name="40% - akcent 6 2 20" xfId="4738"/>
    <cellStyle name="40% - akcent 6 2 20 2" xfId="4739"/>
    <cellStyle name="40% - akcent 6 2 20 3" xfId="4740"/>
    <cellStyle name="40% - akcent 6 2 20 4" xfId="4741"/>
    <cellStyle name="40% - akcent 6 2 20 5" xfId="4742"/>
    <cellStyle name="40% - akcent 6 2 20 6" xfId="4743"/>
    <cellStyle name="40% - akcent 6 2 21" xfId="4744"/>
    <cellStyle name="40% - akcent 6 2 21 2" xfId="4745"/>
    <cellStyle name="40% - akcent 6 2 21 3" xfId="4746"/>
    <cellStyle name="40% - akcent 6 2 21 4" xfId="4747"/>
    <cellStyle name="40% - akcent 6 2 21 5" xfId="4748"/>
    <cellStyle name="40% - akcent 6 2 21 6" xfId="4749"/>
    <cellStyle name="40% - akcent 6 2 22" xfId="4750"/>
    <cellStyle name="40% - akcent 6 2 22 2" xfId="4751"/>
    <cellStyle name="40% - akcent 6 2 22 3" xfId="4752"/>
    <cellStyle name="40% - akcent 6 2 22 4" xfId="4753"/>
    <cellStyle name="40% - akcent 6 2 22 5" xfId="4754"/>
    <cellStyle name="40% - akcent 6 2 22 6" xfId="4755"/>
    <cellStyle name="40% - akcent 6 2 23" xfId="4756"/>
    <cellStyle name="40% - akcent 6 2 23 2" xfId="4757"/>
    <cellStyle name="40% - akcent 6 2 23 3" xfId="4758"/>
    <cellStyle name="40% - akcent 6 2 23 4" xfId="4759"/>
    <cellStyle name="40% - akcent 6 2 23 5" xfId="4760"/>
    <cellStyle name="40% - akcent 6 2 23 6" xfId="4761"/>
    <cellStyle name="40% - akcent 6 2 24" xfId="4762"/>
    <cellStyle name="40% - akcent 6 2 24 2" xfId="4763"/>
    <cellStyle name="40% - akcent 6 2 24 3" xfId="4764"/>
    <cellStyle name="40% - akcent 6 2 24 4" xfId="4765"/>
    <cellStyle name="40% - akcent 6 2 24 5" xfId="4766"/>
    <cellStyle name="40% - akcent 6 2 24 6" xfId="4767"/>
    <cellStyle name="40% - akcent 6 2 25" xfId="4768"/>
    <cellStyle name="40% - akcent 6 2 25 2" xfId="4769"/>
    <cellStyle name="40% - akcent 6 2 25 3" xfId="4770"/>
    <cellStyle name="40% - akcent 6 2 25 4" xfId="4771"/>
    <cellStyle name="40% - akcent 6 2 25 5" xfId="4772"/>
    <cellStyle name="40% - akcent 6 2 25 6" xfId="4773"/>
    <cellStyle name="40% - akcent 6 2 26" xfId="4774"/>
    <cellStyle name="40% - akcent 6 2 26 2" xfId="4775"/>
    <cellStyle name="40% - akcent 6 2 26 3" xfId="4776"/>
    <cellStyle name="40% - akcent 6 2 26 4" xfId="4777"/>
    <cellStyle name="40% - akcent 6 2 26 5" xfId="4778"/>
    <cellStyle name="40% - akcent 6 2 26 6" xfId="4779"/>
    <cellStyle name="40% - akcent 6 2 27" xfId="4780"/>
    <cellStyle name="40% - akcent 6 2 27 2" xfId="4781"/>
    <cellStyle name="40% - akcent 6 2 27 3" xfId="4782"/>
    <cellStyle name="40% - akcent 6 2 27 4" xfId="4783"/>
    <cellStyle name="40% - akcent 6 2 27 5" xfId="4784"/>
    <cellStyle name="40% - akcent 6 2 27 6" xfId="4785"/>
    <cellStyle name="40% - akcent 6 2 28" xfId="4786"/>
    <cellStyle name="40% - akcent 6 2 28 2" xfId="4787"/>
    <cellStyle name="40% - akcent 6 2 28 3" xfId="4788"/>
    <cellStyle name="40% - akcent 6 2 28 4" xfId="4789"/>
    <cellStyle name="40% - akcent 6 2 28 5" xfId="4790"/>
    <cellStyle name="40% - akcent 6 2 28 6" xfId="4791"/>
    <cellStyle name="40% - akcent 6 2 29" xfId="4792"/>
    <cellStyle name="40% - akcent 6 2 29 2" xfId="4793"/>
    <cellStyle name="40% - akcent 6 2 3" xfId="4794"/>
    <cellStyle name="40% - akcent 6 2 3 2" xfId="4795"/>
    <cellStyle name="40% - akcent 6 2 3 3" xfId="4796"/>
    <cellStyle name="40% - akcent 6 2 3 4" xfId="4797"/>
    <cellStyle name="40% - akcent 6 2 3 5" xfId="4798"/>
    <cellStyle name="40% - akcent 6 2 3 6" xfId="4799"/>
    <cellStyle name="40% - akcent 6 2 3 7" xfId="4800"/>
    <cellStyle name="40% - akcent 6 2 30" xfId="4801"/>
    <cellStyle name="40% - akcent 6 2 30 2" xfId="4802"/>
    <cellStyle name="40% - akcent 6 2 31" xfId="4803"/>
    <cellStyle name="40% - akcent 6 2 31 2" xfId="4804"/>
    <cellStyle name="40% - akcent 6 2 32" xfId="4805"/>
    <cellStyle name="40% - akcent 6 2 32 2" xfId="4806"/>
    <cellStyle name="40% - akcent 6 2 33" xfId="4807"/>
    <cellStyle name="40% - akcent 6 2 34" xfId="4808"/>
    <cellStyle name="40% - akcent 6 2 35" xfId="4809"/>
    <cellStyle name="40% - akcent 6 2 36" xfId="4810"/>
    <cellStyle name="40% - akcent 6 2 37" xfId="4811"/>
    <cellStyle name="40% - akcent 6 2 38" xfId="4812"/>
    <cellStyle name="40% - akcent 6 2 39" xfId="4813"/>
    <cellStyle name="40% - akcent 6 2 4" xfId="4814"/>
    <cellStyle name="40% - akcent 6 2 4 2" xfId="4815"/>
    <cellStyle name="40% - akcent 6 2 4 3" xfId="4816"/>
    <cellStyle name="40% - akcent 6 2 4 4" xfId="4817"/>
    <cellStyle name="40% - akcent 6 2 4 5" xfId="4818"/>
    <cellStyle name="40% - akcent 6 2 4 6" xfId="4819"/>
    <cellStyle name="40% - akcent 6 2 4 7" xfId="4820"/>
    <cellStyle name="40% - akcent 6 2 40" xfId="4821"/>
    <cellStyle name="40% - akcent 6 2 41" xfId="4822"/>
    <cellStyle name="40% - akcent 6 2 42" xfId="4823"/>
    <cellStyle name="40% - akcent 6 2 43" xfId="4824"/>
    <cellStyle name="40% - akcent 6 2 44" xfId="4825"/>
    <cellStyle name="40% - akcent 6 2 45" xfId="4826"/>
    <cellStyle name="40% - akcent 6 2 46" xfId="4827"/>
    <cellStyle name="40% - akcent 6 2 47" xfId="4828"/>
    <cellStyle name="40% - akcent 6 2 48" xfId="4829"/>
    <cellStyle name="40% - akcent 6 2 49" xfId="4830"/>
    <cellStyle name="40% - akcent 6 2 5" xfId="4831"/>
    <cellStyle name="40% - akcent 6 2 5 2" xfId="4832"/>
    <cellStyle name="40% - akcent 6 2 5 3" xfId="4833"/>
    <cellStyle name="40% - akcent 6 2 5 4" xfId="4834"/>
    <cellStyle name="40% - akcent 6 2 5 5" xfId="4835"/>
    <cellStyle name="40% - akcent 6 2 5 6" xfId="4836"/>
    <cellStyle name="40% - akcent 6 2 50" xfId="4837"/>
    <cellStyle name="40% - akcent 6 2 51" xfId="4838"/>
    <cellStyle name="40% - akcent 6 2 6" xfId="4839"/>
    <cellStyle name="40% - akcent 6 2 6 2" xfId="4840"/>
    <cellStyle name="40% - akcent 6 2 6 3" xfId="4841"/>
    <cellStyle name="40% - akcent 6 2 6 4" xfId="4842"/>
    <cellStyle name="40% - akcent 6 2 6 5" xfId="4843"/>
    <cellStyle name="40% - akcent 6 2 6 6" xfId="4844"/>
    <cellStyle name="40% - akcent 6 2 7" xfId="4845"/>
    <cellStyle name="40% - akcent 6 2 7 2" xfId="4846"/>
    <cellStyle name="40% - akcent 6 2 7 3" xfId="4847"/>
    <cellStyle name="40% - akcent 6 2 7 4" xfId="4848"/>
    <cellStyle name="40% - akcent 6 2 7 5" xfId="4849"/>
    <cellStyle name="40% - akcent 6 2 7 6" xfId="4850"/>
    <cellStyle name="40% - akcent 6 2 8" xfId="4851"/>
    <cellStyle name="40% - akcent 6 2 8 2" xfId="4852"/>
    <cellStyle name="40% - akcent 6 2 8 3" xfId="4853"/>
    <cellStyle name="40% - akcent 6 2 8 4" xfId="4854"/>
    <cellStyle name="40% - akcent 6 2 8 5" xfId="4855"/>
    <cellStyle name="40% - akcent 6 2 8 6" xfId="4856"/>
    <cellStyle name="40% - akcent 6 2 9" xfId="4857"/>
    <cellStyle name="40% - akcent 6 2 9 2" xfId="4858"/>
    <cellStyle name="40% - akcent 6 2 9 3" xfId="4859"/>
    <cellStyle name="40% - akcent 6 2 9 4" xfId="4860"/>
    <cellStyle name="40% - akcent 6 2 9 5" xfId="4861"/>
    <cellStyle name="40% - akcent 6 2 9 6" xfId="4862"/>
    <cellStyle name="40% - akcent 6 20" xfId="4863"/>
    <cellStyle name="40% - akcent 6 21" xfId="4864"/>
    <cellStyle name="40% - akcent 6 22" xfId="4865"/>
    <cellStyle name="40% - akcent 6 23" xfId="4866"/>
    <cellStyle name="40% - akcent 6 24" xfId="4867"/>
    <cellStyle name="40% - akcent 6 25" xfId="4868"/>
    <cellStyle name="40% - akcent 6 26" xfId="4869"/>
    <cellStyle name="40% - akcent 6 27" xfId="4870"/>
    <cellStyle name="40% - akcent 6 28" xfId="4871"/>
    <cellStyle name="40% - akcent 6 29" xfId="4872"/>
    <cellStyle name="40% - akcent 6 3" xfId="4873"/>
    <cellStyle name="40% - akcent 6 3 2" xfId="4874"/>
    <cellStyle name="40% - akcent 6 3 2 2" xfId="4875"/>
    <cellStyle name="40% - akcent 6 3 3" xfId="4876"/>
    <cellStyle name="40% - akcent 6 3 3 2" xfId="4877"/>
    <cellStyle name="40% - akcent 6 3 4" xfId="4878"/>
    <cellStyle name="40% - akcent 6 3 4 2" xfId="4879"/>
    <cellStyle name="40% - akcent 6 3 5" xfId="4880"/>
    <cellStyle name="40% - akcent 6 3 6" xfId="4881"/>
    <cellStyle name="40% - akcent 6 3 7" xfId="4882"/>
    <cellStyle name="40% - akcent 6 3 8" xfId="4883"/>
    <cellStyle name="40% - akcent 6 30" xfId="4884"/>
    <cellStyle name="40% - akcent 6 30 2" xfId="4885"/>
    <cellStyle name="40% - akcent 6 31" xfId="4886"/>
    <cellStyle name="40% - akcent 6 31 2" xfId="4887"/>
    <cellStyle name="40% - akcent 6 32" xfId="4888"/>
    <cellStyle name="40% - akcent 6 32 2" xfId="4889"/>
    <cellStyle name="40% - akcent 6 33" xfId="4890"/>
    <cellStyle name="40% - akcent 6 33 2" xfId="4891"/>
    <cellStyle name="40% - akcent 6 34" xfId="4892"/>
    <cellStyle name="40% - akcent 6 34 2" xfId="4893"/>
    <cellStyle name="40% - akcent 6 35" xfId="4894"/>
    <cellStyle name="40% - akcent 6 35 2" xfId="4895"/>
    <cellStyle name="40% - akcent 6 36" xfId="4896"/>
    <cellStyle name="40% - akcent 6 36 2" xfId="4897"/>
    <cellStyle name="40% - akcent 6 37" xfId="4898"/>
    <cellStyle name="40% - akcent 6 37 2" xfId="4899"/>
    <cellStyle name="40% - akcent 6 38" xfId="4900"/>
    <cellStyle name="40% - akcent 6 38 2" xfId="4901"/>
    <cellStyle name="40% - akcent 6 39" xfId="4902"/>
    <cellStyle name="40% - akcent 6 39 2" xfId="4903"/>
    <cellStyle name="40% - akcent 6 4" xfId="4904"/>
    <cellStyle name="40% - akcent 6 4 2" xfId="4905"/>
    <cellStyle name="40% - akcent 6 4 2 2" xfId="4906"/>
    <cellStyle name="40% - akcent 6 4 3" xfId="4907"/>
    <cellStyle name="40% - akcent 6 4 3 2" xfId="4908"/>
    <cellStyle name="40% - akcent 6 4 4" xfId="4909"/>
    <cellStyle name="40% - akcent 6 4 4 2" xfId="4910"/>
    <cellStyle name="40% - akcent 6 4 5" xfId="4911"/>
    <cellStyle name="40% - akcent 6 4 6" xfId="4912"/>
    <cellStyle name="40% - akcent 6 4 7" xfId="4913"/>
    <cellStyle name="40% - akcent 6 4 8" xfId="4914"/>
    <cellStyle name="40% - akcent 6 40" xfId="4915"/>
    <cellStyle name="40% - akcent 6 40 2" xfId="4916"/>
    <cellStyle name="40% - akcent 6 41" xfId="4917"/>
    <cellStyle name="40% - akcent 6 41 2" xfId="4918"/>
    <cellStyle name="40% - akcent 6 42" xfId="4919"/>
    <cellStyle name="40% - akcent 6 42 2" xfId="4920"/>
    <cellStyle name="40% - akcent 6 43" xfId="4921"/>
    <cellStyle name="40% - akcent 6 43 2" xfId="4922"/>
    <cellStyle name="40% - akcent 6 44" xfId="4923"/>
    <cellStyle name="40% - akcent 6 44 2" xfId="4924"/>
    <cellStyle name="40% - akcent 6 45" xfId="4925"/>
    <cellStyle name="40% - akcent 6 45 2" xfId="4926"/>
    <cellStyle name="40% - akcent 6 46" xfId="4927"/>
    <cellStyle name="40% - akcent 6 46 2" xfId="4928"/>
    <cellStyle name="40% - akcent 6 47" xfId="4929"/>
    <cellStyle name="40% - akcent 6 47 2" xfId="4930"/>
    <cellStyle name="40% - akcent 6 48" xfId="4931"/>
    <cellStyle name="40% - akcent 6 48 2" xfId="4932"/>
    <cellStyle name="40% - akcent 6 49" xfId="4933"/>
    <cellStyle name="40% - akcent 6 49 2" xfId="4934"/>
    <cellStyle name="40% - akcent 6 5" xfId="4935"/>
    <cellStyle name="40% - akcent 6 5 2" xfId="4936"/>
    <cellStyle name="40% - akcent 6 5 3" xfId="4937"/>
    <cellStyle name="40% - akcent 6 50" xfId="4938"/>
    <cellStyle name="40% - akcent 6 50 2" xfId="4939"/>
    <cellStyle name="40% - akcent 6 51" xfId="4940"/>
    <cellStyle name="40% - akcent 6 51 2" xfId="4941"/>
    <cellStyle name="40% - akcent 6 52" xfId="4942"/>
    <cellStyle name="40% - akcent 6 52 2" xfId="4943"/>
    <cellStyle name="40% - akcent 6 53" xfId="4944"/>
    <cellStyle name="40% - akcent 6 53 2" xfId="4945"/>
    <cellStyle name="40% - akcent 6 54" xfId="4946"/>
    <cellStyle name="40% - akcent 6 54 2" xfId="4947"/>
    <cellStyle name="40% - akcent 6 55" xfId="4948"/>
    <cellStyle name="40% - akcent 6 55 2" xfId="4949"/>
    <cellStyle name="40% - akcent 6 56" xfId="4950"/>
    <cellStyle name="40% - akcent 6 56 2" xfId="4951"/>
    <cellStyle name="40% - akcent 6 57" xfId="4952"/>
    <cellStyle name="40% - akcent 6 57 2" xfId="4953"/>
    <cellStyle name="40% - akcent 6 58" xfId="4954"/>
    <cellStyle name="40% - akcent 6 58 2" xfId="4955"/>
    <cellStyle name="40% - akcent 6 59" xfId="4956"/>
    <cellStyle name="40% - akcent 6 59 2" xfId="4957"/>
    <cellStyle name="40% - akcent 6 6" xfId="4958"/>
    <cellStyle name="40% - akcent 6 60" xfId="4959"/>
    <cellStyle name="40% - akcent 6 60 2" xfId="4960"/>
    <cellStyle name="40% - akcent 6 61" xfId="4961"/>
    <cellStyle name="40% - akcent 6 61 2" xfId="4962"/>
    <cellStyle name="40% - akcent 6 62" xfId="4963"/>
    <cellStyle name="40% - akcent 6 62 2" xfId="4964"/>
    <cellStyle name="40% - akcent 6 63" xfId="4965"/>
    <cellStyle name="40% - akcent 6 63 2" xfId="4966"/>
    <cellStyle name="40% - akcent 6 64" xfId="4967"/>
    <cellStyle name="40% - akcent 6 64 2" xfId="4968"/>
    <cellStyle name="40% - akcent 6 65" xfId="4969"/>
    <cellStyle name="40% - akcent 6 65 2" xfId="4970"/>
    <cellStyle name="40% - akcent 6 66" xfId="4971"/>
    <cellStyle name="40% - akcent 6 66 2" xfId="4972"/>
    <cellStyle name="40% - akcent 6 67" xfId="4973"/>
    <cellStyle name="40% - akcent 6 67 2" xfId="4974"/>
    <cellStyle name="40% - akcent 6 68" xfId="4975"/>
    <cellStyle name="40% - akcent 6 68 2" xfId="4976"/>
    <cellStyle name="40% - akcent 6 69" xfId="4977"/>
    <cellStyle name="40% - akcent 6 69 2" xfId="4978"/>
    <cellStyle name="40% - akcent 6 7" xfId="4979"/>
    <cellStyle name="40% - akcent 6 70" xfId="4980"/>
    <cellStyle name="40% - akcent 6 70 2" xfId="4981"/>
    <cellStyle name="40% - akcent 6 71" xfId="4982"/>
    <cellStyle name="40% - akcent 6 71 2" xfId="4983"/>
    <cellStyle name="40% - akcent 6 72" xfId="4984"/>
    <cellStyle name="40% - akcent 6 72 2" xfId="4985"/>
    <cellStyle name="40% - akcent 6 73" xfId="4986"/>
    <cellStyle name="40% - akcent 6 73 2" xfId="4987"/>
    <cellStyle name="40% - akcent 6 74" xfId="4988"/>
    <cellStyle name="40% - akcent 6 74 2" xfId="4989"/>
    <cellStyle name="40% - akcent 6 75" xfId="4990"/>
    <cellStyle name="40% - akcent 6 75 2" xfId="4991"/>
    <cellStyle name="40% - akcent 6 76" xfId="4992"/>
    <cellStyle name="40% - akcent 6 76 2" xfId="4993"/>
    <cellStyle name="40% - akcent 6 77" xfId="4994"/>
    <cellStyle name="40% - akcent 6 77 2" xfId="4995"/>
    <cellStyle name="40% - akcent 6 78" xfId="4996"/>
    <cellStyle name="40% - akcent 6 78 2" xfId="4997"/>
    <cellStyle name="40% - akcent 6 79" xfId="4998"/>
    <cellStyle name="40% - akcent 6 79 2" xfId="4999"/>
    <cellStyle name="40% - akcent 6 8" xfId="5000"/>
    <cellStyle name="40% - akcent 6 80" xfId="5001"/>
    <cellStyle name="40% - akcent 6 80 2" xfId="5002"/>
    <cellStyle name="40% - akcent 6 81" xfId="5003"/>
    <cellStyle name="40% - akcent 6 81 2" xfId="5004"/>
    <cellStyle name="40% - akcent 6 82" xfId="5005"/>
    <cellStyle name="40% - akcent 6 82 2" xfId="5006"/>
    <cellStyle name="40% - akcent 6 83" xfId="5007"/>
    <cellStyle name="40% - akcent 6 83 2" xfId="5008"/>
    <cellStyle name="40% - akcent 6 84" xfId="5009"/>
    <cellStyle name="40% - akcent 6 84 2" xfId="5010"/>
    <cellStyle name="40% - akcent 6 85" xfId="5011"/>
    <cellStyle name="40% - akcent 6 85 2" xfId="5012"/>
    <cellStyle name="40% - akcent 6 86" xfId="5013"/>
    <cellStyle name="40% - akcent 6 86 2" xfId="5014"/>
    <cellStyle name="40% - akcent 6 87" xfId="5015"/>
    <cellStyle name="40% - akcent 6 87 2" xfId="5016"/>
    <cellStyle name="40% - akcent 6 88" xfId="5017"/>
    <cellStyle name="40% - akcent 6 88 2" xfId="5018"/>
    <cellStyle name="40% - akcent 6 89" xfId="5019"/>
    <cellStyle name="40% - akcent 6 89 2" xfId="5020"/>
    <cellStyle name="40% - akcent 6 9" xfId="5021"/>
    <cellStyle name="40% - akcent 6 90" xfId="5022"/>
    <cellStyle name="40% - akcent 6 90 2" xfId="5023"/>
    <cellStyle name="40% - akcent 6 91" xfId="5024"/>
    <cellStyle name="40% - akcent 6 91 2" xfId="5025"/>
    <cellStyle name="40% - akcent 6 92" xfId="5026"/>
    <cellStyle name="40% - akcent 6 92 2" xfId="5027"/>
    <cellStyle name="40% - akcent 6 93" xfId="5028"/>
    <cellStyle name="40% - akcent 6 93 2" xfId="5029"/>
    <cellStyle name="40% - akcent 6 94" xfId="5030"/>
    <cellStyle name="40% - akcent 6 94 2" xfId="5031"/>
    <cellStyle name="40% - akcent 6 95" xfId="5032"/>
    <cellStyle name="40% - akcent 6 95 2" xfId="5033"/>
    <cellStyle name="40% - akcent 6 96" xfId="5034"/>
    <cellStyle name="40% - akcent 6 96 2" xfId="5035"/>
    <cellStyle name="40% - akcent 6 97" xfId="5036"/>
    <cellStyle name="40% - akcent 6 97 2" xfId="5037"/>
    <cellStyle name="40% - akcent 6 98" xfId="5038"/>
    <cellStyle name="40% - akcent 6 98 2" xfId="5039"/>
    <cellStyle name="40% - akcent 6 99" xfId="5040"/>
    <cellStyle name="40% - akcent 6 99 2" xfId="5041"/>
    <cellStyle name="60% - akcent 1 2" xfId="5042"/>
    <cellStyle name="60% - akcent 1 2 10" xfId="5043"/>
    <cellStyle name="60% - akcent 1 2 10 2" xfId="5044"/>
    <cellStyle name="60% - akcent 1 2 10 3" xfId="5045"/>
    <cellStyle name="60% - akcent 1 2 10 4" xfId="5046"/>
    <cellStyle name="60% - akcent 1 2 10 5" xfId="5047"/>
    <cellStyle name="60% - akcent 1 2 10 6" xfId="5048"/>
    <cellStyle name="60% - akcent 1 2 11" xfId="5049"/>
    <cellStyle name="60% - akcent 1 2 11 2" xfId="5050"/>
    <cellStyle name="60% - akcent 1 2 11 3" xfId="5051"/>
    <cellStyle name="60% - akcent 1 2 11 4" xfId="5052"/>
    <cellStyle name="60% - akcent 1 2 11 5" xfId="5053"/>
    <cellStyle name="60% - akcent 1 2 11 6" xfId="5054"/>
    <cellStyle name="60% - akcent 1 2 12" xfId="5055"/>
    <cellStyle name="60% - akcent 1 2 12 2" xfId="5056"/>
    <cellStyle name="60% - akcent 1 2 12 3" xfId="5057"/>
    <cellStyle name="60% - akcent 1 2 12 4" xfId="5058"/>
    <cellStyle name="60% - akcent 1 2 12 5" xfId="5059"/>
    <cellStyle name="60% - akcent 1 2 12 6" xfId="5060"/>
    <cellStyle name="60% - akcent 1 2 13" xfId="5061"/>
    <cellStyle name="60% - akcent 1 2 13 2" xfId="5062"/>
    <cellStyle name="60% - akcent 1 2 13 3" xfId="5063"/>
    <cellStyle name="60% - akcent 1 2 13 4" xfId="5064"/>
    <cellStyle name="60% - akcent 1 2 13 5" xfId="5065"/>
    <cellStyle name="60% - akcent 1 2 13 6" xfId="5066"/>
    <cellStyle name="60% - akcent 1 2 14" xfId="5067"/>
    <cellStyle name="60% - akcent 1 2 14 2" xfId="5068"/>
    <cellStyle name="60% - akcent 1 2 14 3" xfId="5069"/>
    <cellStyle name="60% - akcent 1 2 14 4" xfId="5070"/>
    <cellStyle name="60% - akcent 1 2 14 5" xfId="5071"/>
    <cellStyle name="60% - akcent 1 2 14 6" xfId="5072"/>
    <cellStyle name="60% - akcent 1 2 15" xfId="5073"/>
    <cellStyle name="60% - akcent 1 2 15 2" xfId="5074"/>
    <cellStyle name="60% - akcent 1 2 15 3" xfId="5075"/>
    <cellStyle name="60% - akcent 1 2 15 4" xfId="5076"/>
    <cellStyle name="60% - akcent 1 2 15 5" xfId="5077"/>
    <cellStyle name="60% - akcent 1 2 15 6" xfId="5078"/>
    <cellStyle name="60% - akcent 1 2 16" xfId="5079"/>
    <cellStyle name="60% - akcent 1 2 16 2" xfId="5080"/>
    <cellStyle name="60% - akcent 1 2 16 3" xfId="5081"/>
    <cellStyle name="60% - akcent 1 2 16 4" xfId="5082"/>
    <cellStyle name="60% - akcent 1 2 16 5" xfId="5083"/>
    <cellStyle name="60% - akcent 1 2 16 6" xfId="5084"/>
    <cellStyle name="60% - akcent 1 2 17" xfId="5085"/>
    <cellStyle name="60% - akcent 1 2 17 2" xfId="5086"/>
    <cellStyle name="60% - akcent 1 2 17 3" xfId="5087"/>
    <cellStyle name="60% - akcent 1 2 17 4" xfId="5088"/>
    <cellStyle name="60% - akcent 1 2 17 5" xfId="5089"/>
    <cellStyle name="60% - akcent 1 2 17 6" xfId="5090"/>
    <cellStyle name="60% - akcent 1 2 18" xfId="5091"/>
    <cellStyle name="60% - akcent 1 2 18 2" xfId="5092"/>
    <cellStyle name="60% - akcent 1 2 18 3" xfId="5093"/>
    <cellStyle name="60% - akcent 1 2 18 4" xfId="5094"/>
    <cellStyle name="60% - akcent 1 2 18 5" xfId="5095"/>
    <cellStyle name="60% - akcent 1 2 18 6" xfId="5096"/>
    <cellStyle name="60% - akcent 1 2 19" xfId="5097"/>
    <cellStyle name="60% - akcent 1 2 19 2" xfId="5098"/>
    <cellStyle name="60% - akcent 1 2 19 3" xfId="5099"/>
    <cellStyle name="60% - akcent 1 2 19 4" xfId="5100"/>
    <cellStyle name="60% - akcent 1 2 19 5" xfId="5101"/>
    <cellStyle name="60% - akcent 1 2 19 6" xfId="5102"/>
    <cellStyle name="60% - akcent 1 2 2" xfId="5103"/>
    <cellStyle name="60% - akcent 1 2 2 2" xfId="5104"/>
    <cellStyle name="60% - akcent 1 2 2 3" xfId="5105"/>
    <cellStyle name="60% - akcent 1 2 2 4" xfId="5106"/>
    <cellStyle name="60% - akcent 1 2 2 5" xfId="5107"/>
    <cellStyle name="60% - akcent 1 2 2 6" xfId="5108"/>
    <cellStyle name="60% - akcent 1 2 2 7" xfId="5109"/>
    <cellStyle name="60% - akcent 1 2 20" xfId="5110"/>
    <cellStyle name="60% - akcent 1 2 20 2" xfId="5111"/>
    <cellStyle name="60% - akcent 1 2 20 3" xfId="5112"/>
    <cellStyle name="60% - akcent 1 2 20 4" xfId="5113"/>
    <cellStyle name="60% - akcent 1 2 20 5" xfId="5114"/>
    <cellStyle name="60% - akcent 1 2 20 6" xfId="5115"/>
    <cellStyle name="60% - akcent 1 2 21" xfId="5116"/>
    <cellStyle name="60% - akcent 1 2 21 2" xfId="5117"/>
    <cellStyle name="60% - akcent 1 2 21 3" xfId="5118"/>
    <cellStyle name="60% - akcent 1 2 21 4" xfId="5119"/>
    <cellStyle name="60% - akcent 1 2 21 5" xfId="5120"/>
    <cellStyle name="60% - akcent 1 2 21 6" xfId="5121"/>
    <cellStyle name="60% - akcent 1 2 22" xfId="5122"/>
    <cellStyle name="60% - akcent 1 2 22 2" xfId="5123"/>
    <cellStyle name="60% - akcent 1 2 22 3" xfId="5124"/>
    <cellStyle name="60% - akcent 1 2 22 4" xfId="5125"/>
    <cellStyle name="60% - akcent 1 2 22 5" xfId="5126"/>
    <cellStyle name="60% - akcent 1 2 22 6" xfId="5127"/>
    <cellStyle name="60% - akcent 1 2 23" xfId="5128"/>
    <cellStyle name="60% - akcent 1 2 23 2" xfId="5129"/>
    <cellStyle name="60% - akcent 1 2 23 3" xfId="5130"/>
    <cellStyle name="60% - akcent 1 2 23 4" xfId="5131"/>
    <cellStyle name="60% - akcent 1 2 23 5" xfId="5132"/>
    <cellStyle name="60% - akcent 1 2 23 6" xfId="5133"/>
    <cellStyle name="60% - akcent 1 2 24" xfId="5134"/>
    <cellStyle name="60% - akcent 1 2 24 2" xfId="5135"/>
    <cellStyle name="60% - akcent 1 2 24 3" xfId="5136"/>
    <cellStyle name="60% - akcent 1 2 24 4" xfId="5137"/>
    <cellStyle name="60% - akcent 1 2 24 5" xfId="5138"/>
    <cellStyle name="60% - akcent 1 2 24 6" xfId="5139"/>
    <cellStyle name="60% - akcent 1 2 25" xfId="5140"/>
    <cellStyle name="60% - akcent 1 2 25 2" xfId="5141"/>
    <cellStyle name="60% - akcent 1 2 25 3" xfId="5142"/>
    <cellStyle name="60% - akcent 1 2 25 4" xfId="5143"/>
    <cellStyle name="60% - akcent 1 2 25 5" xfId="5144"/>
    <cellStyle name="60% - akcent 1 2 25 6" xfId="5145"/>
    <cellStyle name="60% - akcent 1 2 26" xfId="5146"/>
    <cellStyle name="60% - akcent 1 2 26 2" xfId="5147"/>
    <cellStyle name="60% - akcent 1 2 26 3" xfId="5148"/>
    <cellStyle name="60% - akcent 1 2 26 4" xfId="5149"/>
    <cellStyle name="60% - akcent 1 2 26 5" xfId="5150"/>
    <cellStyle name="60% - akcent 1 2 26 6" xfId="5151"/>
    <cellStyle name="60% - akcent 1 2 27" xfId="5152"/>
    <cellStyle name="60% - akcent 1 2 27 2" xfId="5153"/>
    <cellStyle name="60% - akcent 1 2 27 3" xfId="5154"/>
    <cellStyle name="60% - akcent 1 2 27 4" xfId="5155"/>
    <cellStyle name="60% - akcent 1 2 27 5" xfId="5156"/>
    <cellStyle name="60% - akcent 1 2 27 6" xfId="5157"/>
    <cellStyle name="60% - akcent 1 2 28" xfId="5158"/>
    <cellStyle name="60% - akcent 1 2 28 2" xfId="5159"/>
    <cellStyle name="60% - akcent 1 2 28 3" xfId="5160"/>
    <cellStyle name="60% - akcent 1 2 28 4" xfId="5161"/>
    <cellStyle name="60% - akcent 1 2 28 5" xfId="5162"/>
    <cellStyle name="60% - akcent 1 2 28 6" xfId="5163"/>
    <cellStyle name="60% - akcent 1 2 29" xfId="5164"/>
    <cellStyle name="60% - akcent 1 2 29 2" xfId="5165"/>
    <cellStyle name="60% - akcent 1 2 3" xfId="5166"/>
    <cellStyle name="60% - akcent 1 2 3 2" xfId="5167"/>
    <cellStyle name="60% - akcent 1 2 3 3" xfId="5168"/>
    <cellStyle name="60% - akcent 1 2 3 4" xfId="5169"/>
    <cellStyle name="60% - akcent 1 2 3 5" xfId="5170"/>
    <cellStyle name="60% - akcent 1 2 3 6" xfId="5171"/>
    <cellStyle name="60% - akcent 1 2 30" xfId="5172"/>
    <cellStyle name="60% - akcent 1 2 30 2" xfId="5173"/>
    <cellStyle name="60% - akcent 1 2 31" xfId="5174"/>
    <cellStyle name="60% - akcent 1 2 31 2" xfId="5175"/>
    <cellStyle name="60% - akcent 1 2 32" xfId="5176"/>
    <cellStyle name="60% - akcent 1 2 32 2" xfId="5177"/>
    <cellStyle name="60% - akcent 1 2 33" xfId="5178"/>
    <cellStyle name="60% - akcent 1 2 34" xfId="5179"/>
    <cellStyle name="60% - akcent 1 2 35" xfId="5180"/>
    <cellStyle name="60% - akcent 1 2 36" xfId="5181"/>
    <cellStyle name="60% - akcent 1 2 37" xfId="5182"/>
    <cellStyle name="60% - akcent 1 2 38" xfId="5183"/>
    <cellStyle name="60% - akcent 1 2 39" xfId="5184"/>
    <cellStyle name="60% - akcent 1 2 4" xfId="5185"/>
    <cellStyle name="60% - akcent 1 2 4 2" xfId="5186"/>
    <cellStyle name="60% - akcent 1 2 4 3" xfId="5187"/>
    <cellStyle name="60% - akcent 1 2 4 4" xfId="5188"/>
    <cellStyle name="60% - akcent 1 2 4 5" xfId="5189"/>
    <cellStyle name="60% - akcent 1 2 4 6" xfId="5190"/>
    <cellStyle name="60% - akcent 1 2 40" xfId="5191"/>
    <cellStyle name="60% - akcent 1 2 41" xfId="5192"/>
    <cellStyle name="60% - akcent 1 2 42" xfId="5193"/>
    <cellStyle name="60% - akcent 1 2 43" xfId="5194"/>
    <cellStyle name="60% - akcent 1 2 44" xfId="5195"/>
    <cellStyle name="60% - akcent 1 2 45" xfId="5196"/>
    <cellStyle name="60% - akcent 1 2 46" xfId="5197"/>
    <cellStyle name="60% - akcent 1 2 47" xfId="5198"/>
    <cellStyle name="60% - akcent 1 2 48" xfId="5199"/>
    <cellStyle name="60% - akcent 1 2 49" xfId="5200"/>
    <cellStyle name="60% - akcent 1 2 5" xfId="5201"/>
    <cellStyle name="60% - akcent 1 2 5 2" xfId="5202"/>
    <cellStyle name="60% - akcent 1 2 5 3" xfId="5203"/>
    <cellStyle name="60% - akcent 1 2 5 4" xfId="5204"/>
    <cellStyle name="60% - akcent 1 2 5 5" xfId="5205"/>
    <cellStyle name="60% - akcent 1 2 5 6" xfId="5206"/>
    <cellStyle name="60% - akcent 1 2 50" xfId="5207"/>
    <cellStyle name="60% - akcent 1 2 51" xfId="5208"/>
    <cellStyle name="60% - akcent 1 2 52" xfId="5209"/>
    <cellStyle name="60% - akcent 1 2 6" xfId="5210"/>
    <cellStyle name="60% - akcent 1 2 6 2" xfId="5211"/>
    <cellStyle name="60% - akcent 1 2 6 3" xfId="5212"/>
    <cellStyle name="60% - akcent 1 2 6 4" xfId="5213"/>
    <cellStyle name="60% - akcent 1 2 6 5" xfId="5214"/>
    <cellStyle name="60% - akcent 1 2 6 6" xfId="5215"/>
    <cellStyle name="60% - akcent 1 2 7" xfId="5216"/>
    <cellStyle name="60% - akcent 1 2 7 2" xfId="5217"/>
    <cellStyle name="60% - akcent 1 2 7 3" xfId="5218"/>
    <cellStyle name="60% - akcent 1 2 7 4" xfId="5219"/>
    <cellStyle name="60% - akcent 1 2 7 5" xfId="5220"/>
    <cellStyle name="60% - akcent 1 2 7 6" xfId="5221"/>
    <cellStyle name="60% - akcent 1 2 8" xfId="5222"/>
    <cellStyle name="60% - akcent 1 2 8 2" xfId="5223"/>
    <cellStyle name="60% - akcent 1 2 8 3" xfId="5224"/>
    <cellStyle name="60% - akcent 1 2 8 4" xfId="5225"/>
    <cellStyle name="60% - akcent 1 2 8 5" xfId="5226"/>
    <cellStyle name="60% - akcent 1 2 8 6" xfId="5227"/>
    <cellStyle name="60% - akcent 1 2 9" xfId="5228"/>
    <cellStyle name="60% - akcent 1 2 9 2" xfId="5229"/>
    <cellStyle name="60% - akcent 1 2 9 3" xfId="5230"/>
    <cellStyle name="60% - akcent 1 2 9 4" xfId="5231"/>
    <cellStyle name="60% - akcent 1 2 9 5" xfId="5232"/>
    <cellStyle name="60% - akcent 1 2 9 6" xfId="5233"/>
    <cellStyle name="60% - akcent 1 3" xfId="5234"/>
    <cellStyle name="60% - akcent 1 3 2" xfId="5235"/>
    <cellStyle name="60% - akcent 1 3 2 2" xfId="5236"/>
    <cellStyle name="60% - akcent 1 3 3" xfId="5237"/>
    <cellStyle name="60% - akcent 1 3 4" xfId="5238"/>
    <cellStyle name="60% - akcent 1 3 5" xfId="5239"/>
    <cellStyle name="60% - akcent 1 3 6" xfId="5240"/>
    <cellStyle name="60% - akcent 1 3 7" xfId="5241"/>
    <cellStyle name="60% - akcent 1 3 8" xfId="5242"/>
    <cellStyle name="60% - akcent 1 4" xfId="5243"/>
    <cellStyle name="60% - akcent 1 4 2" xfId="5244"/>
    <cellStyle name="60% - akcent 1 4 3" xfId="5245"/>
    <cellStyle name="60% - akcent 1 4 4" xfId="5246"/>
    <cellStyle name="60% - akcent 1 4 5" xfId="5247"/>
    <cellStyle name="60% - akcent 1 4 6" xfId="5248"/>
    <cellStyle name="60% - akcent 1 4 7" xfId="5249"/>
    <cellStyle name="60% - akcent 1 4 8" xfId="5250"/>
    <cellStyle name="60% - akcent 1 5" xfId="5251"/>
    <cellStyle name="60% - akcent 1 5 2" xfId="5252"/>
    <cellStyle name="60% - akcent 1 6" xfId="5253"/>
    <cellStyle name="60% - akcent 1 7" xfId="5254"/>
    <cellStyle name="60% - akcent 2 2" xfId="5255"/>
    <cellStyle name="60% - akcent 2 2 10" xfId="5256"/>
    <cellStyle name="60% - akcent 2 2 10 2" xfId="5257"/>
    <cellStyle name="60% - akcent 2 2 10 3" xfId="5258"/>
    <cellStyle name="60% - akcent 2 2 10 4" xfId="5259"/>
    <cellStyle name="60% - akcent 2 2 10 5" xfId="5260"/>
    <cellStyle name="60% - akcent 2 2 10 6" xfId="5261"/>
    <cellStyle name="60% - akcent 2 2 11" xfId="5262"/>
    <cellStyle name="60% - akcent 2 2 11 2" xfId="5263"/>
    <cellStyle name="60% - akcent 2 2 11 3" xfId="5264"/>
    <cellStyle name="60% - akcent 2 2 11 4" xfId="5265"/>
    <cellStyle name="60% - akcent 2 2 11 5" xfId="5266"/>
    <cellStyle name="60% - akcent 2 2 11 6" xfId="5267"/>
    <cellStyle name="60% - akcent 2 2 12" xfId="5268"/>
    <cellStyle name="60% - akcent 2 2 12 2" xfId="5269"/>
    <cellStyle name="60% - akcent 2 2 12 3" xfId="5270"/>
    <cellStyle name="60% - akcent 2 2 12 4" xfId="5271"/>
    <cellStyle name="60% - akcent 2 2 12 5" xfId="5272"/>
    <cellStyle name="60% - akcent 2 2 12 6" xfId="5273"/>
    <cellStyle name="60% - akcent 2 2 13" xfId="5274"/>
    <cellStyle name="60% - akcent 2 2 13 2" xfId="5275"/>
    <cellStyle name="60% - akcent 2 2 13 3" xfId="5276"/>
    <cellStyle name="60% - akcent 2 2 13 4" xfId="5277"/>
    <cellStyle name="60% - akcent 2 2 13 5" xfId="5278"/>
    <cellStyle name="60% - akcent 2 2 13 6" xfId="5279"/>
    <cellStyle name="60% - akcent 2 2 14" xfId="5280"/>
    <cellStyle name="60% - akcent 2 2 14 2" xfId="5281"/>
    <cellStyle name="60% - akcent 2 2 14 3" xfId="5282"/>
    <cellStyle name="60% - akcent 2 2 14 4" xfId="5283"/>
    <cellStyle name="60% - akcent 2 2 14 5" xfId="5284"/>
    <cellStyle name="60% - akcent 2 2 14 6" xfId="5285"/>
    <cellStyle name="60% - akcent 2 2 15" xfId="5286"/>
    <cellStyle name="60% - akcent 2 2 15 2" xfId="5287"/>
    <cellStyle name="60% - akcent 2 2 15 3" xfId="5288"/>
    <cellStyle name="60% - akcent 2 2 15 4" xfId="5289"/>
    <cellStyle name="60% - akcent 2 2 15 5" xfId="5290"/>
    <cellStyle name="60% - akcent 2 2 15 6" xfId="5291"/>
    <cellStyle name="60% - akcent 2 2 16" xfId="5292"/>
    <cellStyle name="60% - akcent 2 2 16 2" xfId="5293"/>
    <cellStyle name="60% - akcent 2 2 16 3" xfId="5294"/>
    <cellStyle name="60% - akcent 2 2 16 4" xfId="5295"/>
    <cellStyle name="60% - akcent 2 2 16 5" xfId="5296"/>
    <cellStyle name="60% - akcent 2 2 16 6" xfId="5297"/>
    <cellStyle name="60% - akcent 2 2 17" xfId="5298"/>
    <cellStyle name="60% - akcent 2 2 17 2" xfId="5299"/>
    <cellStyle name="60% - akcent 2 2 17 3" xfId="5300"/>
    <cellStyle name="60% - akcent 2 2 17 4" xfId="5301"/>
    <cellStyle name="60% - akcent 2 2 17 5" xfId="5302"/>
    <cellStyle name="60% - akcent 2 2 17 6" xfId="5303"/>
    <cellStyle name="60% - akcent 2 2 18" xfId="5304"/>
    <cellStyle name="60% - akcent 2 2 18 2" xfId="5305"/>
    <cellStyle name="60% - akcent 2 2 18 3" xfId="5306"/>
    <cellStyle name="60% - akcent 2 2 18 4" xfId="5307"/>
    <cellStyle name="60% - akcent 2 2 18 5" xfId="5308"/>
    <cellStyle name="60% - akcent 2 2 18 6" xfId="5309"/>
    <cellStyle name="60% - akcent 2 2 19" xfId="5310"/>
    <cellStyle name="60% - akcent 2 2 19 2" xfId="5311"/>
    <cellStyle name="60% - akcent 2 2 19 3" xfId="5312"/>
    <cellStyle name="60% - akcent 2 2 19 4" xfId="5313"/>
    <cellStyle name="60% - akcent 2 2 19 5" xfId="5314"/>
    <cellStyle name="60% - akcent 2 2 19 6" xfId="5315"/>
    <cellStyle name="60% - akcent 2 2 2" xfId="5316"/>
    <cellStyle name="60% - akcent 2 2 2 2" xfId="5317"/>
    <cellStyle name="60% - akcent 2 2 2 3" xfId="5318"/>
    <cellStyle name="60% - akcent 2 2 2 4" xfId="5319"/>
    <cellStyle name="60% - akcent 2 2 2 5" xfId="5320"/>
    <cellStyle name="60% - akcent 2 2 2 6" xfId="5321"/>
    <cellStyle name="60% - akcent 2 2 2 7" xfId="5322"/>
    <cellStyle name="60% - akcent 2 2 20" xfId="5323"/>
    <cellStyle name="60% - akcent 2 2 20 2" xfId="5324"/>
    <cellStyle name="60% - akcent 2 2 20 3" xfId="5325"/>
    <cellStyle name="60% - akcent 2 2 20 4" xfId="5326"/>
    <cellStyle name="60% - akcent 2 2 20 5" xfId="5327"/>
    <cellStyle name="60% - akcent 2 2 20 6" xfId="5328"/>
    <cellStyle name="60% - akcent 2 2 21" xfId="5329"/>
    <cellStyle name="60% - akcent 2 2 21 2" xfId="5330"/>
    <cellStyle name="60% - akcent 2 2 21 3" xfId="5331"/>
    <cellStyle name="60% - akcent 2 2 21 4" xfId="5332"/>
    <cellStyle name="60% - akcent 2 2 21 5" xfId="5333"/>
    <cellStyle name="60% - akcent 2 2 21 6" xfId="5334"/>
    <cellStyle name="60% - akcent 2 2 22" xfId="5335"/>
    <cellStyle name="60% - akcent 2 2 22 2" xfId="5336"/>
    <cellStyle name="60% - akcent 2 2 22 3" xfId="5337"/>
    <cellStyle name="60% - akcent 2 2 22 4" xfId="5338"/>
    <cellStyle name="60% - akcent 2 2 22 5" xfId="5339"/>
    <cellStyle name="60% - akcent 2 2 22 6" xfId="5340"/>
    <cellStyle name="60% - akcent 2 2 23" xfId="5341"/>
    <cellStyle name="60% - akcent 2 2 23 2" xfId="5342"/>
    <cellStyle name="60% - akcent 2 2 23 3" xfId="5343"/>
    <cellStyle name="60% - akcent 2 2 23 4" xfId="5344"/>
    <cellStyle name="60% - akcent 2 2 23 5" xfId="5345"/>
    <cellStyle name="60% - akcent 2 2 23 6" xfId="5346"/>
    <cellStyle name="60% - akcent 2 2 24" xfId="5347"/>
    <cellStyle name="60% - akcent 2 2 24 2" xfId="5348"/>
    <cellStyle name="60% - akcent 2 2 24 3" xfId="5349"/>
    <cellStyle name="60% - akcent 2 2 24 4" xfId="5350"/>
    <cellStyle name="60% - akcent 2 2 24 5" xfId="5351"/>
    <cellStyle name="60% - akcent 2 2 24 6" xfId="5352"/>
    <cellStyle name="60% - akcent 2 2 25" xfId="5353"/>
    <cellStyle name="60% - akcent 2 2 25 2" xfId="5354"/>
    <cellStyle name="60% - akcent 2 2 25 3" xfId="5355"/>
    <cellStyle name="60% - akcent 2 2 25 4" xfId="5356"/>
    <cellStyle name="60% - akcent 2 2 25 5" xfId="5357"/>
    <cellStyle name="60% - akcent 2 2 25 6" xfId="5358"/>
    <cellStyle name="60% - akcent 2 2 26" xfId="5359"/>
    <cellStyle name="60% - akcent 2 2 26 2" xfId="5360"/>
    <cellStyle name="60% - akcent 2 2 26 3" xfId="5361"/>
    <cellStyle name="60% - akcent 2 2 26 4" xfId="5362"/>
    <cellStyle name="60% - akcent 2 2 26 5" xfId="5363"/>
    <cellStyle name="60% - akcent 2 2 26 6" xfId="5364"/>
    <cellStyle name="60% - akcent 2 2 27" xfId="5365"/>
    <cellStyle name="60% - akcent 2 2 27 2" xfId="5366"/>
    <cellStyle name="60% - akcent 2 2 27 3" xfId="5367"/>
    <cellStyle name="60% - akcent 2 2 27 4" xfId="5368"/>
    <cellStyle name="60% - akcent 2 2 27 5" xfId="5369"/>
    <cellStyle name="60% - akcent 2 2 27 6" xfId="5370"/>
    <cellStyle name="60% - akcent 2 2 28" xfId="5371"/>
    <cellStyle name="60% - akcent 2 2 28 2" xfId="5372"/>
    <cellStyle name="60% - akcent 2 2 28 3" xfId="5373"/>
    <cellStyle name="60% - akcent 2 2 28 4" xfId="5374"/>
    <cellStyle name="60% - akcent 2 2 28 5" xfId="5375"/>
    <cellStyle name="60% - akcent 2 2 28 6" xfId="5376"/>
    <cellStyle name="60% - akcent 2 2 29" xfId="5377"/>
    <cellStyle name="60% - akcent 2 2 29 2" xfId="5378"/>
    <cellStyle name="60% - akcent 2 2 3" xfId="5379"/>
    <cellStyle name="60% - akcent 2 2 3 2" xfId="5380"/>
    <cellStyle name="60% - akcent 2 2 3 3" xfId="5381"/>
    <cellStyle name="60% - akcent 2 2 3 4" xfId="5382"/>
    <cellStyle name="60% - akcent 2 2 3 5" xfId="5383"/>
    <cellStyle name="60% - akcent 2 2 3 6" xfId="5384"/>
    <cellStyle name="60% - akcent 2 2 30" xfId="5385"/>
    <cellStyle name="60% - akcent 2 2 30 2" xfId="5386"/>
    <cellStyle name="60% - akcent 2 2 31" xfId="5387"/>
    <cellStyle name="60% - akcent 2 2 31 2" xfId="5388"/>
    <cellStyle name="60% - akcent 2 2 32" xfId="5389"/>
    <cellStyle name="60% - akcent 2 2 32 2" xfId="5390"/>
    <cellStyle name="60% - akcent 2 2 33" xfId="5391"/>
    <cellStyle name="60% - akcent 2 2 34" xfId="5392"/>
    <cellStyle name="60% - akcent 2 2 35" xfId="5393"/>
    <cellStyle name="60% - akcent 2 2 36" xfId="5394"/>
    <cellStyle name="60% - akcent 2 2 37" xfId="5395"/>
    <cellStyle name="60% - akcent 2 2 38" xfId="5396"/>
    <cellStyle name="60% - akcent 2 2 39" xfId="5397"/>
    <cellStyle name="60% - akcent 2 2 4" xfId="5398"/>
    <cellStyle name="60% - akcent 2 2 4 2" xfId="5399"/>
    <cellStyle name="60% - akcent 2 2 4 3" xfId="5400"/>
    <cellStyle name="60% - akcent 2 2 4 4" xfId="5401"/>
    <cellStyle name="60% - akcent 2 2 4 5" xfId="5402"/>
    <cellStyle name="60% - akcent 2 2 4 6" xfId="5403"/>
    <cellStyle name="60% - akcent 2 2 40" xfId="5404"/>
    <cellStyle name="60% - akcent 2 2 41" xfId="5405"/>
    <cellStyle name="60% - akcent 2 2 42" xfId="5406"/>
    <cellStyle name="60% - akcent 2 2 43" xfId="5407"/>
    <cellStyle name="60% - akcent 2 2 44" xfId="5408"/>
    <cellStyle name="60% - akcent 2 2 45" xfId="5409"/>
    <cellStyle name="60% - akcent 2 2 46" xfId="5410"/>
    <cellStyle name="60% - akcent 2 2 47" xfId="5411"/>
    <cellStyle name="60% - akcent 2 2 48" xfId="5412"/>
    <cellStyle name="60% - akcent 2 2 49" xfId="5413"/>
    <cellStyle name="60% - akcent 2 2 5" xfId="5414"/>
    <cellStyle name="60% - akcent 2 2 5 2" xfId="5415"/>
    <cellStyle name="60% - akcent 2 2 5 3" xfId="5416"/>
    <cellStyle name="60% - akcent 2 2 5 4" xfId="5417"/>
    <cellStyle name="60% - akcent 2 2 5 5" xfId="5418"/>
    <cellStyle name="60% - akcent 2 2 5 6" xfId="5419"/>
    <cellStyle name="60% - akcent 2 2 50" xfId="5420"/>
    <cellStyle name="60% - akcent 2 2 51" xfId="5421"/>
    <cellStyle name="60% - akcent 2 2 52" xfId="5422"/>
    <cellStyle name="60% - akcent 2 2 6" xfId="5423"/>
    <cellStyle name="60% - akcent 2 2 6 2" xfId="5424"/>
    <cellStyle name="60% - akcent 2 2 6 3" xfId="5425"/>
    <cellStyle name="60% - akcent 2 2 6 4" xfId="5426"/>
    <cellStyle name="60% - akcent 2 2 6 5" xfId="5427"/>
    <cellStyle name="60% - akcent 2 2 6 6" xfId="5428"/>
    <cellStyle name="60% - akcent 2 2 7" xfId="5429"/>
    <cellStyle name="60% - akcent 2 2 7 2" xfId="5430"/>
    <cellStyle name="60% - akcent 2 2 7 3" xfId="5431"/>
    <cellStyle name="60% - akcent 2 2 7 4" xfId="5432"/>
    <cellStyle name="60% - akcent 2 2 7 5" xfId="5433"/>
    <cellStyle name="60% - akcent 2 2 7 6" xfId="5434"/>
    <cellStyle name="60% - akcent 2 2 8" xfId="5435"/>
    <cellStyle name="60% - akcent 2 2 8 2" xfId="5436"/>
    <cellStyle name="60% - akcent 2 2 8 3" xfId="5437"/>
    <cellStyle name="60% - akcent 2 2 8 4" xfId="5438"/>
    <cellStyle name="60% - akcent 2 2 8 5" xfId="5439"/>
    <cellStyle name="60% - akcent 2 2 8 6" xfId="5440"/>
    <cellStyle name="60% - akcent 2 2 9" xfId="5441"/>
    <cellStyle name="60% - akcent 2 2 9 2" xfId="5442"/>
    <cellStyle name="60% - akcent 2 2 9 3" xfId="5443"/>
    <cellStyle name="60% - akcent 2 2 9 4" xfId="5444"/>
    <cellStyle name="60% - akcent 2 2 9 5" xfId="5445"/>
    <cellStyle name="60% - akcent 2 2 9 6" xfId="5446"/>
    <cellStyle name="60% - akcent 2 3" xfId="5447"/>
    <cellStyle name="60% - akcent 2 3 2" xfId="5448"/>
    <cellStyle name="60% - akcent 2 3 2 2" xfId="5449"/>
    <cellStyle name="60% - akcent 2 3 3" xfId="5450"/>
    <cellStyle name="60% - akcent 2 3 4" xfId="5451"/>
    <cellStyle name="60% - akcent 2 3 5" xfId="5452"/>
    <cellStyle name="60% - akcent 2 3 6" xfId="5453"/>
    <cellStyle name="60% - akcent 2 3 7" xfId="5454"/>
    <cellStyle name="60% - akcent 2 3 8" xfId="5455"/>
    <cellStyle name="60% - akcent 2 4" xfId="5456"/>
    <cellStyle name="60% - akcent 2 4 2" xfId="5457"/>
    <cellStyle name="60% - akcent 2 4 3" xfId="5458"/>
    <cellStyle name="60% - akcent 2 4 4" xfId="5459"/>
    <cellStyle name="60% - akcent 2 4 5" xfId="5460"/>
    <cellStyle name="60% - akcent 2 4 6" xfId="5461"/>
    <cellStyle name="60% - akcent 2 4 7" xfId="5462"/>
    <cellStyle name="60% - akcent 2 4 8" xfId="5463"/>
    <cellStyle name="60% - akcent 2 5" xfId="5464"/>
    <cellStyle name="60% - akcent 2 5 2" xfId="5465"/>
    <cellStyle name="60% - akcent 2 6" xfId="5466"/>
    <cellStyle name="60% - akcent 2 7" xfId="5467"/>
    <cellStyle name="60% - akcent 3 2" xfId="5468"/>
    <cellStyle name="60% - akcent 3 2 10" xfId="5469"/>
    <cellStyle name="60% - akcent 3 2 10 2" xfId="5470"/>
    <cellStyle name="60% - akcent 3 2 10 3" xfId="5471"/>
    <cellStyle name="60% - akcent 3 2 10 4" xfId="5472"/>
    <cellStyle name="60% - akcent 3 2 10 5" xfId="5473"/>
    <cellStyle name="60% - akcent 3 2 10 6" xfId="5474"/>
    <cellStyle name="60% - akcent 3 2 11" xfId="5475"/>
    <cellStyle name="60% - akcent 3 2 11 2" xfId="5476"/>
    <cellStyle name="60% - akcent 3 2 11 3" xfId="5477"/>
    <cellStyle name="60% - akcent 3 2 11 4" xfId="5478"/>
    <cellStyle name="60% - akcent 3 2 11 5" xfId="5479"/>
    <cellStyle name="60% - akcent 3 2 11 6" xfId="5480"/>
    <cellStyle name="60% - akcent 3 2 12" xfId="5481"/>
    <cellStyle name="60% - akcent 3 2 12 2" xfId="5482"/>
    <cellStyle name="60% - akcent 3 2 12 3" xfId="5483"/>
    <cellStyle name="60% - akcent 3 2 12 4" xfId="5484"/>
    <cellStyle name="60% - akcent 3 2 12 5" xfId="5485"/>
    <cellStyle name="60% - akcent 3 2 12 6" xfId="5486"/>
    <cellStyle name="60% - akcent 3 2 13" xfId="5487"/>
    <cellStyle name="60% - akcent 3 2 13 2" xfId="5488"/>
    <cellStyle name="60% - akcent 3 2 13 3" xfId="5489"/>
    <cellStyle name="60% - akcent 3 2 13 4" xfId="5490"/>
    <cellStyle name="60% - akcent 3 2 13 5" xfId="5491"/>
    <cellStyle name="60% - akcent 3 2 13 6" xfId="5492"/>
    <cellStyle name="60% - akcent 3 2 14" xfId="5493"/>
    <cellStyle name="60% - akcent 3 2 14 2" xfId="5494"/>
    <cellStyle name="60% - akcent 3 2 14 3" xfId="5495"/>
    <cellStyle name="60% - akcent 3 2 14 4" xfId="5496"/>
    <cellStyle name="60% - akcent 3 2 14 5" xfId="5497"/>
    <cellStyle name="60% - akcent 3 2 14 6" xfId="5498"/>
    <cellStyle name="60% - akcent 3 2 15" xfId="5499"/>
    <cellStyle name="60% - akcent 3 2 15 2" xfId="5500"/>
    <cellStyle name="60% - akcent 3 2 15 3" xfId="5501"/>
    <cellStyle name="60% - akcent 3 2 15 4" xfId="5502"/>
    <cellStyle name="60% - akcent 3 2 15 5" xfId="5503"/>
    <cellStyle name="60% - akcent 3 2 15 6" xfId="5504"/>
    <cellStyle name="60% - akcent 3 2 16" xfId="5505"/>
    <cellStyle name="60% - akcent 3 2 16 2" xfId="5506"/>
    <cellStyle name="60% - akcent 3 2 16 3" xfId="5507"/>
    <cellStyle name="60% - akcent 3 2 16 4" xfId="5508"/>
    <cellStyle name="60% - akcent 3 2 16 5" xfId="5509"/>
    <cellStyle name="60% - akcent 3 2 16 6" xfId="5510"/>
    <cellStyle name="60% - akcent 3 2 17" xfId="5511"/>
    <cellStyle name="60% - akcent 3 2 17 2" xfId="5512"/>
    <cellStyle name="60% - akcent 3 2 17 3" xfId="5513"/>
    <cellStyle name="60% - akcent 3 2 17 4" xfId="5514"/>
    <cellStyle name="60% - akcent 3 2 17 5" xfId="5515"/>
    <cellStyle name="60% - akcent 3 2 17 6" xfId="5516"/>
    <cellStyle name="60% - akcent 3 2 18" xfId="5517"/>
    <cellStyle name="60% - akcent 3 2 18 2" xfId="5518"/>
    <cellStyle name="60% - akcent 3 2 18 3" xfId="5519"/>
    <cellStyle name="60% - akcent 3 2 18 4" xfId="5520"/>
    <cellStyle name="60% - akcent 3 2 18 5" xfId="5521"/>
    <cellStyle name="60% - akcent 3 2 18 6" xfId="5522"/>
    <cellStyle name="60% - akcent 3 2 19" xfId="5523"/>
    <cellStyle name="60% - akcent 3 2 19 2" xfId="5524"/>
    <cellStyle name="60% - akcent 3 2 19 3" xfId="5525"/>
    <cellStyle name="60% - akcent 3 2 19 4" xfId="5526"/>
    <cellStyle name="60% - akcent 3 2 19 5" xfId="5527"/>
    <cellStyle name="60% - akcent 3 2 19 6" xfId="5528"/>
    <cellStyle name="60% - akcent 3 2 2" xfId="5529"/>
    <cellStyle name="60% - akcent 3 2 2 2" xfId="5530"/>
    <cellStyle name="60% - akcent 3 2 2 3" xfId="5531"/>
    <cellStyle name="60% - akcent 3 2 2 4" xfId="5532"/>
    <cellStyle name="60% - akcent 3 2 2 5" xfId="5533"/>
    <cellStyle name="60% - akcent 3 2 2 6" xfId="5534"/>
    <cellStyle name="60% - akcent 3 2 2 7" xfId="5535"/>
    <cellStyle name="60% - akcent 3 2 20" xfId="5536"/>
    <cellStyle name="60% - akcent 3 2 20 2" xfId="5537"/>
    <cellStyle name="60% - akcent 3 2 20 3" xfId="5538"/>
    <cellStyle name="60% - akcent 3 2 20 4" xfId="5539"/>
    <cellStyle name="60% - akcent 3 2 20 5" xfId="5540"/>
    <cellStyle name="60% - akcent 3 2 20 6" xfId="5541"/>
    <cellStyle name="60% - akcent 3 2 21" xfId="5542"/>
    <cellStyle name="60% - akcent 3 2 21 2" xfId="5543"/>
    <cellStyle name="60% - akcent 3 2 21 3" xfId="5544"/>
    <cellStyle name="60% - akcent 3 2 21 4" xfId="5545"/>
    <cellStyle name="60% - akcent 3 2 21 5" xfId="5546"/>
    <cellStyle name="60% - akcent 3 2 21 6" xfId="5547"/>
    <cellStyle name="60% - akcent 3 2 22" xfId="5548"/>
    <cellStyle name="60% - akcent 3 2 22 2" xfId="5549"/>
    <cellStyle name="60% - akcent 3 2 22 3" xfId="5550"/>
    <cellStyle name="60% - akcent 3 2 22 4" xfId="5551"/>
    <cellStyle name="60% - akcent 3 2 22 5" xfId="5552"/>
    <cellStyle name="60% - akcent 3 2 22 6" xfId="5553"/>
    <cellStyle name="60% - akcent 3 2 23" xfId="5554"/>
    <cellStyle name="60% - akcent 3 2 23 2" xfId="5555"/>
    <cellStyle name="60% - akcent 3 2 23 3" xfId="5556"/>
    <cellStyle name="60% - akcent 3 2 23 4" xfId="5557"/>
    <cellStyle name="60% - akcent 3 2 23 5" xfId="5558"/>
    <cellStyle name="60% - akcent 3 2 23 6" xfId="5559"/>
    <cellStyle name="60% - akcent 3 2 24" xfId="5560"/>
    <cellStyle name="60% - akcent 3 2 24 2" xfId="5561"/>
    <cellStyle name="60% - akcent 3 2 24 3" xfId="5562"/>
    <cellStyle name="60% - akcent 3 2 24 4" xfId="5563"/>
    <cellStyle name="60% - akcent 3 2 24 5" xfId="5564"/>
    <cellStyle name="60% - akcent 3 2 24 6" xfId="5565"/>
    <cellStyle name="60% - akcent 3 2 25" xfId="5566"/>
    <cellStyle name="60% - akcent 3 2 25 2" xfId="5567"/>
    <cellStyle name="60% - akcent 3 2 25 3" xfId="5568"/>
    <cellStyle name="60% - akcent 3 2 25 4" xfId="5569"/>
    <cellStyle name="60% - akcent 3 2 25 5" xfId="5570"/>
    <cellStyle name="60% - akcent 3 2 25 6" xfId="5571"/>
    <cellStyle name="60% - akcent 3 2 26" xfId="5572"/>
    <cellStyle name="60% - akcent 3 2 26 2" xfId="5573"/>
    <cellStyle name="60% - akcent 3 2 26 3" xfId="5574"/>
    <cellStyle name="60% - akcent 3 2 26 4" xfId="5575"/>
    <cellStyle name="60% - akcent 3 2 26 5" xfId="5576"/>
    <cellStyle name="60% - akcent 3 2 26 6" xfId="5577"/>
    <cellStyle name="60% - akcent 3 2 27" xfId="5578"/>
    <cellStyle name="60% - akcent 3 2 27 2" xfId="5579"/>
    <cellStyle name="60% - akcent 3 2 27 3" xfId="5580"/>
    <cellStyle name="60% - akcent 3 2 27 4" xfId="5581"/>
    <cellStyle name="60% - akcent 3 2 27 5" xfId="5582"/>
    <cellStyle name="60% - akcent 3 2 27 6" xfId="5583"/>
    <cellStyle name="60% - akcent 3 2 28" xfId="5584"/>
    <cellStyle name="60% - akcent 3 2 28 2" xfId="5585"/>
    <cellStyle name="60% - akcent 3 2 28 3" xfId="5586"/>
    <cellStyle name="60% - akcent 3 2 28 4" xfId="5587"/>
    <cellStyle name="60% - akcent 3 2 28 5" xfId="5588"/>
    <cellStyle name="60% - akcent 3 2 28 6" xfId="5589"/>
    <cellStyle name="60% - akcent 3 2 29" xfId="5590"/>
    <cellStyle name="60% - akcent 3 2 29 2" xfId="5591"/>
    <cellStyle name="60% - akcent 3 2 3" xfId="5592"/>
    <cellStyle name="60% - akcent 3 2 3 2" xfId="5593"/>
    <cellStyle name="60% - akcent 3 2 3 3" xfId="5594"/>
    <cellStyle name="60% - akcent 3 2 3 4" xfId="5595"/>
    <cellStyle name="60% - akcent 3 2 3 5" xfId="5596"/>
    <cellStyle name="60% - akcent 3 2 3 6" xfId="5597"/>
    <cellStyle name="60% - akcent 3 2 30" xfId="5598"/>
    <cellStyle name="60% - akcent 3 2 30 2" xfId="5599"/>
    <cellStyle name="60% - akcent 3 2 31" xfId="5600"/>
    <cellStyle name="60% - akcent 3 2 31 2" xfId="5601"/>
    <cellStyle name="60% - akcent 3 2 32" xfId="5602"/>
    <cellStyle name="60% - akcent 3 2 32 2" xfId="5603"/>
    <cellStyle name="60% - akcent 3 2 33" xfId="5604"/>
    <cellStyle name="60% - akcent 3 2 34" xfId="5605"/>
    <cellStyle name="60% - akcent 3 2 35" xfId="5606"/>
    <cellStyle name="60% - akcent 3 2 36" xfId="5607"/>
    <cellStyle name="60% - akcent 3 2 37" xfId="5608"/>
    <cellStyle name="60% - akcent 3 2 38" xfId="5609"/>
    <cellStyle name="60% - akcent 3 2 39" xfId="5610"/>
    <cellStyle name="60% - akcent 3 2 4" xfId="5611"/>
    <cellStyle name="60% - akcent 3 2 4 2" xfId="5612"/>
    <cellStyle name="60% - akcent 3 2 4 3" xfId="5613"/>
    <cellStyle name="60% - akcent 3 2 4 4" xfId="5614"/>
    <cellStyle name="60% - akcent 3 2 4 5" xfId="5615"/>
    <cellStyle name="60% - akcent 3 2 4 6" xfId="5616"/>
    <cellStyle name="60% - akcent 3 2 40" xfId="5617"/>
    <cellStyle name="60% - akcent 3 2 41" xfId="5618"/>
    <cellStyle name="60% - akcent 3 2 42" xfId="5619"/>
    <cellStyle name="60% - akcent 3 2 43" xfId="5620"/>
    <cellStyle name="60% - akcent 3 2 44" xfId="5621"/>
    <cellStyle name="60% - akcent 3 2 45" xfId="5622"/>
    <cellStyle name="60% - akcent 3 2 46" xfId="5623"/>
    <cellStyle name="60% - akcent 3 2 47" xfId="5624"/>
    <cellStyle name="60% - akcent 3 2 48" xfId="5625"/>
    <cellStyle name="60% - akcent 3 2 49" xfId="5626"/>
    <cellStyle name="60% - akcent 3 2 5" xfId="5627"/>
    <cellStyle name="60% - akcent 3 2 5 2" xfId="5628"/>
    <cellStyle name="60% - akcent 3 2 5 3" xfId="5629"/>
    <cellStyle name="60% - akcent 3 2 5 4" xfId="5630"/>
    <cellStyle name="60% - akcent 3 2 5 5" xfId="5631"/>
    <cellStyle name="60% - akcent 3 2 5 6" xfId="5632"/>
    <cellStyle name="60% - akcent 3 2 50" xfId="5633"/>
    <cellStyle name="60% - akcent 3 2 51" xfId="5634"/>
    <cellStyle name="60% - akcent 3 2 52" xfId="5635"/>
    <cellStyle name="60% - akcent 3 2 6" xfId="5636"/>
    <cellStyle name="60% - akcent 3 2 6 2" xfId="5637"/>
    <cellStyle name="60% - akcent 3 2 6 3" xfId="5638"/>
    <cellStyle name="60% - akcent 3 2 6 4" xfId="5639"/>
    <cellStyle name="60% - akcent 3 2 6 5" xfId="5640"/>
    <cellStyle name="60% - akcent 3 2 6 6" xfId="5641"/>
    <cellStyle name="60% - akcent 3 2 7" xfId="5642"/>
    <cellStyle name="60% - akcent 3 2 7 2" xfId="5643"/>
    <cellStyle name="60% - akcent 3 2 7 3" xfId="5644"/>
    <cellStyle name="60% - akcent 3 2 7 4" xfId="5645"/>
    <cellStyle name="60% - akcent 3 2 7 5" xfId="5646"/>
    <cellStyle name="60% - akcent 3 2 7 6" xfId="5647"/>
    <cellStyle name="60% - akcent 3 2 8" xfId="5648"/>
    <cellStyle name="60% - akcent 3 2 8 2" xfId="5649"/>
    <cellStyle name="60% - akcent 3 2 8 3" xfId="5650"/>
    <cellStyle name="60% - akcent 3 2 8 4" xfId="5651"/>
    <cellStyle name="60% - akcent 3 2 8 5" xfId="5652"/>
    <cellStyle name="60% - akcent 3 2 8 6" xfId="5653"/>
    <cellStyle name="60% - akcent 3 2 9" xfId="5654"/>
    <cellStyle name="60% - akcent 3 2 9 2" xfId="5655"/>
    <cellStyle name="60% - akcent 3 2 9 3" xfId="5656"/>
    <cellStyle name="60% - akcent 3 2 9 4" xfId="5657"/>
    <cellStyle name="60% - akcent 3 2 9 5" xfId="5658"/>
    <cellStyle name="60% - akcent 3 2 9 6" xfId="5659"/>
    <cellStyle name="60% - akcent 3 3" xfId="5660"/>
    <cellStyle name="60% - akcent 3 3 2" xfId="5661"/>
    <cellStyle name="60% - akcent 3 3 2 2" xfId="5662"/>
    <cellStyle name="60% - akcent 3 3 3" xfId="5663"/>
    <cellStyle name="60% - akcent 3 3 4" xfId="5664"/>
    <cellStyle name="60% - akcent 3 3 5" xfId="5665"/>
    <cellStyle name="60% - akcent 3 3 6" xfId="5666"/>
    <cellStyle name="60% - akcent 3 3 7" xfId="5667"/>
    <cellStyle name="60% - akcent 3 3 8" xfId="5668"/>
    <cellStyle name="60% - akcent 3 4" xfId="5669"/>
    <cellStyle name="60% - akcent 3 4 2" xfId="5670"/>
    <cellStyle name="60% - akcent 3 4 3" xfId="5671"/>
    <cellStyle name="60% - akcent 3 4 4" xfId="5672"/>
    <cellStyle name="60% - akcent 3 4 5" xfId="5673"/>
    <cellStyle name="60% - akcent 3 4 6" xfId="5674"/>
    <cellStyle name="60% - akcent 3 4 7" xfId="5675"/>
    <cellStyle name="60% - akcent 3 4 8" xfId="5676"/>
    <cellStyle name="60% - akcent 3 5" xfId="5677"/>
    <cellStyle name="60% - akcent 3 5 2" xfId="5678"/>
    <cellStyle name="60% - akcent 3 6" xfId="5679"/>
    <cellStyle name="60% - akcent 3 7" xfId="5680"/>
    <cellStyle name="60% - akcent 4 2" xfId="5681"/>
    <cellStyle name="60% - akcent 4 2 10" xfId="5682"/>
    <cellStyle name="60% - akcent 4 2 10 2" xfId="5683"/>
    <cellStyle name="60% - akcent 4 2 10 3" xfId="5684"/>
    <cellStyle name="60% - akcent 4 2 10 4" xfId="5685"/>
    <cellStyle name="60% - akcent 4 2 10 5" xfId="5686"/>
    <cellStyle name="60% - akcent 4 2 10 6" xfId="5687"/>
    <cellStyle name="60% - akcent 4 2 11" xfId="5688"/>
    <cellStyle name="60% - akcent 4 2 11 2" xfId="5689"/>
    <cellStyle name="60% - akcent 4 2 11 3" xfId="5690"/>
    <cellStyle name="60% - akcent 4 2 11 4" xfId="5691"/>
    <cellStyle name="60% - akcent 4 2 11 5" xfId="5692"/>
    <cellStyle name="60% - akcent 4 2 11 6" xfId="5693"/>
    <cellStyle name="60% - akcent 4 2 12" xfId="5694"/>
    <cellStyle name="60% - akcent 4 2 12 2" xfId="5695"/>
    <cellStyle name="60% - akcent 4 2 12 3" xfId="5696"/>
    <cellStyle name="60% - akcent 4 2 12 4" xfId="5697"/>
    <cellStyle name="60% - akcent 4 2 12 5" xfId="5698"/>
    <cellStyle name="60% - akcent 4 2 12 6" xfId="5699"/>
    <cellStyle name="60% - akcent 4 2 13" xfId="5700"/>
    <cellStyle name="60% - akcent 4 2 13 2" xfId="5701"/>
    <cellStyle name="60% - akcent 4 2 13 3" xfId="5702"/>
    <cellStyle name="60% - akcent 4 2 13 4" xfId="5703"/>
    <cellStyle name="60% - akcent 4 2 13 5" xfId="5704"/>
    <cellStyle name="60% - akcent 4 2 13 6" xfId="5705"/>
    <cellStyle name="60% - akcent 4 2 14" xfId="5706"/>
    <cellStyle name="60% - akcent 4 2 14 2" xfId="5707"/>
    <cellStyle name="60% - akcent 4 2 14 3" xfId="5708"/>
    <cellStyle name="60% - akcent 4 2 14 4" xfId="5709"/>
    <cellStyle name="60% - akcent 4 2 14 5" xfId="5710"/>
    <cellStyle name="60% - akcent 4 2 14 6" xfId="5711"/>
    <cellStyle name="60% - akcent 4 2 15" xfId="5712"/>
    <cellStyle name="60% - akcent 4 2 15 2" xfId="5713"/>
    <cellStyle name="60% - akcent 4 2 15 3" xfId="5714"/>
    <cellStyle name="60% - akcent 4 2 15 4" xfId="5715"/>
    <cellStyle name="60% - akcent 4 2 15 5" xfId="5716"/>
    <cellStyle name="60% - akcent 4 2 15 6" xfId="5717"/>
    <cellStyle name="60% - akcent 4 2 16" xfId="5718"/>
    <cellStyle name="60% - akcent 4 2 16 2" xfId="5719"/>
    <cellStyle name="60% - akcent 4 2 16 3" xfId="5720"/>
    <cellStyle name="60% - akcent 4 2 16 4" xfId="5721"/>
    <cellStyle name="60% - akcent 4 2 16 5" xfId="5722"/>
    <cellStyle name="60% - akcent 4 2 16 6" xfId="5723"/>
    <cellStyle name="60% - akcent 4 2 17" xfId="5724"/>
    <cellStyle name="60% - akcent 4 2 17 2" xfId="5725"/>
    <cellStyle name="60% - akcent 4 2 17 3" xfId="5726"/>
    <cellStyle name="60% - akcent 4 2 17 4" xfId="5727"/>
    <cellStyle name="60% - akcent 4 2 17 5" xfId="5728"/>
    <cellStyle name="60% - akcent 4 2 17 6" xfId="5729"/>
    <cellStyle name="60% - akcent 4 2 18" xfId="5730"/>
    <cellStyle name="60% - akcent 4 2 18 2" xfId="5731"/>
    <cellStyle name="60% - akcent 4 2 18 3" xfId="5732"/>
    <cellStyle name="60% - akcent 4 2 18 4" xfId="5733"/>
    <cellStyle name="60% - akcent 4 2 18 5" xfId="5734"/>
    <cellStyle name="60% - akcent 4 2 18 6" xfId="5735"/>
    <cellStyle name="60% - akcent 4 2 19" xfId="5736"/>
    <cellStyle name="60% - akcent 4 2 19 2" xfId="5737"/>
    <cellStyle name="60% - akcent 4 2 19 3" xfId="5738"/>
    <cellStyle name="60% - akcent 4 2 19 4" xfId="5739"/>
    <cellStyle name="60% - akcent 4 2 19 5" xfId="5740"/>
    <cellStyle name="60% - akcent 4 2 19 6" xfId="5741"/>
    <cellStyle name="60% - akcent 4 2 2" xfId="5742"/>
    <cellStyle name="60% - akcent 4 2 2 2" xfId="5743"/>
    <cellStyle name="60% - akcent 4 2 2 3" xfId="5744"/>
    <cellStyle name="60% - akcent 4 2 2 4" xfId="5745"/>
    <cellStyle name="60% - akcent 4 2 2 5" xfId="5746"/>
    <cellStyle name="60% - akcent 4 2 2 6" xfId="5747"/>
    <cellStyle name="60% - akcent 4 2 2 7" xfId="5748"/>
    <cellStyle name="60% - akcent 4 2 20" xfId="5749"/>
    <cellStyle name="60% - akcent 4 2 20 2" xfId="5750"/>
    <cellStyle name="60% - akcent 4 2 20 3" xfId="5751"/>
    <cellStyle name="60% - akcent 4 2 20 4" xfId="5752"/>
    <cellStyle name="60% - akcent 4 2 20 5" xfId="5753"/>
    <cellStyle name="60% - akcent 4 2 20 6" xfId="5754"/>
    <cellStyle name="60% - akcent 4 2 21" xfId="5755"/>
    <cellStyle name="60% - akcent 4 2 21 2" xfId="5756"/>
    <cellStyle name="60% - akcent 4 2 21 3" xfId="5757"/>
    <cellStyle name="60% - akcent 4 2 21 4" xfId="5758"/>
    <cellStyle name="60% - akcent 4 2 21 5" xfId="5759"/>
    <cellStyle name="60% - akcent 4 2 21 6" xfId="5760"/>
    <cellStyle name="60% - akcent 4 2 22" xfId="5761"/>
    <cellStyle name="60% - akcent 4 2 22 2" xfId="5762"/>
    <cellStyle name="60% - akcent 4 2 22 3" xfId="5763"/>
    <cellStyle name="60% - akcent 4 2 22 4" xfId="5764"/>
    <cellStyle name="60% - akcent 4 2 22 5" xfId="5765"/>
    <cellStyle name="60% - akcent 4 2 22 6" xfId="5766"/>
    <cellStyle name="60% - akcent 4 2 23" xfId="5767"/>
    <cellStyle name="60% - akcent 4 2 23 2" xfId="5768"/>
    <cellStyle name="60% - akcent 4 2 23 3" xfId="5769"/>
    <cellStyle name="60% - akcent 4 2 23 4" xfId="5770"/>
    <cellStyle name="60% - akcent 4 2 23 5" xfId="5771"/>
    <cellStyle name="60% - akcent 4 2 23 6" xfId="5772"/>
    <cellStyle name="60% - akcent 4 2 24" xfId="5773"/>
    <cellStyle name="60% - akcent 4 2 24 2" xfId="5774"/>
    <cellStyle name="60% - akcent 4 2 24 3" xfId="5775"/>
    <cellStyle name="60% - akcent 4 2 24 4" xfId="5776"/>
    <cellStyle name="60% - akcent 4 2 24 5" xfId="5777"/>
    <cellStyle name="60% - akcent 4 2 24 6" xfId="5778"/>
    <cellStyle name="60% - akcent 4 2 25" xfId="5779"/>
    <cellStyle name="60% - akcent 4 2 25 2" xfId="5780"/>
    <cellStyle name="60% - akcent 4 2 25 3" xfId="5781"/>
    <cellStyle name="60% - akcent 4 2 25 4" xfId="5782"/>
    <cellStyle name="60% - akcent 4 2 25 5" xfId="5783"/>
    <cellStyle name="60% - akcent 4 2 25 6" xfId="5784"/>
    <cellStyle name="60% - akcent 4 2 26" xfId="5785"/>
    <cellStyle name="60% - akcent 4 2 26 2" xfId="5786"/>
    <cellStyle name="60% - akcent 4 2 26 3" xfId="5787"/>
    <cellStyle name="60% - akcent 4 2 26 4" xfId="5788"/>
    <cellStyle name="60% - akcent 4 2 26 5" xfId="5789"/>
    <cellStyle name="60% - akcent 4 2 26 6" xfId="5790"/>
    <cellStyle name="60% - akcent 4 2 27" xfId="5791"/>
    <cellStyle name="60% - akcent 4 2 27 2" xfId="5792"/>
    <cellStyle name="60% - akcent 4 2 27 3" xfId="5793"/>
    <cellStyle name="60% - akcent 4 2 27 4" xfId="5794"/>
    <cellStyle name="60% - akcent 4 2 27 5" xfId="5795"/>
    <cellStyle name="60% - akcent 4 2 27 6" xfId="5796"/>
    <cellStyle name="60% - akcent 4 2 28" xfId="5797"/>
    <cellStyle name="60% - akcent 4 2 28 2" xfId="5798"/>
    <cellStyle name="60% - akcent 4 2 28 3" xfId="5799"/>
    <cellStyle name="60% - akcent 4 2 28 4" xfId="5800"/>
    <cellStyle name="60% - akcent 4 2 28 5" xfId="5801"/>
    <cellStyle name="60% - akcent 4 2 28 6" xfId="5802"/>
    <cellStyle name="60% - akcent 4 2 29" xfId="5803"/>
    <cellStyle name="60% - akcent 4 2 29 2" xfId="5804"/>
    <cellStyle name="60% - akcent 4 2 3" xfId="5805"/>
    <cellStyle name="60% - akcent 4 2 3 2" xfId="5806"/>
    <cellStyle name="60% - akcent 4 2 3 3" xfId="5807"/>
    <cellStyle name="60% - akcent 4 2 3 4" xfId="5808"/>
    <cellStyle name="60% - akcent 4 2 3 5" xfId="5809"/>
    <cellStyle name="60% - akcent 4 2 3 6" xfId="5810"/>
    <cellStyle name="60% - akcent 4 2 30" xfId="5811"/>
    <cellStyle name="60% - akcent 4 2 30 2" xfId="5812"/>
    <cellStyle name="60% - akcent 4 2 31" xfId="5813"/>
    <cellStyle name="60% - akcent 4 2 31 2" xfId="5814"/>
    <cellStyle name="60% - akcent 4 2 32" xfId="5815"/>
    <cellStyle name="60% - akcent 4 2 32 2" xfId="5816"/>
    <cellStyle name="60% - akcent 4 2 33" xfId="5817"/>
    <cellStyle name="60% - akcent 4 2 34" xfId="5818"/>
    <cellStyle name="60% - akcent 4 2 35" xfId="5819"/>
    <cellStyle name="60% - akcent 4 2 36" xfId="5820"/>
    <cellStyle name="60% - akcent 4 2 37" xfId="5821"/>
    <cellStyle name="60% - akcent 4 2 38" xfId="5822"/>
    <cellStyle name="60% - akcent 4 2 39" xfId="5823"/>
    <cellStyle name="60% - akcent 4 2 4" xfId="5824"/>
    <cellStyle name="60% - akcent 4 2 4 2" xfId="5825"/>
    <cellStyle name="60% - akcent 4 2 4 3" xfId="5826"/>
    <cellStyle name="60% - akcent 4 2 4 4" xfId="5827"/>
    <cellStyle name="60% - akcent 4 2 4 5" xfId="5828"/>
    <cellStyle name="60% - akcent 4 2 4 6" xfId="5829"/>
    <cellStyle name="60% - akcent 4 2 40" xfId="5830"/>
    <cellStyle name="60% - akcent 4 2 41" xfId="5831"/>
    <cellStyle name="60% - akcent 4 2 42" xfId="5832"/>
    <cellStyle name="60% - akcent 4 2 43" xfId="5833"/>
    <cellStyle name="60% - akcent 4 2 44" xfId="5834"/>
    <cellStyle name="60% - akcent 4 2 45" xfId="5835"/>
    <cellStyle name="60% - akcent 4 2 46" xfId="5836"/>
    <cellStyle name="60% - akcent 4 2 47" xfId="5837"/>
    <cellStyle name="60% - akcent 4 2 48" xfId="5838"/>
    <cellStyle name="60% - akcent 4 2 49" xfId="5839"/>
    <cellStyle name="60% - akcent 4 2 5" xfId="5840"/>
    <cellStyle name="60% - akcent 4 2 5 2" xfId="5841"/>
    <cellStyle name="60% - akcent 4 2 5 3" xfId="5842"/>
    <cellStyle name="60% - akcent 4 2 5 4" xfId="5843"/>
    <cellStyle name="60% - akcent 4 2 5 5" xfId="5844"/>
    <cellStyle name="60% - akcent 4 2 5 6" xfId="5845"/>
    <cellStyle name="60% - akcent 4 2 50" xfId="5846"/>
    <cellStyle name="60% - akcent 4 2 51" xfId="5847"/>
    <cellStyle name="60% - akcent 4 2 52" xfId="5848"/>
    <cellStyle name="60% - akcent 4 2 6" xfId="5849"/>
    <cellStyle name="60% - akcent 4 2 6 2" xfId="5850"/>
    <cellStyle name="60% - akcent 4 2 6 3" xfId="5851"/>
    <cellStyle name="60% - akcent 4 2 6 4" xfId="5852"/>
    <cellStyle name="60% - akcent 4 2 6 5" xfId="5853"/>
    <cellStyle name="60% - akcent 4 2 6 6" xfId="5854"/>
    <cellStyle name="60% - akcent 4 2 7" xfId="5855"/>
    <cellStyle name="60% - akcent 4 2 7 2" xfId="5856"/>
    <cellStyle name="60% - akcent 4 2 7 3" xfId="5857"/>
    <cellStyle name="60% - akcent 4 2 7 4" xfId="5858"/>
    <cellStyle name="60% - akcent 4 2 7 5" xfId="5859"/>
    <cellStyle name="60% - akcent 4 2 7 6" xfId="5860"/>
    <cellStyle name="60% - akcent 4 2 8" xfId="5861"/>
    <cellStyle name="60% - akcent 4 2 8 2" xfId="5862"/>
    <cellStyle name="60% - akcent 4 2 8 3" xfId="5863"/>
    <cellStyle name="60% - akcent 4 2 8 4" xfId="5864"/>
    <cellStyle name="60% - akcent 4 2 8 5" xfId="5865"/>
    <cellStyle name="60% - akcent 4 2 8 6" xfId="5866"/>
    <cellStyle name="60% - akcent 4 2 9" xfId="5867"/>
    <cellStyle name="60% - akcent 4 2 9 2" xfId="5868"/>
    <cellStyle name="60% - akcent 4 2 9 3" xfId="5869"/>
    <cellStyle name="60% - akcent 4 2 9 4" xfId="5870"/>
    <cellStyle name="60% - akcent 4 2 9 5" xfId="5871"/>
    <cellStyle name="60% - akcent 4 2 9 6" xfId="5872"/>
    <cellStyle name="60% - akcent 4 3" xfId="5873"/>
    <cellStyle name="60% - akcent 4 3 2" xfId="5874"/>
    <cellStyle name="60% - akcent 4 3 2 2" xfId="5875"/>
    <cellStyle name="60% - akcent 4 3 3" xfId="5876"/>
    <cellStyle name="60% - akcent 4 3 4" xfId="5877"/>
    <cellStyle name="60% - akcent 4 3 5" xfId="5878"/>
    <cellStyle name="60% - akcent 4 3 6" xfId="5879"/>
    <cellStyle name="60% - akcent 4 3 7" xfId="5880"/>
    <cellStyle name="60% - akcent 4 3 8" xfId="5881"/>
    <cellStyle name="60% - akcent 4 4" xfId="5882"/>
    <cellStyle name="60% - akcent 4 4 2" xfId="5883"/>
    <cellStyle name="60% - akcent 4 4 3" xfId="5884"/>
    <cellStyle name="60% - akcent 4 4 4" xfId="5885"/>
    <cellStyle name="60% - akcent 4 4 5" xfId="5886"/>
    <cellStyle name="60% - akcent 4 4 6" xfId="5887"/>
    <cellStyle name="60% - akcent 4 4 7" xfId="5888"/>
    <cellStyle name="60% - akcent 4 4 8" xfId="5889"/>
    <cellStyle name="60% - akcent 4 5" xfId="5890"/>
    <cellStyle name="60% - akcent 4 5 2" xfId="5891"/>
    <cellStyle name="60% - akcent 4 6" xfId="5892"/>
    <cellStyle name="60% - akcent 4 7" xfId="5893"/>
    <cellStyle name="60% - akcent 5 2" xfId="5894"/>
    <cellStyle name="60% - akcent 5 2 10" xfId="5895"/>
    <cellStyle name="60% - akcent 5 2 10 2" xfId="5896"/>
    <cellStyle name="60% - akcent 5 2 10 3" xfId="5897"/>
    <cellStyle name="60% - akcent 5 2 10 4" xfId="5898"/>
    <cellStyle name="60% - akcent 5 2 10 5" xfId="5899"/>
    <cellStyle name="60% - akcent 5 2 10 6" xfId="5900"/>
    <cellStyle name="60% - akcent 5 2 11" xfId="5901"/>
    <cellStyle name="60% - akcent 5 2 11 2" xfId="5902"/>
    <cellStyle name="60% - akcent 5 2 11 3" xfId="5903"/>
    <cellStyle name="60% - akcent 5 2 11 4" xfId="5904"/>
    <cellStyle name="60% - akcent 5 2 11 5" xfId="5905"/>
    <cellStyle name="60% - akcent 5 2 11 6" xfId="5906"/>
    <cellStyle name="60% - akcent 5 2 12" xfId="5907"/>
    <cellStyle name="60% - akcent 5 2 12 2" xfId="5908"/>
    <cellStyle name="60% - akcent 5 2 12 3" xfId="5909"/>
    <cellStyle name="60% - akcent 5 2 12 4" xfId="5910"/>
    <cellStyle name="60% - akcent 5 2 12 5" xfId="5911"/>
    <cellStyle name="60% - akcent 5 2 12 6" xfId="5912"/>
    <cellStyle name="60% - akcent 5 2 13" xfId="5913"/>
    <cellStyle name="60% - akcent 5 2 13 2" xfId="5914"/>
    <cellStyle name="60% - akcent 5 2 13 3" xfId="5915"/>
    <cellStyle name="60% - akcent 5 2 13 4" xfId="5916"/>
    <cellStyle name="60% - akcent 5 2 13 5" xfId="5917"/>
    <cellStyle name="60% - akcent 5 2 13 6" xfId="5918"/>
    <cellStyle name="60% - akcent 5 2 14" xfId="5919"/>
    <cellStyle name="60% - akcent 5 2 14 2" xfId="5920"/>
    <cellStyle name="60% - akcent 5 2 14 3" xfId="5921"/>
    <cellStyle name="60% - akcent 5 2 14 4" xfId="5922"/>
    <cellStyle name="60% - akcent 5 2 14 5" xfId="5923"/>
    <cellStyle name="60% - akcent 5 2 14 6" xfId="5924"/>
    <cellStyle name="60% - akcent 5 2 15" xfId="5925"/>
    <cellStyle name="60% - akcent 5 2 15 2" xfId="5926"/>
    <cellStyle name="60% - akcent 5 2 15 3" xfId="5927"/>
    <cellStyle name="60% - akcent 5 2 15 4" xfId="5928"/>
    <cellStyle name="60% - akcent 5 2 15 5" xfId="5929"/>
    <cellStyle name="60% - akcent 5 2 15 6" xfId="5930"/>
    <cellStyle name="60% - akcent 5 2 16" xfId="5931"/>
    <cellStyle name="60% - akcent 5 2 16 2" xfId="5932"/>
    <cellStyle name="60% - akcent 5 2 16 3" xfId="5933"/>
    <cellStyle name="60% - akcent 5 2 16 4" xfId="5934"/>
    <cellStyle name="60% - akcent 5 2 16 5" xfId="5935"/>
    <cellStyle name="60% - akcent 5 2 16 6" xfId="5936"/>
    <cellStyle name="60% - akcent 5 2 17" xfId="5937"/>
    <cellStyle name="60% - akcent 5 2 17 2" xfId="5938"/>
    <cellStyle name="60% - akcent 5 2 17 3" xfId="5939"/>
    <cellStyle name="60% - akcent 5 2 17 4" xfId="5940"/>
    <cellStyle name="60% - akcent 5 2 17 5" xfId="5941"/>
    <cellStyle name="60% - akcent 5 2 17 6" xfId="5942"/>
    <cellStyle name="60% - akcent 5 2 18" xfId="5943"/>
    <cellStyle name="60% - akcent 5 2 18 2" xfId="5944"/>
    <cellStyle name="60% - akcent 5 2 18 3" xfId="5945"/>
    <cellStyle name="60% - akcent 5 2 18 4" xfId="5946"/>
    <cellStyle name="60% - akcent 5 2 18 5" xfId="5947"/>
    <cellStyle name="60% - akcent 5 2 18 6" xfId="5948"/>
    <cellStyle name="60% - akcent 5 2 19" xfId="5949"/>
    <cellStyle name="60% - akcent 5 2 19 2" xfId="5950"/>
    <cellStyle name="60% - akcent 5 2 19 3" xfId="5951"/>
    <cellStyle name="60% - akcent 5 2 19 4" xfId="5952"/>
    <cellStyle name="60% - akcent 5 2 19 5" xfId="5953"/>
    <cellStyle name="60% - akcent 5 2 19 6" xfId="5954"/>
    <cellStyle name="60% - akcent 5 2 2" xfId="5955"/>
    <cellStyle name="60% - akcent 5 2 2 2" xfId="5956"/>
    <cellStyle name="60% - akcent 5 2 2 3" xfId="5957"/>
    <cellStyle name="60% - akcent 5 2 2 4" xfId="5958"/>
    <cellStyle name="60% - akcent 5 2 2 5" xfId="5959"/>
    <cellStyle name="60% - akcent 5 2 2 6" xfId="5960"/>
    <cellStyle name="60% - akcent 5 2 2 7" xfId="5961"/>
    <cellStyle name="60% - akcent 5 2 20" xfId="5962"/>
    <cellStyle name="60% - akcent 5 2 20 2" xfId="5963"/>
    <cellStyle name="60% - akcent 5 2 20 3" xfId="5964"/>
    <cellStyle name="60% - akcent 5 2 20 4" xfId="5965"/>
    <cellStyle name="60% - akcent 5 2 20 5" xfId="5966"/>
    <cellStyle name="60% - akcent 5 2 20 6" xfId="5967"/>
    <cellStyle name="60% - akcent 5 2 21" xfId="5968"/>
    <cellStyle name="60% - akcent 5 2 21 2" xfId="5969"/>
    <cellStyle name="60% - akcent 5 2 21 3" xfId="5970"/>
    <cellStyle name="60% - akcent 5 2 21 4" xfId="5971"/>
    <cellStyle name="60% - akcent 5 2 21 5" xfId="5972"/>
    <cellStyle name="60% - akcent 5 2 21 6" xfId="5973"/>
    <cellStyle name="60% - akcent 5 2 22" xfId="5974"/>
    <cellStyle name="60% - akcent 5 2 22 2" xfId="5975"/>
    <cellStyle name="60% - akcent 5 2 22 3" xfId="5976"/>
    <cellStyle name="60% - akcent 5 2 22 4" xfId="5977"/>
    <cellStyle name="60% - akcent 5 2 22 5" xfId="5978"/>
    <cellStyle name="60% - akcent 5 2 22 6" xfId="5979"/>
    <cellStyle name="60% - akcent 5 2 23" xfId="5980"/>
    <cellStyle name="60% - akcent 5 2 23 2" xfId="5981"/>
    <cellStyle name="60% - akcent 5 2 23 3" xfId="5982"/>
    <cellStyle name="60% - akcent 5 2 23 4" xfId="5983"/>
    <cellStyle name="60% - akcent 5 2 23 5" xfId="5984"/>
    <cellStyle name="60% - akcent 5 2 23 6" xfId="5985"/>
    <cellStyle name="60% - akcent 5 2 24" xfId="5986"/>
    <cellStyle name="60% - akcent 5 2 24 2" xfId="5987"/>
    <cellStyle name="60% - akcent 5 2 24 3" xfId="5988"/>
    <cellStyle name="60% - akcent 5 2 24 4" xfId="5989"/>
    <cellStyle name="60% - akcent 5 2 24 5" xfId="5990"/>
    <cellStyle name="60% - akcent 5 2 24 6" xfId="5991"/>
    <cellStyle name="60% - akcent 5 2 25" xfId="5992"/>
    <cellStyle name="60% - akcent 5 2 25 2" xfId="5993"/>
    <cellStyle name="60% - akcent 5 2 25 3" xfId="5994"/>
    <cellStyle name="60% - akcent 5 2 25 4" xfId="5995"/>
    <cellStyle name="60% - akcent 5 2 25 5" xfId="5996"/>
    <cellStyle name="60% - akcent 5 2 25 6" xfId="5997"/>
    <cellStyle name="60% - akcent 5 2 26" xfId="5998"/>
    <cellStyle name="60% - akcent 5 2 26 2" xfId="5999"/>
    <cellStyle name="60% - akcent 5 2 26 3" xfId="6000"/>
    <cellStyle name="60% - akcent 5 2 26 4" xfId="6001"/>
    <cellStyle name="60% - akcent 5 2 26 5" xfId="6002"/>
    <cellStyle name="60% - akcent 5 2 26 6" xfId="6003"/>
    <cellStyle name="60% - akcent 5 2 27" xfId="6004"/>
    <cellStyle name="60% - akcent 5 2 27 2" xfId="6005"/>
    <cellStyle name="60% - akcent 5 2 27 3" xfId="6006"/>
    <cellStyle name="60% - akcent 5 2 27 4" xfId="6007"/>
    <cellStyle name="60% - akcent 5 2 27 5" xfId="6008"/>
    <cellStyle name="60% - akcent 5 2 27 6" xfId="6009"/>
    <cellStyle name="60% - akcent 5 2 28" xfId="6010"/>
    <cellStyle name="60% - akcent 5 2 28 2" xfId="6011"/>
    <cellStyle name="60% - akcent 5 2 28 3" xfId="6012"/>
    <cellStyle name="60% - akcent 5 2 28 4" xfId="6013"/>
    <cellStyle name="60% - akcent 5 2 28 5" xfId="6014"/>
    <cellStyle name="60% - akcent 5 2 28 6" xfId="6015"/>
    <cellStyle name="60% - akcent 5 2 29" xfId="6016"/>
    <cellStyle name="60% - akcent 5 2 29 2" xfId="6017"/>
    <cellStyle name="60% - akcent 5 2 3" xfId="6018"/>
    <cellStyle name="60% - akcent 5 2 3 2" xfId="6019"/>
    <cellStyle name="60% - akcent 5 2 3 3" xfId="6020"/>
    <cellStyle name="60% - akcent 5 2 3 4" xfId="6021"/>
    <cellStyle name="60% - akcent 5 2 3 5" xfId="6022"/>
    <cellStyle name="60% - akcent 5 2 3 6" xfId="6023"/>
    <cellStyle name="60% - akcent 5 2 30" xfId="6024"/>
    <cellStyle name="60% - akcent 5 2 30 2" xfId="6025"/>
    <cellStyle name="60% - akcent 5 2 31" xfId="6026"/>
    <cellStyle name="60% - akcent 5 2 31 2" xfId="6027"/>
    <cellStyle name="60% - akcent 5 2 32" xfId="6028"/>
    <cellStyle name="60% - akcent 5 2 32 2" xfId="6029"/>
    <cellStyle name="60% - akcent 5 2 33" xfId="6030"/>
    <cellStyle name="60% - akcent 5 2 34" xfId="6031"/>
    <cellStyle name="60% - akcent 5 2 35" xfId="6032"/>
    <cellStyle name="60% - akcent 5 2 36" xfId="6033"/>
    <cellStyle name="60% - akcent 5 2 37" xfId="6034"/>
    <cellStyle name="60% - akcent 5 2 38" xfId="6035"/>
    <cellStyle name="60% - akcent 5 2 39" xfId="6036"/>
    <cellStyle name="60% - akcent 5 2 4" xfId="6037"/>
    <cellStyle name="60% - akcent 5 2 4 2" xfId="6038"/>
    <cellStyle name="60% - akcent 5 2 4 3" xfId="6039"/>
    <cellStyle name="60% - akcent 5 2 4 4" xfId="6040"/>
    <cellStyle name="60% - akcent 5 2 4 5" xfId="6041"/>
    <cellStyle name="60% - akcent 5 2 4 6" xfId="6042"/>
    <cellStyle name="60% - akcent 5 2 40" xfId="6043"/>
    <cellStyle name="60% - akcent 5 2 41" xfId="6044"/>
    <cellStyle name="60% - akcent 5 2 42" xfId="6045"/>
    <cellStyle name="60% - akcent 5 2 43" xfId="6046"/>
    <cellStyle name="60% - akcent 5 2 44" xfId="6047"/>
    <cellStyle name="60% - akcent 5 2 45" xfId="6048"/>
    <cellStyle name="60% - akcent 5 2 46" xfId="6049"/>
    <cellStyle name="60% - akcent 5 2 47" xfId="6050"/>
    <cellStyle name="60% - akcent 5 2 48" xfId="6051"/>
    <cellStyle name="60% - akcent 5 2 49" xfId="6052"/>
    <cellStyle name="60% - akcent 5 2 5" xfId="6053"/>
    <cellStyle name="60% - akcent 5 2 5 2" xfId="6054"/>
    <cellStyle name="60% - akcent 5 2 5 3" xfId="6055"/>
    <cellStyle name="60% - akcent 5 2 5 4" xfId="6056"/>
    <cellStyle name="60% - akcent 5 2 5 5" xfId="6057"/>
    <cellStyle name="60% - akcent 5 2 5 6" xfId="6058"/>
    <cellStyle name="60% - akcent 5 2 50" xfId="6059"/>
    <cellStyle name="60% - akcent 5 2 51" xfId="6060"/>
    <cellStyle name="60% - akcent 5 2 52" xfId="6061"/>
    <cellStyle name="60% - akcent 5 2 6" xfId="6062"/>
    <cellStyle name="60% - akcent 5 2 6 2" xfId="6063"/>
    <cellStyle name="60% - akcent 5 2 6 3" xfId="6064"/>
    <cellStyle name="60% - akcent 5 2 6 4" xfId="6065"/>
    <cellStyle name="60% - akcent 5 2 6 5" xfId="6066"/>
    <cellStyle name="60% - akcent 5 2 6 6" xfId="6067"/>
    <cellStyle name="60% - akcent 5 2 7" xfId="6068"/>
    <cellStyle name="60% - akcent 5 2 7 2" xfId="6069"/>
    <cellStyle name="60% - akcent 5 2 7 3" xfId="6070"/>
    <cellStyle name="60% - akcent 5 2 7 4" xfId="6071"/>
    <cellStyle name="60% - akcent 5 2 7 5" xfId="6072"/>
    <cellStyle name="60% - akcent 5 2 7 6" xfId="6073"/>
    <cellStyle name="60% - akcent 5 2 8" xfId="6074"/>
    <cellStyle name="60% - akcent 5 2 8 2" xfId="6075"/>
    <cellStyle name="60% - akcent 5 2 8 3" xfId="6076"/>
    <cellStyle name="60% - akcent 5 2 8 4" xfId="6077"/>
    <cellStyle name="60% - akcent 5 2 8 5" xfId="6078"/>
    <cellStyle name="60% - akcent 5 2 8 6" xfId="6079"/>
    <cellStyle name="60% - akcent 5 2 9" xfId="6080"/>
    <cellStyle name="60% - akcent 5 2 9 2" xfId="6081"/>
    <cellStyle name="60% - akcent 5 2 9 3" xfId="6082"/>
    <cellStyle name="60% - akcent 5 2 9 4" xfId="6083"/>
    <cellStyle name="60% - akcent 5 2 9 5" xfId="6084"/>
    <cellStyle name="60% - akcent 5 2 9 6" xfId="6085"/>
    <cellStyle name="60% - akcent 5 3" xfId="6086"/>
    <cellStyle name="60% - akcent 5 3 2" xfId="6087"/>
    <cellStyle name="60% - akcent 5 3 2 2" xfId="6088"/>
    <cellStyle name="60% - akcent 5 3 3" xfId="6089"/>
    <cellStyle name="60% - akcent 5 3 4" xfId="6090"/>
    <cellStyle name="60% - akcent 5 3 5" xfId="6091"/>
    <cellStyle name="60% - akcent 5 3 6" xfId="6092"/>
    <cellStyle name="60% - akcent 5 3 7" xfId="6093"/>
    <cellStyle name="60% - akcent 5 3 8" xfId="6094"/>
    <cellStyle name="60% - akcent 5 4" xfId="6095"/>
    <cellStyle name="60% - akcent 5 4 2" xfId="6096"/>
    <cellStyle name="60% - akcent 5 4 3" xfId="6097"/>
    <cellStyle name="60% - akcent 5 4 4" xfId="6098"/>
    <cellStyle name="60% - akcent 5 4 5" xfId="6099"/>
    <cellStyle name="60% - akcent 5 4 6" xfId="6100"/>
    <cellStyle name="60% - akcent 5 4 7" xfId="6101"/>
    <cellStyle name="60% - akcent 5 4 8" xfId="6102"/>
    <cellStyle name="60% - akcent 5 5" xfId="6103"/>
    <cellStyle name="60% - akcent 5 5 2" xfId="6104"/>
    <cellStyle name="60% - akcent 5 6" xfId="6105"/>
    <cellStyle name="60% - akcent 5 7" xfId="6106"/>
    <cellStyle name="60% - akcent 6 2" xfId="6107"/>
    <cellStyle name="60% - akcent 6 2 10" xfId="6108"/>
    <cellStyle name="60% - akcent 6 2 10 2" xfId="6109"/>
    <cellStyle name="60% - akcent 6 2 10 3" xfId="6110"/>
    <cellStyle name="60% - akcent 6 2 10 4" xfId="6111"/>
    <cellStyle name="60% - akcent 6 2 10 5" xfId="6112"/>
    <cellStyle name="60% - akcent 6 2 10 6" xfId="6113"/>
    <cellStyle name="60% - akcent 6 2 11" xfId="6114"/>
    <cellStyle name="60% - akcent 6 2 11 2" xfId="6115"/>
    <cellStyle name="60% - akcent 6 2 11 3" xfId="6116"/>
    <cellStyle name="60% - akcent 6 2 11 4" xfId="6117"/>
    <cellStyle name="60% - akcent 6 2 11 5" xfId="6118"/>
    <cellStyle name="60% - akcent 6 2 11 6" xfId="6119"/>
    <cellStyle name="60% - akcent 6 2 12" xfId="6120"/>
    <cellStyle name="60% - akcent 6 2 12 2" xfId="6121"/>
    <cellStyle name="60% - akcent 6 2 12 3" xfId="6122"/>
    <cellStyle name="60% - akcent 6 2 12 4" xfId="6123"/>
    <cellStyle name="60% - akcent 6 2 12 5" xfId="6124"/>
    <cellStyle name="60% - akcent 6 2 12 6" xfId="6125"/>
    <cellStyle name="60% - akcent 6 2 13" xfId="6126"/>
    <cellStyle name="60% - akcent 6 2 13 2" xfId="6127"/>
    <cellStyle name="60% - akcent 6 2 13 3" xfId="6128"/>
    <cellStyle name="60% - akcent 6 2 13 4" xfId="6129"/>
    <cellStyle name="60% - akcent 6 2 13 5" xfId="6130"/>
    <cellStyle name="60% - akcent 6 2 13 6" xfId="6131"/>
    <cellStyle name="60% - akcent 6 2 14" xfId="6132"/>
    <cellStyle name="60% - akcent 6 2 14 2" xfId="6133"/>
    <cellStyle name="60% - akcent 6 2 14 3" xfId="6134"/>
    <cellStyle name="60% - akcent 6 2 14 4" xfId="6135"/>
    <cellStyle name="60% - akcent 6 2 14 5" xfId="6136"/>
    <cellStyle name="60% - akcent 6 2 14 6" xfId="6137"/>
    <cellStyle name="60% - akcent 6 2 15" xfId="6138"/>
    <cellStyle name="60% - akcent 6 2 15 2" xfId="6139"/>
    <cellStyle name="60% - akcent 6 2 15 3" xfId="6140"/>
    <cellStyle name="60% - akcent 6 2 15 4" xfId="6141"/>
    <cellStyle name="60% - akcent 6 2 15 5" xfId="6142"/>
    <cellStyle name="60% - akcent 6 2 15 6" xfId="6143"/>
    <cellStyle name="60% - akcent 6 2 16" xfId="6144"/>
    <cellStyle name="60% - akcent 6 2 16 2" xfId="6145"/>
    <cellStyle name="60% - akcent 6 2 16 3" xfId="6146"/>
    <cellStyle name="60% - akcent 6 2 16 4" xfId="6147"/>
    <cellStyle name="60% - akcent 6 2 16 5" xfId="6148"/>
    <cellStyle name="60% - akcent 6 2 16 6" xfId="6149"/>
    <cellStyle name="60% - akcent 6 2 17" xfId="6150"/>
    <cellStyle name="60% - akcent 6 2 17 2" xfId="6151"/>
    <cellStyle name="60% - akcent 6 2 17 3" xfId="6152"/>
    <cellStyle name="60% - akcent 6 2 17 4" xfId="6153"/>
    <cellStyle name="60% - akcent 6 2 17 5" xfId="6154"/>
    <cellStyle name="60% - akcent 6 2 17 6" xfId="6155"/>
    <cellStyle name="60% - akcent 6 2 18" xfId="6156"/>
    <cellStyle name="60% - akcent 6 2 18 2" xfId="6157"/>
    <cellStyle name="60% - akcent 6 2 18 3" xfId="6158"/>
    <cellStyle name="60% - akcent 6 2 18 4" xfId="6159"/>
    <cellStyle name="60% - akcent 6 2 18 5" xfId="6160"/>
    <cellStyle name="60% - akcent 6 2 18 6" xfId="6161"/>
    <cellStyle name="60% - akcent 6 2 19" xfId="6162"/>
    <cellStyle name="60% - akcent 6 2 19 2" xfId="6163"/>
    <cellStyle name="60% - akcent 6 2 19 3" xfId="6164"/>
    <cellStyle name="60% - akcent 6 2 19 4" xfId="6165"/>
    <cellStyle name="60% - akcent 6 2 19 5" xfId="6166"/>
    <cellStyle name="60% - akcent 6 2 19 6" xfId="6167"/>
    <cellStyle name="60% - akcent 6 2 2" xfId="6168"/>
    <cellStyle name="60% - akcent 6 2 2 2" xfId="6169"/>
    <cellStyle name="60% - akcent 6 2 2 3" xfId="6170"/>
    <cellStyle name="60% - akcent 6 2 2 4" xfId="6171"/>
    <cellStyle name="60% - akcent 6 2 2 5" xfId="6172"/>
    <cellStyle name="60% - akcent 6 2 2 6" xfId="6173"/>
    <cellStyle name="60% - akcent 6 2 2 7" xfId="6174"/>
    <cellStyle name="60% - akcent 6 2 20" xfId="6175"/>
    <cellStyle name="60% - akcent 6 2 20 2" xfId="6176"/>
    <cellStyle name="60% - akcent 6 2 20 3" xfId="6177"/>
    <cellStyle name="60% - akcent 6 2 20 4" xfId="6178"/>
    <cellStyle name="60% - akcent 6 2 20 5" xfId="6179"/>
    <cellStyle name="60% - akcent 6 2 20 6" xfId="6180"/>
    <cellStyle name="60% - akcent 6 2 21" xfId="6181"/>
    <cellStyle name="60% - akcent 6 2 21 2" xfId="6182"/>
    <cellStyle name="60% - akcent 6 2 21 3" xfId="6183"/>
    <cellStyle name="60% - akcent 6 2 21 4" xfId="6184"/>
    <cellStyle name="60% - akcent 6 2 21 5" xfId="6185"/>
    <cellStyle name="60% - akcent 6 2 21 6" xfId="6186"/>
    <cellStyle name="60% - akcent 6 2 22" xfId="6187"/>
    <cellStyle name="60% - akcent 6 2 22 2" xfId="6188"/>
    <cellStyle name="60% - akcent 6 2 22 3" xfId="6189"/>
    <cellStyle name="60% - akcent 6 2 22 4" xfId="6190"/>
    <cellStyle name="60% - akcent 6 2 22 5" xfId="6191"/>
    <cellStyle name="60% - akcent 6 2 22 6" xfId="6192"/>
    <cellStyle name="60% - akcent 6 2 23" xfId="6193"/>
    <cellStyle name="60% - akcent 6 2 23 2" xfId="6194"/>
    <cellStyle name="60% - akcent 6 2 23 3" xfId="6195"/>
    <cellStyle name="60% - akcent 6 2 23 4" xfId="6196"/>
    <cellStyle name="60% - akcent 6 2 23 5" xfId="6197"/>
    <cellStyle name="60% - akcent 6 2 23 6" xfId="6198"/>
    <cellStyle name="60% - akcent 6 2 24" xfId="6199"/>
    <cellStyle name="60% - akcent 6 2 24 2" xfId="6200"/>
    <cellStyle name="60% - akcent 6 2 24 3" xfId="6201"/>
    <cellStyle name="60% - akcent 6 2 24 4" xfId="6202"/>
    <cellStyle name="60% - akcent 6 2 24 5" xfId="6203"/>
    <cellStyle name="60% - akcent 6 2 24 6" xfId="6204"/>
    <cellStyle name="60% - akcent 6 2 25" xfId="6205"/>
    <cellStyle name="60% - akcent 6 2 25 2" xfId="6206"/>
    <cellStyle name="60% - akcent 6 2 25 3" xfId="6207"/>
    <cellStyle name="60% - akcent 6 2 25 4" xfId="6208"/>
    <cellStyle name="60% - akcent 6 2 25 5" xfId="6209"/>
    <cellStyle name="60% - akcent 6 2 25 6" xfId="6210"/>
    <cellStyle name="60% - akcent 6 2 26" xfId="6211"/>
    <cellStyle name="60% - akcent 6 2 26 2" xfId="6212"/>
    <cellStyle name="60% - akcent 6 2 26 3" xfId="6213"/>
    <cellStyle name="60% - akcent 6 2 26 4" xfId="6214"/>
    <cellStyle name="60% - akcent 6 2 26 5" xfId="6215"/>
    <cellStyle name="60% - akcent 6 2 26 6" xfId="6216"/>
    <cellStyle name="60% - akcent 6 2 27" xfId="6217"/>
    <cellStyle name="60% - akcent 6 2 27 2" xfId="6218"/>
    <cellStyle name="60% - akcent 6 2 27 3" xfId="6219"/>
    <cellStyle name="60% - akcent 6 2 27 4" xfId="6220"/>
    <cellStyle name="60% - akcent 6 2 27 5" xfId="6221"/>
    <cellStyle name="60% - akcent 6 2 27 6" xfId="6222"/>
    <cellStyle name="60% - akcent 6 2 28" xfId="6223"/>
    <cellStyle name="60% - akcent 6 2 28 2" xfId="6224"/>
    <cellStyle name="60% - akcent 6 2 28 3" xfId="6225"/>
    <cellStyle name="60% - akcent 6 2 28 4" xfId="6226"/>
    <cellStyle name="60% - akcent 6 2 28 5" xfId="6227"/>
    <cellStyle name="60% - akcent 6 2 28 6" xfId="6228"/>
    <cellStyle name="60% - akcent 6 2 29" xfId="6229"/>
    <cellStyle name="60% - akcent 6 2 29 2" xfId="6230"/>
    <cellStyle name="60% - akcent 6 2 3" xfId="6231"/>
    <cellStyle name="60% - akcent 6 2 3 2" xfId="6232"/>
    <cellStyle name="60% - akcent 6 2 3 3" xfId="6233"/>
    <cellStyle name="60% - akcent 6 2 3 4" xfId="6234"/>
    <cellStyle name="60% - akcent 6 2 3 5" xfId="6235"/>
    <cellStyle name="60% - akcent 6 2 3 6" xfId="6236"/>
    <cellStyle name="60% - akcent 6 2 30" xfId="6237"/>
    <cellStyle name="60% - akcent 6 2 30 2" xfId="6238"/>
    <cellStyle name="60% - akcent 6 2 31" xfId="6239"/>
    <cellStyle name="60% - akcent 6 2 31 2" xfId="6240"/>
    <cellStyle name="60% - akcent 6 2 32" xfId="6241"/>
    <cellStyle name="60% - akcent 6 2 32 2" xfId="6242"/>
    <cellStyle name="60% - akcent 6 2 33" xfId="6243"/>
    <cellStyle name="60% - akcent 6 2 34" xfId="6244"/>
    <cellStyle name="60% - akcent 6 2 35" xfId="6245"/>
    <cellStyle name="60% - akcent 6 2 36" xfId="6246"/>
    <cellStyle name="60% - akcent 6 2 37" xfId="6247"/>
    <cellStyle name="60% - akcent 6 2 38" xfId="6248"/>
    <cellStyle name="60% - akcent 6 2 39" xfId="6249"/>
    <cellStyle name="60% - akcent 6 2 4" xfId="6250"/>
    <cellStyle name="60% - akcent 6 2 4 2" xfId="6251"/>
    <cellStyle name="60% - akcent 6 2 4 3" xfId="6252"/>
    <cellStyle name="60% - akcent 6 2 4 4" xfId="6253"/>
    <cellStyle name="60% - akcent 6 2 4 5" xfId="6254"/>
    <cellStyle name="60% - akcent 6 2 4 6" xfId="6255"/>
    <cellStyle name="60% - akcent 6 2 40" xfId="6256"/>
    <cellStyle name="60% - akcent 6 2 41" xfId="6257"/>
    <cellStyle name="60% - akcent 6 2 42" xfId="6258"/>
    <cellStyle name="60% - akcent 6 2 43" xfId="6259"/>
    <cellStyle name="60% - akcent 6 2 44" xfId="6260"/>
    <cellStyle name="60% - akcent 6 2 45" xfId="6261"/>
    <cellStyle name="60% - akcent 6 2 46" xfId="6262"/>
    <cellStyle name="60% - akcent 6 2 47" xfId="6263"/>
    <cellStyle name="60% - akcent 6 2 48" xfId="6264"/>
    <cellStyle name="60% - akcent 6 2 49" xfId="6265"/>
    <cellStyle name="60% - akcent 6 2 5" xfId="6266"/>
    <cellStyle name="60% - akcent 6 2 5 2" xfId="6267"/>
    <cellStyle name="60% - akcent 6 2 5 3" xfId="6268"/>
    <cellStyle name="60% - akcent 6 2 5 4" xfId="6269"/>
    <cellStyle name="60% - akcent 6 2 5 5" xfId="6270"/>
    <cellStyle name="60% - akcent 6 2 5 6" xfId="6271"/>
    <cellStyle name="60% - akcent 6 2 50" xfId="6272"/>
    <cellStyle name="60% - akcent 6 2 51" xfId="6273"/>
    <cellStyle name="60% - akcent 6 2 52" xfId="6274"/>
    <cellStyle name="60% - akcent 6 2 6" xfId="6275"/>
    <cellStyle name="60% - akcent 6 2 6 2" xfId="6276"/>
    <cellStyle name="60% - akcent 6 2 6 3" xfId="6277"/>
    <cellStyle name="60% - akcent 6 2 6 4" xfId="6278"/>
    <cellStyle name="60% - akcent 6 2 6 5" xfId="6279"/>
    <cellStyle name="60% - akcent 6 2 6 6" xfId="6280"/>
    <cellStyle name="60% - akcent 6 2 7" xfId="6281"/>
    <cellStyle name="60% - akcent 6 2 7 2" xfId="6282"/>
    <cellStyle name="60% - akcent 6 2 7 3" xfId="6283"/>
    <cellStyle name="60% - akcent 6 2 7 4" xfId="6284"/>
    <cellStyle name="60% - akcent 6 2 7 5" xfId="6285"/>
    <cellStyle name="60% - akcent 6 2 7 6" xfId="6286"/>
    <cellStyle name="60% - akcent 6 2 8" xfId="6287"/>
    <cellStyle name="60% - akcent 6 2 8 2" xfId="6288"/>
    <cellStyle name="60% - akcent 6 2 8 3" xfId="6289"/>
    <cellStyle name="60% - akcent 6 2 8 4" xfId="6290"/>
    <cellStyle name="60% - akcent 6 2 8 5" xfId="6291"/>
    <cellStyle name="60% - akcent 6 2 8 6" xfId="6292"/>
    <cellStyle name="60% - akcent 6 2 9" xfId="6293"/>
    <cellStyle name="60% - akcent 6 2 9 2" xfId="6294"/>
    <cellStyle name="60% - akcent 6 2 9 3" xfId="6295"/>
    <cellStyle name="60% - akcent 6 2 9 4" xfId="6296"/>
    <cellStyle name="60% - akcent 6 2 9 5" xfId="6297"/>
    <cellStyle name="60% - akcent 6 2 9 6" xfId="6298"/>
    <cellStyle name="60% - akcent 6 3" xfId="6299"/>
    <cellStyle name="60% - akcent 6 3 2" xfId="6300"/>
    <cellStyle name="60% - akcent 6 3 2 2" xfId="6301"/>
    <cellStyle name="60% - akcent 6 3 3" xfId="6302"/>
    <cellStyle name="60% - akcent 6 3 4" xfId="6303"/>
    <cellStyle name="60% - akcent 6 3 5" xfId="6304"/>
    <cellStyle name="60% - akcent 6 3 6" xfId="6305"/>
    <cellStyle name="60% - akcent 6 3 7" xfId="6306"/>
    <cellStyle name="60% - akcent 6 3 8" xfId="6307"/>
    <cellStyle name="60% - akcent 6 4" xfId="6308"/>
    <cellStyle name="60% - akcent 6 4 2" xfId="6309"/>
    <cellStyle name="60% - akcent 6 4 3" xfId="6310"/>
    <cellStyle name="60% - akcent 6 4 4" xfId="6311"/>
    <cellStyle name="60% - akcent 6 4 5" xfId="6312"/>
    <cellStyle name="60% - akcent 6 4 6" xfId="6313"/>
    <cellStyle name="60% - akcent 6 4 7" xfId="6314"/>
    <cellStyle name="60% - akcent 6 4 8" xfId="6315"/>
    <cellStyle name="60% - akcent 6 5" xfId="6316"/>
    <cellStyle name="60% - akcent 6 5 2" xfId="6317"/>
    <cellStyle name="60% - akcent 6 6" xfId="6318"/>
    <cellStyle name="60% - akcent 6 7" xfId="6319"/>
    <cellStyle name="aaa" xfId="6320"/>
    <cellStyle name="Afrundet valuta_Slideshow" xfId="6321"/>
    <cellStyle name="Akcent 1 2" xfId="6322"/>
    <cellStyle name="Akcent 1 2 10" xfId="6323"/>
    <cellStyle name="Akcent 1 2 10 2" xfId="6324"/>
    <cellStyle name="Akcent 1 2 10 3" xfId="6325"/>
    <cellStyle name="Akcent 1 2 10 4" xfId="6326"/>
    <cellStyle name="Akcent 1 2 10 5" xfId="6327"/>
    <cellStyle name="Akcent 1 2 10 6" xfId="6328"/>
    <cellStyle name="Akcent 1 2 11" xfId="6329"/>
    <cellStyle name="Akcent 1 2 11 2" xfId="6330"/>
    <cellStyle name="Akcent 1 2 11 3" xfId="6331"/>
    <cellStyle name="Akcent 1 2 11 4" xfId="6332"/>
    <cellStyle name="Akcent 1 2 11 5" xfId="6333"/>
    <cellStyle name="Akcent 1 2 11 6" xfId="6334"/>
    <cellStyle name="Akcent 1 2 12" xfId="6335"/>
    <cellStyle name="Akcent 1 2 12 2" xfId="6336"/>
    <cellStyle name="Akcent 1 2 12 3" xfId="6337"/>
    <cellStyle name="Akcent 1 2 12 4" xfId="6338"/>
    <cellStyle name="Akcent 1 2 12 5" xfId="6339"/>
    <cellStyle name="Akcent 1 2 12 6" xfId="6340"/>
    <cellStyle name="Akcent 1 2 13" xfId="6341"/>
    <cellStyle name="Akcent 1 2 13 2" xfId="6342"/>
    <cellStyle name="Akcent 1 2 13 3" xfId="6343"/>
    <cellStyle name="Akcent 1 2 13 4" xfId="6344"/>
    <cellStyle name="Akcent 1 2 13 5" xfId="6345"/>
    <cellStyle name="Akcent 1 2 13 6" xfId="6346"/>
    <cellStyle name="Akcent 1 2 14" xfId="6347"/>
    <cellStyle name="Akcent 1 2 14 2" xfId="6348"/>
    <cellStyle name="Akcent 1 2 14 3" xfId="6349"/>
    <cellStyle name="Akcent 1 2 14 4" xfId="6350"/>
    <cellStyle name="Akcent 1 2 14 5" xfId="6351"/>
    <cellStyle name="Akcent 1 2 14 6" xfId="6352"/>
    <cellStyle name="Akcent 1 2 15" xfId="6353"/>
    <cellStyle name="Akcent 1 2 15 2" xfId="6354"/>
    <cellStyle name="Akcent 1 2 15 3" xfId="6355"/>
    <cellStyle name="Akcent 1 2 15 4" xfId="6356"/>
    <cellStyle name="Akcent 1 2 15 5" xfId="6357"/>
    <cellStyle name="Akcent 1 2 15 6" xfId="6358"/>
    <cellStyle name="Akcent 1 2 16" xfId="6359"/>
    <cellStyle name="Akcent 1 2 16 2" xfId="6360"/>
    <cellStyle name="Akcent 1 2 16 3" xfId="6361"/>
    <cellStyle name="Akcent 1 2 16 4" xfId="6362"/>
    <cellStyle name="Akcent 1 2 16 5" xfId="6363"/>
    <cellStyle name="Akcent 1 2 16 6" xfId="6364"/>
    <cellStyle name="Akcent 1 2 17" xfId="6365"/>
    <cellStyle name="Akcent 1 2 17 2" xfId="6366"/>
    <cellStyle name="Akcent 1 2 17 3" xfId="6367"/>
    <cellStyle name="Akcent 1 2 17 4" xfId="6368"/>
    <cellStyle name="Akcent 1 2 17 5" xfId="6369"/>
    <cellStyle name="Akcent 1 2 17 6" xfId="6370"/>
    <cellStyle name="Akcent 1 2 18" xfId="6371"/>
    <cellStyle name="Akcent 1 2 18 2" xfId="6372"/>
    <cellStyle name="Akcent 1 2 18 3" xfId="6373"/>
    <cellStyle name="Akcent 1 2 18 4" xfId="6374"/>
    <cellStyle name="Akcent 1 2 18 5" xfId="6375"/>
    <cellStyle name="Akcent 1 2 18 6" xfId="6376"/>
    <cellStyle name="Akcent 1 2 19" xfId="6377"/>
    <cellStyle name="Akcent 1 2 19 2" xfId="6378"/>
    <cellStyle name="Akcent 1 2 19 3" xfId="6379"/>
    <cellStyle name="Akcent 1 2 19 4" xfId="6380"/>
    <cellStyle name="Akcent 1 2 19 5" xfId="6381"/>
    <cellStyle name="Akcent 1 2 19 6" xfId="6382"/>
    <cellStyle name="Akcent 1 2 2" xfId="6383"/>
    <cellStyle name="Akcent 1 2 2 2" xfId="6384"/>
    <cellStyle name="Akcent 1 2 2 3" xfId="6385"/>
    <cellStyle name="Akcent 1 2 2 4" xfId="6386"/>
    <cellStyle name="Akcent 1 2 2 5" xfId="6387"/>
    <cellStyle name="Akcent 1 2 2 6" xfId="6388"/>
    <cellStyle name="Akcent 1 2 2 7" xfId="6389"/>
    <cellStyle name="Akcent 1 2 20" xfId="6390"/>
    <cellStyle name="Akcent 1 2 20 2" xfId="6391"/>
    <cellStyle name="Akcent 1 2 20 3" xfId="6392"/>
    <cellStyle name="Akcent 1 2 20 4" xfId="6393"/>
    <cellStyle name="Akcent 1 2 20 5" xfId="6394"/>
    <cellStyle name="Akcent 1 2 20 6" xfId="6395"/>
    <cellStyle name="Akcent 1 2 21" xfId="6396"/>
    <cellStyle name="Akcent 1 2 21 2" xfId="6397"/>
    <cellStyle name="Akcent 1 2 21 3" xfId="6398"/>
    <cellStyle name="Akcent 1 2 21 4" xfId="6399"/>
    <cellStyle name="Akcent 1 2 21 5" xfId="6400"/>
    <cellStyle name="Akcent 1 2 21 6" xfId="6401"/>
    <cellStyle name="Akcent 1 2 22" xfId="6402"/>
    <cellStyle name="Akcent 1 2 22 2" xfId="6403"/>
    <cellStyle name="Akcent 1 2 22 3" xfId="6404"/>
    <cellStyle name="Akcent 1 2 22 4" xfId="6405"/>
    <cellStyle name="Akcent 1 2 22 5" xfId="6406"/>
    <cellStyle name="Akcent 1 2 22 6" xfId="6407"/>
    <cellStyle name="Akcent 1 2 23" xfId="6408"/>
    <cellStyle name="Akcent 1 2 23 2" xfId="6409"/>
    <cellStyle name="Akcent 1 2 23 3" xfId="6410"/>
    <cellStyle name="Akcent 1 2 23 4" xfId="6411"/>
    <cellStyle name="Akcent 1 2 23 5" xfId="6412"/>
    <cellStyle name="Akcent 1 2 23 6" xfId="6413"/>
    <cellStyle name="Akcent 1 2 24" xfId="6414"/>
    <cellStyle name="Akcent 1 2 24 2" xfId="6415"/>
    <cellStyle name="Akcent 1 2 24 3" xfId="6416"/>
    <cellStyle name="Akcent 1 2 24 4" xfId="6417"/>
    <cellStyle name="Akcent 1 2 24 5" xfId="6418"/>
    <cellStyle name="Akcent 1 2 24 6" xfId="6419"/>
    <cellStyle name="Akcent 1 2 25" xfId="6420"/>
    <cellStyle name="Akcent 1 2 25 2" xfId="6421"/>
    <cellStyle name="Akcent 1 2 25 3" xfId="6422"/>
    <cellStyle name="Akcent 1 2 25 4" xfId="6423"/>
    <cellStyle name="Akcent 1 2 25 5" xfId="6424"/>
    <cellStyle name="Akcent 1 2 25 6" xfId="6425"/>
    <cellStyle name="Akcent 1 2 26" xfId="6426"/>
    <cellStyle name="Akcent 1 2 26 2" xfId="6427"/>
    <cellStyle name="Akcent 1 2 26 3" xfId="6428"/>
    <cellStyle name="Akcent 1 2 26 4" xfId="6429"/>
    <cellStyle name="Akcent 1 2 26 5" xfId="6430"/>
    <cellStyle name="Akcent 1 2 26 6" xfId="6431"/>
    <cellStyle name="Akcent 1 2 27" xfId="6432"/>
    <cellStyle name="Akcent 1 2 27 2" xfId="6433"/>
    <cellStyle name="Akcent 1 2 27 3" xfId="6434"/>
    <cellStyle name="Akcent 1 2 27 4" xfId="6435"/>
    <cellStyle name="Akcent 1 2 27 5" xfId="6436"/>
    <cellStyle name="Akcent 1 2 27 6" xfId="6437"/>
    <cellStyle name="Akcent 1 2 28" xfId="6438"/>
    <cellStyle name="Akcent 1 2 28 2" xfId="6439"/>
    <cellStyle name="Akcent 1 2 28 3" xfId="6440"/>
    <cellStyle name="Akcent 1 2 28 4" xfId="6441"/>
    <cellStyle name="Akcent 1 2 28 5" xfId="6442"/>
    <cellStyle name="Akcent 1 2 28 6" xfId="6443"/>
    <cellStyle name="Akcent 1 2 29" xfId="6444"/>
    <cellStyle name="Akcent 1 2 29 2" xfId="6445"/>
    <cellStyle name="Akcent 1 2 3" xfId="6446"/>
    <cellStyle name="Akcent 1 2 3 2" xfId="6447"/>
    <cellStyle name="Akcent 1 2 3 3" xfId="6448"/>
    <cellStyle name="Akcent 1 2 3 4" xfId="6449"/>
    <cellStyle name="Akcent 1 2 3 5" xfId="6450"/>
    <cellStyle name="Akcent 1 2 3 6" xfId="6451"/>
    <cellStyle name="Akcent 1 2 30" xfId="6452"/>
    <cellStyle name="Akcent 1 2 30 2" xfId="6453"/>
    <cellStyle name="Akcent 1 2 31" xfId="6454"/>
    <cellStyle name="Akcent 1 2 31 2" xfId="6455"/>
    <cellStyle name="Akcent 1 2 32" xfId="6456"/>
    <cellStyle name="Akcent 1 2 32 2" xfId="6457"/>
    <cellStyle name="Akcent 1 2 33" xfId="6458"/>
    <cellStyle name="Akcent 1 2 34" xfId="6459"/>
    <cellStyle name="Akcent 1 2 35" xfId="6460"/>
    <cellStyle name="Akcent 1 2 36" xfId="6461"/>
    <cellStyle name="Akcent 1 2 37" xfId="6462"/>
    <cellStyle name="Akcent 1 2 38" xfId="6463"/>
    <cellStyle name="Akcent 1 2 39" xfId="6464"/>
    <cellStyle name="Akcent 1 2 4" xfId="6465"/>
    <cellStyle name="Akcent 1 2 4 2" xfId="6466"/>
    <cellStyle name="Akcent 1 2 4 3" xfId="6467"/>
    <cellStyle name="Akcent 1 2 4 4" xfId="6468"/>
    <cellStyle name="Akcent 1 2 4 5" xfId="6469"/>
    <cellStyle name="Akcent 1 2 4 6" xfId="6470"/>
    <cellStyle name="Akcent 1 2 40" xfId="6471"/>
    <cellStyle name="Akcent 1 2 41" xfId="6472"/>
    <cellStyle name="Akcent 1 2 42" xfId="6473"/>
    <cellStyle name="Akcent 1 2 43" xfId="6474"/>
    <cellStyle name="Akcent 1 2 44" xfId="6475"/>
    <cellStyle name="Akcent 1 2 45" xfId="6476"/>
    <cellStyle name="Akcent 1 2 46" xfId="6477"/>
    <cellStyle name="Akcent 1 2 47" xfId="6478"/>
    <cellStyle name="Akcent 1 2 48" xfId="6479"/>
    <cellStyle name="Akcent 1 2 49" xfId="6480"/>
    <cellStyle name="Akcent 1 2 5" xfId="6481"/>
    <cellStyle name="Akcent 1 2 5 2" xfId="6482"/>
    <cellStyle name="Akcent 1 2 5 3" xfId="6483"/>
    <cellStyle name="Akcent 1 2 5 4" xfId="6484"/>
    <cellStyle name="Akcent 1 2 5 5" xfId="6485"/>
    <cellStyle name="Akcent 1 2 5 6" xfId="6486"/>
    <cellStyle name="Akcent 1 2 50" xfId="6487"/>
    <cellStyle name="Akcent 1 2 51" xfId="6488"/>
    <cellStyle name="Akcent 1 2 52" xfId="6489"/>
    <cellStyle name="Akcent 1 2 6" xfId="6490"/>
    <cellStyle name="Akcent 1 2 6 2" xfId="6491"/>
    <cellStyle name="Akcent 1 2 6 3" xfId="6492"/>
    <cellStyle name="Akcent 1 2 6 4" xfId="6493"/>
    <cellStyle name="Akcent 1 2 6 5" xfId="6494"/>
    <cellStyle name="Akcent 1 2 6 6" xfId="6495"/>
    <cellStyle name="Akcent 1 2 7" xfId="6496"/>
    <cellStyle name="Akcent 1 2 7 2" xfId="6497"/>
    <cellStyle name="Akcent 1 2 7 3" xfId="6498"/>
    <cellStyle name="Akcent 1 2 7 4" xfId="6499"/>
    <cellStyle name="Akcent 1 2 7 5" xfId="6500"/>
    <cellStyle name="Akcent 1 2 7 6" xfId="6501"/>
    <cellStyle name="Akcent 1 2 8" xfId="6502"/>
    <cellStyle name="Akcent 1 2 8 2" xfId="6503"/>
    <cellStyle name="Akcent 1 2 8 3" xfId="6504"/>
    <cellStyle name="Akcent 1 2 8 4" xfId="6505"/>
    <cellStyle name="Akcent 1 2 8 5" xfId="6506"/>
    <cellStyle name="Akcent 1 2 8 6" xfId="6507"/>
    <cellStyle name="Akcent 1 2 9" xfId="6508"/>
    <cellStyle name="Akcent 1 2 9 2" xfId="6509"/>
    <cellStyle name="Akcent 1 2 9 3" xfId="6510"/>
    <cellStyle name="Akcent 1 2 9 4" xfId="6511"/>
    <cellStyle name="Akcent 1 2 9 5" xfId="6512"/>
    <cellStyle name="Akcent 1 2 9 6" xfId="6513"/>
    <cellStyle name="Akcent 1 3" xfId="6514"/>
    <cellStyle name="Akcent 1 3 2" xfId="6515"/>
    <cellStyle name="Akcent 1 3 2 2" xfId="6516"/>
    <cellStyle name="Akcent 1 3 3" xfId="6517"/>
    <cellStyle name="Akcent 1 3 4" xfId="6518"/>
    <cellStyle name="Akcent 1 3 5" xfId="6519"/>
    <cellStyle name="Akcent 1 3 6" xfId="6520"/>
    <cellStyle name="Akcent 1 3 7" xfId="6521"/>
    <cellStyle name="Akcent 1 3 8" xfId="6522"/>
    <cellStyle name="Akcent 1 4" xfId="6523"/>
    <cellStyle name="Akcent 1 4 2" xfId="6524"/>
    <cellStyle name="Akcent 1 4 3" xfId="6525"/>
    <cellStyle name="Akcent 1 4 4" xfId="6526"/>
    <cellStyle name="Akcent 1 4 5" xfId="6527"/>
    <cellStyle name="Akcent 1 4 6" xfId="6528"/>
    <cellStyle name="Akcent 1 4 7" xfId="6529"/>
    <cellStyle name="Akcent 1 4 8" xfId="6530"/>
    <cellStyle name="Akcent 1 5" xfId="6531"/>
    <cellStyle name="Akcent 1 5 2" xfId="6532"/>
    <cellStyle name="Akcent 1 6" xfId="6533"/>
    <cellStyle name="Akcent 1 7" xfId="6534"/>
    <cellStyle name="Akcent 2 2" xfId="6535"/>
    <cellStyle name="Akcent 2 2 10" xfId="6536"/>
    <cellStyle name="Akcent 2 2 10 2" xfId="6537"/>
    <cellStyle name="Akcent 2 2 10 3" xfId="6538"/>
    <cellStyle name="Akcent 2 2 10 4" xfId="6539"/>
    <cellStyle name="Akcent 2 2 10 5" xfId="6540"/>
    <cellStyle name="Akcent 2 2 10 6" xfId="6541"/>
    <cellStyle name="Akcent 2 2 11" xfId="6542"/>
    <cellStyle name="Akcent 2 2 11 2" xfId="6543"/>
    <cellStyle name="Akcent 2 2 11 3" xfId="6544"/>
    <cellStyle name="Akcent 2 2 11 4" xfId="6545"/>
    <cellStyle name="Akcent 2 2 11 5" xfId="6546"/>
    <cellStyle name="Akcent 2 2 11 6" xfId="6547"/>
    <cellStyle name="Akcent 2 2 12" xfId="6548"/>
    <cellStyle name="Akcent 2 2 12 2" xfId="6549"/>
    <cellStyle name="Akcent 2 2 12 3" xfId="6550"/>
    <cellStyle name="Akcent 2 2 12 4" xfId="6551"/>
    <cellStyle name="Akcent 2 2 12 5" xfId="6552"/>
    <cellStyle name="Akcent 2 2 12 6" xfId="6553"/>
    <cellStyle name="Akcent 2 2 13" xfId="6554"/>
    <cellStyle name="Akcent 2 2 13 2" xfId="6555"/>
    <cellStyle name="Akcent 2 2 13 3" xfId="6556"/>
    <cellStyle name="Akcent 2 2 13 4" xfId="6557"/>
    <cellStyle name="Akcent 2 2 13 5" xfId="6558"/>
    <cellStyle name="Akcent 2 2 13 6" xfId="6559"/>
    <cellStyle name="Akcent 2 2 14" xfId="6560"/>
    <cellStyle name="Akcent 2 2 14 2" xfId="6561"/>
    <cellStyle name="Akcent 2 2 14 3" xfId="6562"/>
    <cellStyle name="Akcent 2 2 14 4" xfId="6563"/>
    <cellStyle name="Akcent 2 2 14 5" xfId="6564"/>
    <cellStyle name="Akcent 2 2 14 6" xfId="6565"/>
    <cellStyle name="Akcent 2 2 15" xfId="6566"/>
    <cellStyle name="Akcent 2 2 15 2" xfId="6567"/>
    <cellStyle name="Akcent 2 2 15 3" xfId="6568"/>
    <cellStyle name="Akcent 2 2 15 4" xfId="6569"/>
    <cellStyle name="Akcent 2 2 15 5" xfId="6570"/>
    <cellStyle name="Akcent 2 2 15 6" xfId="6571"/>
    <cellStyle name="Akcent 2 2 16" xfId="6572"/>
    <cellStyle name="Akcent 2 2 16 2" xfId="6573"/>
    <cellStyle name="Akcent 2 2 16 3" xfId="6574"/>
    <cellStyle name="Akcent 2 2 16 4" xfId="6575"/>
    <cellStyle name="Akcent 2 2 16 5" xfId="6576"/>
    <cellStyle name="Akcent 2 2 16 6" xfId="6577"/>
    <cellStyle name="Akcent 2 2 17" xfId="6578"/>
    <cellStyle name="Akcent 2 2 17 2" xfId="6579"/>
    <cellStyle name="Akcent 2 2 17 3" xfId="6580"/>
    <cellStyle name="Akcent 2 2 17 4" xfId="6581"/>
    <cellStyle name="Akcent 2 2 17 5" xfId="6582"/>
    <cellStyle name="Akcent 2 2 17 6" xfId="6583"/>
    <cellStyle name="Akcent 2 2 18" xfId="6584"/>
    <cellStyle name="Akcent 2 2 18 2" xfId="6585"/>
    <cellStyle name="Akcent 2 2 18 3" xfId="6586"/>
    <cellStyle name="Akcent 2 2 18 4" xfId="6587"/>
    <cellStyle name="Akcent 2 2 18 5" xfId="6588"/>
    <cellStyle name="Akcent 2 2 18 6" xfId="6589"/>
    <cellStyle name="Akcent 2 2 19" xfId="6590"/>
    <cellStyle name="Akcent 2 2 19 2" xfId="6591"/>
    <cellStyle name="Akcent 2 2 19 3" xfId="6592"/>
    <cellStyle name="Akcent 2 2 19 4" xfId="6593"/>
    <cellStyle name="Akcent 2 2 19 5" xfId="6594"/>
    <cellStyle name="Akcent 2 2 19 6" xfId="6595"/>
    <cellStyle name="Akcent 2 2 2" xfId="6596"/>
    <cellStyle name="Akcent 2 2 2 2" xfId="6597"/>
    <cellStyle name="Akcent 2 2 2 3" xfId="6598"/>
    <cellStyle name="Akcent 2 2 2 4" xfId="6599"/>
    <cellStyle name="Akcent 2 2 2 5" xfId="6600"/>
    <cellStyle name="Akcent 2 2 2 6" xfId="6601"/>
    <cellStyle name="Akcent 2 2 2 7" xfId="6602"/>
    <cellStyle name="Akcent 2 2 20" xfId="6603"/>
    <cellStyle name="Akcent 2 2 20 2" xfId="6604"/>
    <cellStyle name="Akcent 2 2 20 3" xfId="6605"/>
    <cellStyle name="Akcent 2 2 20 4" xfId="6606"/>
    <cellStyle name="Akcent 2 2 20 5" xfId="6607"/>
    <cellStyle name="Akcent 2 2 20 6" xfId="6608"/>
    <cellStyle name="Akcent 2 2 21" xfId="6609"/>
    <cellStyle name="Akcent 2 2 21 2" xfId="6610"/>
    <cellStyle name="Akcent 2 2 21 3" xfId="6611"/>
    <cellStyle name="Akcent 2 2 21 4" xfId="6612"/>
    <cellStyle name="Akcent 2 2 21 5" xfId="6613"/>
    <cellStyle name="Akcent 2 2 21 6" xfId="6614"/>
    <cellStyle name="Akcent 2 2 22" xfId="6615"/>
    <cellStyle name="Akcent 2 2 22 2" xfId="6616"/>
    <cellStyle name="Akcent 2 2 22 3" xfId="6617"/>
    <cellStyle name="Akcent 2 2 22 4" xfId="6618"/>
    <cellStyle name="Akcent 2 2 22 5" xfId="6619"/>
    <cellStyle name="Akcent 2 2 22 6" xfId="6620"/>
    <cellStyle name="Akcent 2 2 23" xfId="6621"/>
    <cellStyle name="Akcent 2 2 23 2" xfId="6622"/>
    <cellStyle name="Akcent 2 2 23 3" xfId="6623"/>
    <cellStyle name="Akcent 2 2 23 4" xfId="6624"/>
    <cellStyle name="Akcent 2 2 23 5" xfId="6625"/>
    <cellStyle name="Akcent 2 2 23 6" xfId="6626"/>
    <cellStyle name="Akcent 2 2 24" xfId="6627"/>
    <cellStyle name="Akcent 2 2 24 2" xfId="6628"/>
    <cellStyle name="Akcent 2 2 24 3" xfId="6629"/>
    <cellStyle name="Akcent 2 2 24 4" xfId="6630"/>
    <cellStyle name="Akcent 2 2 24 5" xfId="6631"/>
    <cellStyle name="Akcent 2 2 24 6" xfId="6632"/>
    <cellStyle name="Akcent 2 2 25" xfId="6633"/>
    <cellStyle name="Akcent 2 2 25 2" xfId="6634"/>
    <cellStyle name="Akcent 2 2 25 3" xfId="6635"/>
    <cellStyle name="Akcent 2 2 25 4" xfId="6636"/>
    <cellStyle name="Akcent 2 2 25 5" xfId="6637"/>
    <cellStyle name="Akcent 2 2 25 6" xfId="6638"/>
    <cellStyle name="Akcent 2 2 26" xfId="6639"/>
    <cellStyle name="Akcent 2 2 26 2" xfId="6640"/>
    <cellStyle name="Akcent 2 2 26 3" xfId="6641"/>
    <cellStyle name="Akcent 2 2 26 4" xfId="6642"/>
    <cellStyle name="Akcent 2 2 26 5" xfId="6643"/>
    <cellStyle name="Akcent 2 2 26 6" xfId="6644"/>
    <cellStyle name="Akcent 2 2 27" xfId="6645"/>
    <cellStyle name="Akcent 2 2 27 2" xfId="6646"/>
    <cellStyle name="Akcent 2 2 27 3" xfId="6647"/>
    <cellStyle name="Akcent 2 2 27 4" xfId="6648"/>
    <cellStyle name="Akcent 2 2 27 5" xfId="6649"/>
    <cellStyle name="Akcent 2 2 27 6" xfId="6650"/>
    <cellStyle name="Akcent 2 2 28" xfId="6651"/>
    <cellStyle name="Akcent 2 2 28 2" xfId="6652"/>
    <cellStyle name="Akcent 2 2 28 3" xfId="6653"/>
    <cellStyle name="Akcent 2 2 28 4" xfId="6654"/>
    <cellStyle name="Akcent 2 2 28 5" xfId="6655"/>
    <cellStyle name="Akcent 2 2 28 6" xfId="6656"/>
    <cellStyle name="Akcent 2 2 29" xfId="6657"/>
    <cellStyle name="Akcent 2 2 29 2" xfId="6658"/>
    <cellStyle name="Akcent 2 2 3" xfId="6659"/>
    <cellStyle name="Akcent 2 2 3 2" xfId="6660"/>
    <cellStyle name="Akcent 2 2 3 3" xfId="6661"/>
    <cellStyle name="Akcent 2 2 3 4" xfId="6662"/>
    <cellStyle name="Akcent 2 2 3 5" xfId="6663"/>
    <cellStyle name="Akcent 2 2 3 6" xfId="6664"/>
    <cellStyle name="Akcent 2 2 30" xfId="6665"/>
    <cellStyle name="Akcent 2 2 30 2" xfId="6666"/>
    <cellStyle name="Akcent 2 2 31" xfId="6667"/>
    <cellStyle name="Akcent 2 2 31 2" xfId="6668"/>
    <cellStyle name="Akcent 2 2 32" xfId="6669"/>
    <cellStyle name="Akcent 2 2 32 2" xfId="6670"/>
    <cellStyle name="Akcent 2 2 33" xfId="6671"/>
    <cellStyle name="Akcent 2 2 34" xfId="6672"/>
    <cellStyle name="Akcent 2 2 35" xfId="6673"/>
    <cellStyle name="Akcent 2 2 36" xfId="6674"/>
    <cellStyle name="Akcent 2 2 37" xfId="6675"/>
    <cellStyle name="Akcent 2 2 38" xfId="6676"/>
    <cellStyle name="Akcent 2 2 39" xfId="6677"/>
    <cellStyle name="Akcent 2 2 4" xfId="6678"/>
    <cellStyle name="Akcent 2 2 4 2" xfId="6679"/>
    <cellStyle name="Akcent 2 2 4 3" xfId="6680"/>
    <cellStyle name="Akcent 2 2 4 4" xfId="6681"/>
    <cellStyle name="Akcent 2 2 4 5" xfId="6682"/>
    <cellStyle name="Akcent 2 2 4 6" xfId="6683"/>
    <cellStyle name="Akcent 2 2 40" xfId="6684"/>
    <cellStyle name="Akcent 2 2 41" xfId="6685"/>
    <cellStyle name="Akcent 2 2 42" xfId="6686"/>
    <cellStyle name="Akcent 2 2 43" xfId="6687"/>
    <cellStyle name="Akcent 2 2 44" xfId="6688"/>
    <cellStyle name="Akcent 2 2 45" xfId="6689"/>
    <cellStyle name="Akcent 2 2 46" xfId="6690"/>
    <cellStyle name="Akcent 2 2 47" xfId="6691"/>
    <cellStyle name="Akcent 2 2 48" xfId="6692"/>
    <cellStyle name="Akcent 2 2 49" xfId="6693"/>
    <cellStyle name="Akcent 2 2 5" xfId="6694"/>
    <cellStyle name="Akcent 2 2 5 2" xfId="6695"/>
    <cellStyle name="Akcent 2 2 5 3" xfId="6696"/>
    <cellStyle name="Akcent 2 2 5 4" xfId="6697"/>
    <cellStyle name="Akcent 2 2 5 5" xfId="6698"/>
    <cellStyle name="Akcent 2 2 5 6" xfId="6699"/>
    <cellStyle name="Akcent 2 2 50" xfId="6700"/>
    <cellStyle name="Akcent 2 2 51" xfId="6701"/>
    <cellStyle name="Akcent 2 2 52" xfId="6702"/>
    <cellStyle name="Akcent 2 2 6" xfId="6703"/>
    <cellStyle name="Akcent 2 2 6 2" xfId="6704"/>
    <cellStyle name="Akcent 2 2 6 3" xfId="6705"/>
    <cellStyle name="Akcent 2 2 6 4" xfId="6706"/>
    <cellStyle name="Akcent 2 2 6 5" xfId="6707"/>
    <cellStyle name="Akcent 2 2 6 6" xfId="6708"/>
    <cellStyle name="Akcent 2 2 7" xfId="6709"/>
    <cellStyle name="Akcent 2 2 7 2" xfId="6710"/>
    <cellStyle name="Akcent 2 2 7 3" xfId="6711"/>
    <cellStyle name="Akcent 2 2 7 4" xfId="6712"/>
    <cellStyle name="Akcent 2 2 7 5" xfId="6713"/>
    <cellStyle name="Akcent 2 2 7 6" xfId="6714"/>
    <cellStyle name="Akcent 2 2 8" xfId="6715"/>
    <cellStyle name="Akcent 2 2 8 2" xfId="6716"/>
    <cellStyle name="Akcent 2 2 8 3" xfId="6717"/>
    <cellStyle name="Akcent 2 2 8 4" xfId="6718"/>
    <cellStyle name="Akcent 2 2 8 5" xfId="6719"/>
    <cellStyle name="Akcent 2 2 8 6" xfId="6720"/>
    <cellStyle name="Akcent 2 2 9" xfId="6721"/>
    <cellStyle name="Akcent 2 2 9 2" xfId="6722"/>
    <cellStyle name="Akcent 2 2 9 3" xfId="6723"/>
    <cellStyle name="Akcent 2 2 9 4" xfId="6724"/>
    <cellStyle name="Akcent 2 2 9 5" xfId="6725"/>
    <cellStyle name="Akcent 2 2 9 6" xfId="6726"/>
    <cellStyle name="Akcent 2 3" xfId="6727"/>
    <cellStyle name="Akcent 2 3 2" xfId="6728"/>
    <cellStyle name="Akcent 2 3 2 2" xfId="6729"/>
    <cellStyle name="Akcent 2 3 3" xfId="6730"/>
    <cellStyle name="Akcent 2 3 4" xfId="6731"/>
    <cellStyle name="Akcent 2 3 5" xfId="6732"/>
    <cellStyle name="Akcent 2 3 6" xfId="6733"/>
    <cellStyle name="Akcent 2 3 7" xfId="6734"/>
    <cellStyle name="Akcent 2 3 8" xfId="6735"/>
    <cellStyle name="Akcent 2 4" xfId="6736"/>
    <cellStyle name="Akcent 2 4 2" xfId="6737"/>
    <cellStyle name="Akcent 2 4 3" xfId="6738"/>
    <cellStyle name="Akcent 2 4 4" xfId="6739"/>
    <cellStyle name="Akcent 2 4 5" xfId="6740"/>
    <cellStyle name="Akcent 2 4 6" xfId="6741"/>
    <cellStyle name="Akcent 2 4 7" xfId="6742"/>
    <cellStyle name="Akcent 2 4 8" xfId="6743"/>
    <cellStyle name="Akcent 2 5" xfId="6744"/>
    <cellStyle name="Akcent 2 5 2" xfId="6745"/>
    <cellStyle name="Akcent 2 6" xfId="6746"/>
    <cellStyle name="Akcent 2 7" xfId="6747"/>
    <cellStyle name="Akcent 3 2" xfId="6748"/>
    <cellStyle name="Akcent 3 2 10" xfId="6749"/>
    <cellStyle name="Akcent 3 2 10 2" xfId="6750"/>
    <cellStyle name="Akcent 3 2 10 3" xfId="6751"/>
    <cellStyle name="Akcent 3 2 10 4" xfId="6752"/>
    <cellStyle name="Akcent 3 2 10 5" xfId="6753"/>
    <cellStyle name="Akcent 3 2 10 6" xfId="6754"/>
    <cellStyle name="Akcent 3 2 11" xfId="6755"/>
    <cellStyle name="Akcent 3 2 11 2" xfId="6756"/>
    <cellStyle name="Akcent 3 2 11 3" xfId="6757"/>
    <cellStyle name="Akcent 3 2 11 4" xfId="6758"/>
    <cellStyle name="Akcent 3 2 11 5" xfId="6759"/>
    <cellStyle name="Akcent 3 2 11 6" xfId="6760"/>
    <cellStyle name="Akcent 3 2 12" xfId="6761"/>
    <cellStyle name="Akcent 3 2 12 2" xfId="6762"/>
    <cellStyle name="Akcent 3 2 12 3" xfId="6763"/>
    <cellStyle name="Akcent 3 2 12 4" xfId="6764"/>
    <cellStyle name="Akcent 3 2 12 5" xfId="6765"/>
    <cellStyle name="Akcent 3 2 12 6" xfId="6766"/>
    <cellStyle name="Akcent 3 2 13" xfId="6767"/>
    <cellStyle name="Akcent 3 2 13 2" xfId="6768"/>
    <cellStyle name="Akcent 3 2 13 3" xfId="6769"/>
    <cellStyle name="Akcent 3 2 13 4" xfId="6770"/>
    <cellStyle name="Akcent 3 2 13 5" xfId="6771"/>
    <cellStyle name="Akcent 3 2 13 6" xfId="6772"/>
    <cellStyle name="Akcent 3 2 14" xfId="6773"/>
    <cellStyle name="Akcent 3 2 14 2" xfId="6774"/>
    <cellStyle name="Akcent 3 2 14 3" xfId="6775"/>
    <cellStyle name="Akcent 3 2 14 4" xfId="6776"/>
    <cellStyle name="Akcent 3 2 14 5" xfId="6777"/>
    <cellStyle name="Akcent 3 2 14 6" xfId="6778"/>
    <cellStyle name="Akcent 3 2 15" xfId="6779"/>
    <cellStyle name="Akcent 3 2 15 2" xfId="6780"/>
    <cellStyle name="Akcent 3 2 15 3" xfId="6781"/>
    <cellStyle name="Akcent 3 2 15 4" xfId="6782"/>
    <cellStyle name="Akcent 3 2 15 5" xfId="6783"/>
    <cellStyle name="Akcent 3 2 15 6" xfId="6784"/>
    <cellStyle name="Akcent 3 2 16" xfId="6785"/>
    <cellStyle name="Akcent 3 2 16 2" xfId="6786"/>
    <cellStyle name="Akcent 3 2 16 3" xfId="6787"/>
    <cellStyle name="Akcent 3 2 16 4" xfId="6788"/>
    <cellStyle name="Akcent 3 2 16 5" xfId="6789"/>
    <cellStyle name="Akcent 3 2 16 6" xfId="6790"/>
    <cellStyle name="Akcent 3 2 17" xfId="6791"/>
    <cellStyle name="Akcent 3 2 17 2" xfId="6792"/>
    <cellStyle name="Akcent 3 2 17 3" xfId="6793"/>
    <cellStyle name="Akcent 3 2 17 4" xfId="6794"/>
    <cellStyle name="Akcent 3 2 17 5" xfId="6795"/>
    <cellStyle name="Akcent 3 2 17 6" xfId="6796"/>
    <cellStyle name="Akcent 3 2 18" xfId="6797"/>
    <cellStyle name="Akcent 3 2 18 2" xfId="6798"/>
    <cellStyle name="Akcent 3 2 18 3" xfId="6799"/>
    <cellStyle name="Akcent 3 2 18 4" xfId="6800"/>
    <cellStyle name="Akcent 3 2 18 5" xfId="6801"/>
    <cellStyle name="Akcent 3 2 18 6" xfId="6802"/>
    <cellStyle name="Akcent 3 2 19" xfId="6803"/>
    <cellStyle name="Akcent 3 2 19 2" xfId="6804"/>
    <cellStyle name="Akcent 3 2 19 3" xfId="6805"/>
    <cellStyle name="Akcent 3 2 19 4" xfId="6806"/>
    <cellStyle name="Akcent 3 2 19 5" xfId="6807"/>
    <cellStyle name="Akcent 3 2 19 6" xfId="6808"/>
    <cellStyle name="Akcent 3 2 2" xfId="6809"/>
    <cellStyle name="Akcent 3 2 2 2" xfId="6810"/>
    <cellStyle name="Akcent 3 2 2 3" xfId="6811"/>
    <cellStyle name="Akcent 3 2 2 4" xfId="6812"/>
    <cellStyle name="Akcent 3 2 2 5" xfId="6813"/>
    <cellStyle name="Akcent 3 2 2 6" xfId="6814"/>
    <cellStyle name="Akcent 3 2 2 7" xfId="6815"/>
    <cellStyle name="Akcent 3 2 20" xfId="6816"/>
    <cellStyle name="Akcent 3 2 20 2" xfId="6817"/>
    <cellStyle name="Akcent 3 2 20 3" xfId="6818"/>
    <cellStyle name="Akcent 3 2 20 4" xfId="6819"/>
    <cellStyle name="Akcent 3 2 20 5" xfId="6820"/>
    <cellStyle name="Akcent 3 2 20 6" xfId="6821"/>
    <cellStyle name="Akcent 3 2 21" xfId="6822"/>
    <cellStyle name="Akcent 3 2 21 2" xfId="6823"/>
    <cellStyle name="Akcent 3 2 21 3" xfId="6824"/>
    <cellStyle name="Akcent 3 2 21 4" xfId="6825"/>
    <cellStyle name="Akcent 3 2 21 5" xfId="6826"/>
    <cellStyle name="Akcent 3 2 21 6" xfId="6827"/>
    <cellStyle name="Akcent 3 2 22" xfId="6828"/>
    <cellStyle name="Akcent 3 2 22 2" xfId="6829"/>
    <cellStyle name="Akcent 3 2 22 3" xfId="6830"/>
    <cellStyle name="Akcent 3 2 22 4" xfId="6831"/>
    <cellStyle name="Akcent 3 2 22 5" xfId="6832"/>
    <cellStyle name="Akcent 3 2 22 6" xfId="6833"/>
    <cellStyle name="Akcent 3 2 23" xfId="6834"/>
    <cellStyle name="Akcent 3 2 23 2" xfId="6835"/>
    <cellStyle name="Akcent 3 2 23 3" xfId="6836"/>
    <cellStyle name="Akcent 3 2 23 4" xfId="6837"/>
    <cellStyle name="Akcent 3 2 23 5" xfId="6838"/>
    <cellStyle name="Akcent 3 2 23 6" xfId="6839"/>
    <cellStyle name="Akcent 3 2 24" xfId="6840"/>
    <cellStyle name="Akcent 3 2 24 2" xfId="6841"/>
    <cellStyle name="Akcent 3 2 24 3" xfId="6842"/>
    <cellStyle name="Akcent 3 2 24 4" xfId="6843"/>
    <cellStyle name="Akcent 3 2 24 5" xfId="6844"/>
    <cellStyle name="Akcent 3 2 24 6" xfId="6845"/>
    <cellStyle name="Akcent 3 2 25" xfId="6846"/>
    <cellStyle name="Akcent 3 2 25 2" xfId="6847"/>
    <cellStyle name="Akcent 3 2 25 3" xfId="6848"/>
    <cellStyle name="Akcent 3 2 25 4" xfId="6849"/>
    <cellStyle name="Akcent 3 2 25 5" xfId="6850"/>
    <cellStyle name="Akcent 3 2 25 6" xfId="6851"/>
    <cellStyle name="Akcent 3 2 26" xfId="6852"/>
    <cellStyle name="Akcent 3 2 26 2" xfId="6853"/>
    <cellStyle name="Akcent 3 2 26 3" xfId="6854"/>
    <cellStyle name="Akcent 3 2 26 4" xfId="6855"/>
    <cellStyle name="Akcent 3 2 26 5" xfId="6856"/>
    <cellStyle name="Akcent 3 2 26 6" xfId="6857"/>
    <cellStyle name="Akcent 3 2 27" xfId="6858"/>
    <cellStyle name="Akcent 3 2 27 2" xfId="6859"/>
    <cellStyle name="Akcent 3 2 27 3" xfId="6860"/>
    <cellStyle name="Akcent 3 2 27 4" xfId="6861"/>
    <cellStyle name="Akcent 3 2 27 5" xfId="6862"/>
    <cellStyle name="Akcent 3 2 27 6" xfId="6863"/>
    <cellStyle name="Akcent 3 2 28" xfId="6864"/>
    <cellStyle name="Akcent 3 2 28 2" xfId="6865"/>
    <cellStyle name="Akcent 3 2 28 3" xfId="6866"/>
    <cellStyle name="Akcent 3 2 28 4" xfId="6867"/>
    <cellStyle name="Akcent 3 2 28 5" xfId="6868"/>
    <cellStyle name="Akcent 3 2 28 6" xfId="6869"/>
    <cellStyle name="Akcent 3 2 29" xfId="6870"/>
    <cellStyle name="Akcent 3 2 29 2" xfId="6871"/>
    <cellStyle name="Akcent 3 2 3" xfId="6872"/>
    <cellStyle name="Akcent 3 2 3 2" xfId="6873"/>
    <cellStyle name="Akcent 3 2 3 3" xfId="6874"/>
    <cellStyle name="Akcent 3 2 3 4" xfId="6875"/>
    <cellStyle name="Akcent 3 2 3 5" xfId="6876"/>
    <cellStyle name="Akcent 3 2 3 6" xfId="6877"/>
    <cellStyle name="Akcent 3 2 30" xfId="6878"/>
    <cellStyle name="Akcent 3 2 30 2" xfId="6879"/>
    <cellStyle name="Akcent 3 2 31" xfId="6880"/>
    <cellStyle name="Akcent 3 2 31 2" xfId="6881"/>
    <cellStyle name="Akcent 3 2 32" xfId="6882"/>
    <cellStyle name="Akcent 3 2 32 2" xfId="6883"/>
    <cellStyle name="Akcent 3 2 33" xfId="6884"/>
    <cellStyle name="Akcent 3 2 34" xfId="6885"/>
    <cellStyle name="Akcent 3 2 35" xfId="6886"/>
    <cellStyle name="Akcent 3 2 36" xfId="6887"/>
    <cellStyle name="Akcent 3 2 37" xfId="6888"/>
    <cellStyle name="Akcent 3 2 38" xfId="6889"/>
    <cellStyle name="Akcent 3 2 39" xfId="6890"/>
    <cellStyle name="Akcent 3 2 4" xfId="6891"/>
    <cellStyle name="Akcent 3 2 4 2" xfId="6892"/>
    <cellStyle name="Akcent 3 2 4 3" xfId="6893"/>
    <cellStyle name="Akcent 3 2 4 4" xfId="6894"/>
    <cellStyle name="Akcent 3 2 4 5" xfId="6895"/>
    <cellStyle name="Akcent 3 2 4 6" xfId="6896"/>
    <cellStyle name="Akcent 3 2 40" xfId="6897"/>
    <cellStyle name="Akcent 3 2 41" xfId="6898"/>
    <cellStyle name="Akcent 3 2 42" xfId="6899"/>
    <cellStyle name="Akcent 3 2 43" xfId="6900"/>
    <cellStyle name="Akcent 3 2 44" xfId="6901"/>
    <cellStyle name="Akcent 3 2 45" xfId="6902"/>
    <cellStyle name="Akcent 3 2 46" xfId="6903"/>
    <cellStyle name="Akcent 3 2 47" xfId="6904"/>
    <cellStyle name="Akcent 3 2 48" xfId="6905"/>
    <cellStyle name="Akcent 3 2 49" xfId="6906"/>
    <cellStyle name="Akcent 3 2 5" xfId="6907"/>
    <cellStyle name="Akcent 3 2 5 2" xfId="6908"/>
    <cellStyle name="Akcent 3 2 5 3" xfId="6909"/>
    <cellStyle name="Akcent 3 2 5 4" xfId="6910"/>
    <cellStyle name="Akcent 3 2 5 5" xfId="6911"/>
    <cellStyle name="Akcent 3 2 5 6" xfId="6912"/>
    <cellStyle name="Akcent 3 2 50" xfId="6913"/>
    <cellStyle name="Akcent 3 2 51" xfId="6914"/>
    <cellStyle name="Akcent 3 2 52" xfId="6915"/>
    <cellStyle name="Akcent 3 2 6" xfId="6916"/>
    <cellStyle name="Akcent 3 2 6 2" xfId="6917"/>
    <cellStyle name="Akcent 3 2 6 3" xfId="6918"/>
    <cellStyle name="Akcent 3 2 6 4" xfId="6919"/>
    <cellStyle name="Akcent 3 2 6 5" xfId="6920"/>
    <cellStyle name="Akcent 3 2 6 6" xfId="6921"/>
    <cellStyle name="Akcent 3 2 7" xfId="6922"/>
    <cellStyle name="Akcent 3 2 7 2" xfId="6923"/>
    <cellStyle name="Akcent 3 2 7 3" xfId="6924"/>
    <cellStyle name="Akcent 3 2 7 4" xfId="6925"/>
    <cellStyle name="Akcent 3 2 7 5" xfId="6926"/>
    <cellStyle name="Akcent 3 2 7 6" xfId="6927"/>
    <cellStyle name="Akcent 3 2 8" xfId="6928"/>
    <cellStyle name="Akcent 3 2 8 2" xfId="6929"/>
    <cellStyle name="Akcent 3 2 8 3" xfId="6930"/>
    <cellStyle name="Akcent 3 2 8 4" xfId="6931"/>
    <cellStyle name="Akcent 3 2 8 5" xfId="6932"/>
    <cellStyle name="Akcent 3 2 8 6" xfId="6933"/>
    <cellStyle name="Akcent 3 2 9" xfId="6934"/>
    <cellStyle name="Akcent 3 2 9 2" xfId="6935"/>
    <cellStyle name="Akcent 3 2 9 3" xfId="6936"/>
    <cellStyle name="Akcent 3 2 9 4" xfId="6937"/>
    <cellStyle name="Akcent 3 2 9 5" xfId="6938"/>
    <cellStyle name="Akcent 3 2 9 6" xfId="6939"/>
    <cellStyle name="Akcent 3 3" xfId="6940"/>
    <cellStyle name="Akcent 3 3 2" xfId="6941"/>
    <cellStyle name="Akcent 3 3 2 2" xfId="6942"/>
    <cellStyle name="Akcent 3 3 3" xfId="6943"/>
    <cellStyle name="Akcent 3 3 4" xfId="6944"/>
    <cellStyle name="Akcent 3 3 5" xfId="6945"/>
    <cellStyle name="Akcent 3 3 6" xfId="6946"/>
    <cellStyle name="Akcent 3 3 7" xfId="6947"/>
    <cellStyle name="Akcent 3 3 8" xfId="6948"/>
    <cellStyle name="Akcent 3 4" xfId="6949"/>
    <cellStyle name="Akcent 3 4 2" xfId="6950"/>
    <cellStyle name="Akcent 3 4 3" xfId="6951"/>
    <cellStyle name="Akcent 3 4 4" xfId="6952"/>
    <cellStyle name="Akcent 3 4 5" xfId="6953"/>
    <cellStyle name="Akcent 3 4 6" xfId="6954"/>
    <cellStyle name="Akcent 3 4 7" xfId="6955"/>
    <cellStyle name="Akcent 3 4 8" xfId="6956"/>
    <cellStyle name="Akcent 3 5" xfId="6957"/>
    <cellStyle name="Akcent 3 5 2" xfId="6958"/>
    <cellStyle name="Akcent 3 6" xfId="6959"/>
    <cellStyle name="Akcent 3 7" xfId="6960"/>
    <cellStyle name="Akcent 4 2" xfId="6961"/>
    <cellStyle name="Akcent 4 2 10" xfId="6962"/>
    <cellStyle name="Akcent 4 2 10 2" xfId="6963"/>
    <cellStyle name="Akcent 4 2 10 3" xfId="6964"/>
    <cellStyle name="Akcent 4 2 10 4" xfId="6965"/>
    <cellStyle name="Akcent 4 2 10 5" xfId="6966"/>
    <cellStyle name="Akcent 4 2 10 6" xfId="6967"/>
    <cellStyle name="Akcent 4 2 11" xfId="6968"/>
    <cellStyle name="Akcent 4 2 11 2" xfId="6969"/>
    <cellStyle name="Akcent 4 2 11 3" xfId="6970"/>
    <cellStyle name="Akcent 4 2 11 4" xfId="6971"/>
    <cellStyle name="Akcent 4 2 11 5" xfId="6972"/>
    <cellStyle name="Akcent 4 2 11 6" xfId="6973"/>
    <cellStyle name="Akcent 4 2 12" xfId="6974"/>
    <cellStyle name="Akcent 4 2 12 2" xfId="6975"/>
    <cellStyle name="Akcent 4 2 12 3" xfId="6976"/>
    <cellStyle name="Akcent 4 2 12 4" xfId="6977"/>
    <cellStyle name="Akcent 4 2 12 5" xfId="6978"/>
    <cellStyle name="Akcent 4 2 12 6" xfId="6979"/>
    <cellStyle name="Akcent 4 2 13" xfId="6980"/>
    <cellStyle name="Akcent 4 2 13 2" xfId="6981"/>
    <cellStyle name="Akcent 4 2 13 3" xfId="6982"/>
    <cellStyle name="Akcent 4 2 13 4" xfId="6983"/>
    <cellStyle name="Akcent 4 2 13 5" xfId="6984"/>
    <cellStyle name="Akcent 4 2 13 6" xfId="6985"/>
    <cellStyle name="Akcent 4 2 14" xfId="6986"/>
    <cellStyle name="Akcent 4 2 14 2" xfId="6987"/>
    <cellStyle name="Akcent 4 2 14 3" xfId="6988"/>
    <cellStyle name="Akcent 4 2 14 4" xfId="6989"/>
    <cellStyle name="Akcent 4 2 14 5" xfId="6990"/>
    <cellStyle name="Akcent 4 2 14 6" xfId="6991"/>
    <cellStyle name="Akcent 4 2 15" xfId="6992"/>
    <cellStyle name="Akcent 4 2 15 2" xfId="6993"/>
    <cellStyle name="Akcent 4 2 15 3" xfId="6994"/>
    <cellStyle name="Akcent 4 2 15 4" xfId="6995"/>
    <cellStyle name="Akcent 4 2 15 5" xfId="6996"/>
    <cellStyle name="Akcent 4 2 15 6" xfId="6997"/>
    <cellStyle name="Akcent 4 2 16" xfId="6998"/>
    <cellStyle name="Akcent 4 2 16 2" xfId="6999"/>
    <cellStyle name="Akcent 4 2 16 3" xfId="7000"/>
    <cellStyle name="Akcent 4 2 16 4" xfId="7001"/>
    <cellStyle name="Akcent 4 2 16 5" xfId="7002"/>
    <cellStyle name="Akcent 4 2 16 6" xfId="7003"/>
    <cellStyle name="Akcent 4 2 17" xfId="7004"/>
    <cellStyle name="Akcent 4 2 17 2" xfId="7005"/>
    <cellStyle name="Akcent 4 2 17 3" xfId="7006"/>
    <cellStyle name="Akcent 4 2 17 4" xfId="7007"/>
    <cellStyle name="Akcent 4 2 17 5" xfId="7008"/>
    <cellStyle name="Akcent 4 2 17 6" xfId="7009"/>
    <cellStyle name="Akcent 4 2 18" xfId="7010"/>
    <cellStyle name="Akcent 4 2 18 2" xfId="7011"/>
    <cellStyle name="Akcent 4 2 18 3" xfId="7012"/>
    <cellStyle name="Akcent 4 2 18 4" xfId="7013"/>
    <cellStyle name="Akcent 4 2 18 5" xfId="7014"/>
    <cellStyle name="Akcent 4 2 18 6" xfId="7015"/>
    <cellStyle name="Akcent 4 2 19" xfId="7016"/>
    <cellStyle name="Akcent 4 2 19 2" xfId="7017"/>
    <cellStyle name="Akcent 4 2 19 3" xfId="7018"/>
    <cellStyle name="Akcent 4 2 19 4" xfId="7019"/>
    <cellStyle name="Akcent 4 2 19 5" xfId="7020"/>
    <cellStyle name="Akcent 4 2 19 6" xfId="7021"/>
    <cellStyle name="Akcent 4 2 2" xfId="7022"/>
    <cellStyle name="Akcent 4 2 2 2" xfId="7023"/>
    <cellStyle name="Akcent 4 2 2 3" xfId="7024"/>
    <cellStyle name="Akcent 4 2 2 4" xfId="7025"/>
    <cellStyle name="Akcent 4 2 2 5" xfId="7026"/>
    <cellStyle name="Akcent 4 2 2 6" xfId="7027"/>
    <cellStyle name="Akcent 4 2 2 7" xfId="7028"/>
    <cellStyle name="Akcent 4 2 20" xfId="7029"/>
    <cellStyle name="Akcent 4 2 20 2" xfId="7030"/>
    <cellStyle name="Akcent 4 2 20 3" xfId="7031"/>
    <cellStyle name="Akcent 4 2 20 4" xfId="7032"/>
    <cellStyle name="Akcent 4 2 20 5" xfId="7033"/>
    <cellStyle name="Akcent 4 2 20 6" xfId="7034"/>
    <cellStyle name="Akcent 4 2 21" xfId="7035"/>
    <cellStyle name="Akcent 4 2 21 2" xfId="7036"/>
    <cellStyle name="Akcent 4 2 21 3" xfId="7037"/>
    <cellStyle name="Akcent 4 2 21 4" xfId="7038"/>
    <cellStyle name="Akcent 4 2 21 5" xfId="7039"/>
    <cellStyle name="Akcent 4 2 21 6" xfId="7040"/>
    <cellStyle name="Akcent 4 2 22" xfId="7041"/>
    <cellStyle name="Akcent 4 2 22 2" xfId="7042"/>
    <cellStyle name="Akcent 4 2 22 3" xfId="7043"/>
    <cellStyle name="Akcent 4 2 22 4" xfId="7044"/>
    <cellStyle name="Akcent 4 2 22 5" xfId="7045"/>
    <cellStyle name="Akcent 4 2 22 6" xfId="7046"/>
    <cellStyle name="Akcent 4 2 23" xfId="7047"/>
    <cellStyle name="Akcent 4 2 23 2" xfId="7048"/>
    <cellStyle name="Akcent 4 2 23 3" xfId="7049"/>
    <cellStyle name="Akcent 4 2 23 4" xfId="7050"/>
    <cellStyle name="Akcent 4 2 23 5" xfId="7051"/>
    <cellStyle name="Akcent 4 2 23 6" xfId="7052"/>
    <cellStyle name="Akcent 4 2 24" xfId="7053"/>
    <cellStyle name="Akcent 4 2 24 2" xfId="7054"/>
    <cellStyle name="Akcent 4 2 24 3" xfId="7055"/>
    <cellStyle name="Akcent 4 2 24 4" xfId="7056"/>
    <cellStyle name="Akcent 4 2 24 5" xfId="7057"/>
    <cellStyle name="Akcent 4 2 24 6" xfId="7058"/>
    <cellStyle name="Akcent 4 2 25" xfId="7059"/>
    <cellStyle name="Akcent 4 2 25 2" xfId="7060"/>
    <cellStyle name="Akcent 4 2 25 3" xfId="7061"/>
    <cellStyle name="Akcent 4 2 25 4" xfId="7062"/>
    <cellStyle name="Akcent 4 2 25 5" xfId="7063"/>
    <cellStyle name="Akcent 4 2 25 6" xfId="7064"/>
    <cellStyle name="Akcent 4 2 26" xfId="7065"/>
    <cellStyle name="Akcent 4 2 26 2" xfId="7066"/>
    <cellStyle name="Akcent 4 2 26 3" xfId="7067"/>
    <cellStyle name="Akcent 4 2 26 4" xfId="7068"/>
    <cellStyle name="Akcent 4 2 26 5" xfId="7069"/>
    <cellStyle name="Akcent 4 2 26 6" xfId="7070"/>
    <cellStyle name="Akcent 4 2 27" xfId="7071"/>
    <cellStyle name="Akcent 4 2 27 2" xfId="7072"/>
    <cellStyle name="Akcent 4 2 27 3" xfId="7073"/>
    <cellStyle name="Akcent 4 2 27 4" xfId="7074"/>
    <cellStyle name="Akcent 4 2 27 5" xfId="7075"/>
    <cellStyle name="Akcent 4 2 27 6" xfId="7076"/>
    <cellStyle name="Akcent 4 2 28" xfId="7077"/>
    <cellStyle name="Akcent 4 2 28 2" xfId="7078"/>
    <cellStyle name="Akcent 4 2 28 3" xfId="7079"/>
    <cellStyle name="Akcent 4 2 28 4" xfId="7080"/>
    <cellStyle name="Akcent 4 2 28 5" xfId="7081"/>
    <cellStyle name="Akcent 4 2 28 6" xfId="7082"/>
    <cellStyle name="Akcent 4 2 29" xfId="7083"/>
    <cellStyle name="Akcent 4 2 29 2" xfId="7084"/>
    <cellStyle name="Akcent 4 2 3" xfId="7085"/>
    <cellStyle name="Akcent 4 2 3 2" xfId="7086"/>
    <cellStyle name="Akcent 4 2 3 3" xfId="7087"/>
    <cellStyle name="Akcent 4 2 3 4" xfId="7088"/>
    <cellStyle name="Akcent 4 2 3 5" xfId="7089"/>
    <cellStyle name="Akcent 4 2 3 6" xfId="7090"/>
    <cellStyle name="Akcent 4 2 30" xfId="7091"/>
    <cellStyle name="Akcent 4 2 30 2" xfId="7092"/>
    <cellStyle name="Akcent 4 2 31" xfId="7093"/>
    <cellStyle name="Akcent 4 2 31 2" xfId="7094"/>
    <cellStyle name="Akcent 4 2 32" xfId="7095"/>
    <cellStyle name="Akcent 4 2 32 2" xfId="7096"/>
    <cellStyle name="Akcent 4 2 33" xfId="7097"/>
    <cellStyle name="Akcent 4 2 34" xfId="7098"/>
    <cellStyle name="Akcent 4 2 35" xfId="7099"/>
    <cellStyle name="Akcent 4 2 36" xfId="7100"/>
    <cellStyle name="Akcent 4 2 37" xfId="7101"/>
    <cellStyle name="Akcent 4 2 38" xfId="7102"/>
    <cellStyle name="Akcent 4 2 39" xfId="7103"/>
    <cellStyle name="Akcent 4 2 4" xfId="7104"/>
    <cellStyle name="Akcent 4 2 4 2" xfId="7105"/>
    <cellStyle name="Akcent 4 2 4 3" xfId="7106"/>
    <cellStyle name="Akcent 4 2 4 4" xfId="7107"/>
    <cellStyle name="Akcent 4 2 4 5" xfId="7108"/>
    <cellStyle name="Akcent 4 2 4 6" xfId="7109"/>
    <cellStyle name="Akcent 4 2 40" xfId="7110"/>
    <cellStyle name="Akcent 4 2 41" xfId="7111"/>
    <cellStyle name="Akcent 4 2 42" xfId="7112"/>
    <cellStyle name="Akcent 4 2 43" xfId="7113"/>
    <cellStyle name="Akcent 4 2 44" xfId="7114"/>
    <cellStyle name="Akcent 4 2 45" xfId="7115"/>
    <cellStyle name="Akcent 4 2 46" xfId="7116"/>
    <cellStyle name="Akcent 4 2 47" xfId="7117"/>
    <cellStyle name="Akcent 4 2 48" xfId="7118"/>
    <cellStyle name="Akcent 4 2 49" xfId="7119"/>
    <cellStyle name="Akcent 4 2 5" xfId="7120"/>
    <cellStyle name="Akcent 4 2 5 2" xfId="7121"/>
    <cellStyle name="Akcent 4 2 5 3" xfId="7122"/>
    <cellStyle name="Akcent 4 2 5 4" xfId="7123"/>
    <cellStyle name="Akcent 4 2 5 5" xfId="7124"/>
    <cellStyle name="Akcent 4 2 5 6" xfId="7125"/>
    <cellStyle name="Akcent 4 2 50" xfId="7126"/>
    <cellStyle name="Akcent 4 2 51" xfId="7127"/>
    <cellStyle name="Akcent 4 2 52" xfId="7128"/>
    <cellStyle name="Akcent 4 2 6" xfId="7129"/>
    <cellStyle name="Akcent 4 2 6 2" xfId="7130"/>
    <cellStyle name="Akcent 4 2 6 3" xfId="7131"/>
    <cellStyle name="Akcent 4 2 6 4" xfId="7132"/>
    <cellStyle name="Akcent 4 2 6 5" xfId="7133"/>
    <cellStyle name="Akcent 4 2 6 6" xfId="7134"/>
    <cellStyle name="Akcent 4 2 7" xfId="7135"/>
    <cellStyle name="Akcent 4 2 7 2" xfId="7136"/>
    <cellStyle name="Akcent 4 2 7 3" xfId="7137"/>
    <cellStyle name="Akcent 4 2 7 4" xfId="7138"/>
    <cellStyle name="Akcent 4 2 7 5" xfId="7139"/>
    <cellStyle name="Akcent 4 2 7 6" xfId="7140"/>
    <cellStyle name="Akcent 4 2 8" xfId="7141"/>
    <cellStyle name="Akcent 4 2 8 2" xfId="7142"/>
    <cellStyle name="Akcent 4 2 8 3" xfId="7143"/>
    <cellStyle name="Akcent 4 2 8 4" xfId="7144"/>
    <cellStyle name="Akcent 4 2 8 5" xfId="7145"/>
    <cellStyle name="Akcent 4 2 8 6" xfId="7146"/>
    <cellStyle name="Akcent 4 2 9" xfId="7147"/>
    <cellStyle name="Akcent 4 2 9 2" xfId="7148"/>
    <cellStyle name="Akcent 4 2 9 3" xfId="7149"/>
    <cellStyle name="Akcent 4 2 9 4" xfId="7150"/>
    <cellStyle name="Akcent 4 2 9 5" xfId="7151"/>
    <cellStyle name="Akcent 4 2 9 6" xfId="7152"/>
    <cellStyle name="Akcent 4 3" xfId="7153"/>
    <cellStyle name="Akcent 4 3 2" xfId="7154"/>
    <cellStyle name="Akcent 4 3 2 2" xfId="7155"/>
    <cellStyle name="Akcent 4 3 3" xfId="7156"/>
    <cellStyle name="Akcent 4 3 4" xfId="7157"/>
    <cellStyle name="Akcent 4 3 5" xfId="7158"/>
    <cellStyle name="Akcent 4 3 6" xfId="7159"/>
    <cellStyle name="Akcent 4 3 7" xfId="7160"/>
    <cellStyle name="Akcent 4 3 8" xfId="7161"/>
    <cellStyle name="Akcent 4 4" xfId="7162"/>
    <cellStyle name="Akcent 4 4 2" xfId="7163"/>
    <cellStyle name="Akcent 4 4 3" xfId="7164"/>
    <cellStyle name="Akcent 4 4 4" xfId="7165"/>
    <cellStyle name="Akcent 4 4 5" xfId="7166"/>
    <cellStyle name="Akcent 4 4 6" xfId="7167"/>
    <cellStyle name="Akcent 4 4 7" xfId="7168"/>
    <cellStyle name="Akcent 4 4 8" xfId="7169"/>
    <cellStyle name="Akcent 4 5" xfId="7170"/>
    <cellStyle name="Akcent 4 5 2" xfId="7171"/>
    <cellStyle name="Akcent 4 6" xfId="7172"/>
    <cellStyle name="Akcent 4 7" xfId="7173"/>
    <cellStyle name="Akcent 5 2" xfId="7174"/>
    <cellStyle name="Akcent 5 2 10" xfId="7175"/>
    <cellStyle name="Akcent 5 2 10 2" xfId="7176"/>
    <cellStyle name="Akcent 5 2 10 3" xfId="7177"/>
    <cellStyle name="Akcent 5 2 10 4" xfId="7178"/>
    <cellStyle name="Akcent 5 2 10 5" xfId="7179"/>
    <cellStyle name="Akcent 5 2 10 6" xfId="7180"/>
    <cellStyle name="Akcent 5 2 11" xfId="7181"/>
    <cellStyle name="Akcent 5 2 11 2" xfId="7182"/>
    <cellStyle name="Akcent 5 2 11 3" xfId="7183"/>
    <cellStyle name="Akcent 5 2 11 4" xfId="7184"/>
    <cellStyle name="Akcent 5 2 11 5" xfId="7185"/>
    <cellStyle name="Akcent 5 2 11 6" xfId="7186"/>
    <cellStyle name="Akcent 5 2 12" xfId="7187"/>
    <cellStyle name="Akcent 5 2 12 2" xfId="7188"/>
    <cellStyle name="Akcent 5 2 12 3" xfId="7189"/>
    <cellStyle name="Akcent 5 2 12 4" xfId="7190"/>
    <cellStyle name="Akcent 5 2 12 5" xfId="7191"/>
    <cellStyle name="Akcent 5 2 12 6" xfId="7192"/>
    <cellStyle name="Akcent 5 2 13" xfId="7193"/>
    <cellStyle name="Akcent 5 2 13 2" xfId="7194"/>
    <cellStyle name="Akcent 5 2 13 3" xfId="7195"/>
    <cellStyle name="Akcent 5 2 13 4" xfId="7196"/>
    <cellStyle name="Akcent 5 2 13 5" xfId="7197"/>
    <cellStyle name="Akcent 5 2 13 6" xfId="7198"/>
    <cellStyle name="Akcent 5 2 14" xfId="7199"/>
    <cellStyle name="Akcent 5 2 14 2" xfId="7200"/>
    <cellStyle name="Akcent 5 2 14 3" xfId="7201"/>
    <cellStyle name="Akcent 5 2 14 4" xfId="7202"/>
    <cellStyle name="Akcent 5 2 14 5" xfId="7203"/>
    <cellStyle name="Akcent 5 2 14 6" xfId="7204"/>
    <cellStyle name="Akcent 5 2 15" xfId="7205"/>
    <cellStyle name="Akcent 5 2 15 2" xfId="7206"/>
    <cellStyle name="Akcent 5 2 15 3" xfId="7207"/>
    <cellStyle name="Akcent 5 2 15 4" xfId="7208"/>
    <cellStyle name="Akcent 5 2 15 5" xfId="7209"/>
    <cellStyle name="Akcent 5 2 15 6" xfId="7210"/>
    <cellStyle name="Akcent 5 2 16" xfId="7211"/>
    <cellStyle name="Akcent 5 2 16 2" xfId="7212"/>
    <cellStyle name="Akcent 5 2 16 3" xfId="7213"/>
    <cellStyle name="Akcent 5 2 16 4" xfId="7214"/>
    <cellStyle name="Akcent 5 2 16 5" xfId="7215"/>
    <cellStyle name="Akcent 5 2 16 6" xfId="7216"/>
    <cellStyle name="Akcent 5 2 17" xfId="7217"/>
    <cellStyle name="Akcent 5 2 17 2" xfId="7218"/>
    <cellStyle name="Akcent 5 2 17 3" xfId="7219"/>
    <cellStyle name="Akcent 5 2 17 4" xfId="7220"/>
    <cellStyle name="Akcent 5 2 17 5" xfId="7221"/>
    <cellStyle name="Akcent 5 2 17 6" xfId="7222"/>
    <cellStyle name="Akcent 5 2 18" xfId="7223"/>
    <cellStyle name="Akcent 5 2 18 2" xfId="7224"/>
    <cellStyle name="Akcent 5 2 18 3" xfId="7225"/>
    <cellStyle name="Akcent 5 2 18 4" xfId="7226"/>
    <cellStyle name="Akcent 5 2 18 5" xfId="7227"/>
    <cellStyle name="Akcent 5 2 18 6" xfId="7228"/>
    <cellStyle name="Akcent 5 2 19" xfId="7229"/>
    <cellStyle name="Akcent 5 2 19 2" xfId="7230"/>
    <cellStyle name="Akcent 5 2 19 3" xfId="7231"/>
    <cellStyle name="Akcent 5 2 19 4" xfId="7232"/>
    <cellStyle name="Akcent 5 2 19 5" xfId="7233"/>
    <cellStyle name="Akcent 5 2 19 6" xfId="7234"/>
    <cellStyle name="Akcent 5 2 2" xfId="7235"/>
    <cellStyle name="Akcent 5 2 2 2" xfId="7236"/>
    <cellStyle name="Akcent 5 2 2 3" xfId="7237"/>
    <cellStyle name="Akcent 5 2 2 4" xfId="7238"/>
    <cellStyle name="Akcent 5 2 2 5" xfId="7239"/>
    <cellStyle name="Akcent 5 2 2 6" xfId="7240"/>
    <cellStyle name="Akcent 5 2 2 7" xfId="7241"/>
    <cellStyle name="Akcent 5 2 20" xfId="7242"/>
    <cellStyle name="Akcent 5 2 20 2" xfId="7243"/>
    <cellStyle name="Akcent 5 2 20 3" xfId="7244"/>
    <cellStyle name="Akcent 5 2 20 4" xfId="7245"/>
    <cellStyle name="Akcent 5 2 20 5" xfId="7246"/>
    <cellStyle name="Akcent 5 2 20 6" xfId="7247"/>
    <cellStyle name="Akcent 5 2 21" xfId="7248"/>
    <cellStyle name="Akcent 5 2 21 2" xfId="7249"/>
    <cellStyle name="Akcent 5 2 21 3" xfId="7250"/>
    <cellStyle name="Akcent 5 2 21 4" xfId="7251"/>
    <cellStyle name="Akcent 5 2 21 5" xfId="7252"/>
    <cellStyle name="Akcent 5 2 21 6" xfId="7253"/>
    <cellStyle name="Akcent 5 2 22" xfId="7254"/>
    <cellStyle name="Akcent 5 2 22 2" xfId="7255"/>
    <cellStyle name="Akcent 5 2 22 3" xfId="7256"/>
    <cellStyle name="Akcent 5 2 22 4" xfId="7257"/>
    <cellStyle name="Akcent 5 2 22 5" xfId="7258"/>
    <cellStyle name="Akcent 5 2 22 6" xfId="7259"/>
    <cellStyle name="Akcent 5 2 23" xfId="7260"/>
    <cellStyle name="Akcent 5 2 23 2" xfId="7261"/>
    <cellStyle name="Akcent 5 2 23 3" xfId="7262"/>
    <cellStyle name="Akcent 5 2 23 4" xfId="7263"/>
    <cellStyle name="Akcent 5 2 23 5" xfId="7264"/>
    <cellStyle name="Akcent 5 2 23 6" xfId="7265"/>
    <cellStyle name="Akcent 5 2 24" xfId="7266"/>
    <cellStyle name="Akcent 5 2 24 2" xfId="7267"/>
    <cellStyle name="Akcent 5 2 24 3" xfId="7268"/>
    <cellStyle name="Akcent 5 2 24 4" xfId="7269"/>
    <cellStyle name="Akcent 5 2 24 5" xfId="7270"/>
    <cellStyle name="Akcent 5 2 24 6" xfId="7271"/>
    <cellStyle name="Akcent 5 2 25" xfId="7272"/>
    <cellStyle name="Akcent 5 2 25 2" xfId="7273"/>
    <cellStyle name="Akcent 5 2 25 3" xfId="7274"/>
    <cellStyle name="Akcent 5 2 25 4" xfId="7275"/>
    <cellStyle name="Akcent 5 2 25 5" xfId="7276"/>
    <cellStyle name="Akcent 5 2 25 6" xfId="7277"/>
    <cellStyle name="Akcent 5 2 26" xfId="7278"/>
    <cellStyle name="Akcent 5 2 26 2" xfId="7279"/>
    <cellStyle name="Akcent 5 2 26 3" xfId="7280"/>
    <cellStyle name="Akcent 5 2 26 4" xfId="7281"/>
    <cellStyle name="Akcent 5 2 26 5" xfId="7282"/>
    <cellStyle name="Akcent 5 2 26 6" xfId="7283"/>
    <cellStyle name="Akcent 5 2 27" xfId="7284"/>
    <cellStyle name="Akcent 5 2 27 2" xfId="7285"/>
    <cellStyle name="Akcent 5 2 27 3" xfId="7286"/>
    <cellStyle name="Akcent 5 2 27 4" xfId="7287"/>
    <cellStyle name="Akcent 5 2 27 5" xfId="7288"/>
    <cellStyle name="Akcent 5 2 27 6" xfId="7289"/>
    <cellStyle name="Akcent 5 2 28" xfId="7290"/>
    <cellStyle name="Akcent 5 2 28 2" xfId="7291"/>
    <cellStyle name="Akcent 5 2 28 3" xfId="7292"/>
    <cellStyle name="Akcent 5 2 28 4" xfId="7293"/>
    <cellStyle name="Akcent 5 2 28 5" xfId="7294"/>
    <cellStyle name="Akcent 5 2 28 6" xfId="7295"/>
    <cellStyle name="Akcent 5 2 29" xfId="7296"/>
    <cellStyle name="Akcent 5 2 29 2" xfId="7297"/>
    <cellStyle name="Akcent 5 2 3" xfId="7298"/>
    <cellStyle name="Akcent 5 2 3 2" xfId="7299"/>
    <cellStyle name="Akcent 5 2 3 3" xfId="7300"/>
    <cellStyle name="Akcent 5 2 3 4" xfId="7301"/>
    <cellStyle name="Akcent 5 2 3 5" xfId="7302"/>
    <cellStyle name="Akcent 5 2 3 6" xfId="7303"/>
    <cellStyle name="Akcent 5 2 30" xfId="7304"/>
    <cellStyle name="Akcent 5 2 30 2" xfId="7305"/>
    <cellStyle name="Akcent 5 2 31" xfId="7306"/>
    <cellStyle name="Akcent 5 2 31 2" xfId="7307"/>
    <cellStyle name="Akcent 5 2 32" xfId="7308"/>
    <cellStyle name="Akcent 5 2 32 2" xfId="7309"/>
    <cellStyle name="Akcent 5 2 33" xfId="7310"/>
    <cellStyle name="Akcent 5 2 34" xfId="7311"/>
    <cellStyle name="Akcent 5 2 35" xfId="7312"/>
    <cellStyle name="Akcent 5 2 36" xfId="7313"/>
    <cellStyle name="Akcent 5 2 37" xfId="7314"/>
    <cellStyle name="Akcent 5 2 38" xfId="7315"/>
    <cellStyle name="Akcent 5 2 39" xfId="7316"/>
    <cellStyle name="Akcent 5 2 4" xfId="7317"/>
    <cellStyle name="Akcent 5 2 4 2" xfId="7318"/>
    <cellStyle name="Akcent 5 2 4 3" xfId="7319"/>
    <cellStyle name="Akcent 5 2 4 4" xfId="7320"/>
    <cellStyle name="Akcent 5 2 4 5" xfId="7321"/>
    <cellStyle name="Akcent 5 2 4 6" xfId="7322"/>
    <cellStyle name="Akcent 5 2 40" xfId="7323"/>
    <cellStyle name="Akcent 5 2 41" xfId="7324"/>
    <cellStyle name="Akcent 5 2 42" xfId="7325"/>
    <cellStyle name="Akcent 5 2 43" xfId="7326"/>
    <cellStyle name="Akcent 5 2 44" xfId="7327"/>
    <cellStyle name="Akcent 5 2 45" xfId="7328"/>
    <cellStyle name="Akcent 5 2 46" xfId="7329"/>
    <cellStyle name="Akcent 5 2 47" xfId="7330"/>
    <cellStyle name="Akcent 5 2 48" xfId="7331"/>
    <cellStyle name="Akcent 5 2 49" xfId="7332"/>
    <cellStyle name="Akcent 5 2 5" xfId="7333"/>
    <cellStyle name="Akcent 5 2 5 2" xfId="7334"/>
    <cellStyle name="Akcent 5 2 5 3" xfId="7335"/>
    <cellStyle name="Akcent 5 2 5 4" xfId="7336"/>
    <cellStyle name="Akcent 5 2 5 5" xfId="7337"/>
    <cellStyle name="Akcent 5 2 5 6" xfId="7338"/>
    <cellStyle name="Akcent 5 2 50" xfId="7339"/>
    <cellStyle name="Akcent 5 2 51" xfId="7340"/>
    <cellStyle name="Akcent 5 2 52" xfId="7341"/>
    <cellStyle name="Akcent 5 2 6" xfId="7342"/>
    <cellStyle name="Akcent 5 2 6 2" xfId="7343"/>
    <cellStyle name="Akcent 5 2 6 3" xfId="7344"/>
    <cellStyle name="Akcent 5 2 6 4" xfId="7345"/>
    <cellStyle name="Akcent 5 2 6 5" xfId="7346"/>
    <cellStyle name="Akcent 5 2 6 6" xfId="7347"/>
    <cellStyle name="Akcent 5 2 7" xfId="7348"/>
    <cellStyle name="Akcent 5 2 7 2" xfId="7349"/>
    <cellStyle name="Akcent 5 2 7 3" xfId="7350"/>
    <cellStyle name="Akcent 5 2 7 4" xfId="7351"/>
    <cellStyle name="Akcent 5 2 7 5" xfId="7352"/>
    <cellStyle name="Akcent 5 2 7 6" xfId="7353"/>
    <cellStyle name="Akcent 5 2 8" xfId="7354"/>
    <cellStyle name="Akcent 5 2 8 2" xfId="7355"/>
    <cellStyle name="Akcent 5 2 8 3" xfId="7356"/>
    <cellStyle name="Akcent 5 2 8 4" xfId="7357"/>
    <cellStyle name="Akcent 5 2 8 5" xfId="7358"/>
    <cellStyle name="Akcent 5 2 8 6" xfId="7359"/>
    <cellStyle name="Akcent 5 2 9" xfId="7360"/>
    <cellStyle name="Akcent 5 2 9 2" xfId="7361"/>
    <cellStyle name="Akcent 5 2 9 3" xfId="7362"/>
    <cellStyle name="Akcent 5 2 9 4" xfId="7363"/>
    <cellStyle name="Akcent 5 2 9 5" xfId="7364"/>
    <cellStyle name="Akcent 5 2 9 6" xfId="7365"/>
    <cellStyle name="Akcent 5 3" xfId="7366"/>
    <cellStyle name="Akcent 5 3 2" xfId="7367"/>
    <cellStyle name="Akcent 5 3 2 2" xfId="7368"/>
    <cellStyle name="Akcent 5 3 3" xfId="7369"/>
    <cellStyle name="Akcent 5 3 4" xfId="7370"/>
    <cellStyle name="Akcent 5 3 5" xfId="7371"/>
    <cellStyle name="Akcent 5 3 6" xfId="7372"/>
    <cellStyle name="Akcent 5 3 7" xfId="7373"/>
    <cellStyle name="Akcent 5 3 8" xfId="7374"/>
    <cellStyle name="Akcent 5 4" xfId="7375"/>
    <cellStyle name="Akcent 5 4 2" xfId="7376"/>
    <cellStyle name="Akcent 5 4 3" xfId="7377"/>
    <cellStyle name="Akcent 5 4 4" xfId="7378"/>
    <cellStyle name="Akcent 5 4 5" xfId="7379"/>
    <cellStyle name="Akcent 5 4 6" xfId="7380"/>
    <cellStyle name="Akcent 5 4 7" xfId="7381"/>
    <cellStyle name="Akcent 5 4 8" xfId="7382"/>
    <cellStyle name="Akcent 5 5" xfId="7383"/>
    <cellStyle name="Akcent 5 5 2" xfId="7384"/>
    <cellStyle name="Akcent 5 6" xfId="7385"/>
    <cellStyle name="Akcent 5 7" xfId="7386"/>
    <cellStyle name="Akcent 6 2" xfId="7387"/>
    <cellStyle name="Akcent 6 2 10" xfId="7388"/>
    <cellStyle name="Akcent 6 2 10 2" xfId="7389"/>
    <cellStyle name="Akcent 6 2 10 3" xfId="7390"/>
    <cellStyle name="Akcent 6 2 10 4" xfId="7391"/>
    <cellStyle name="Akcent 6 2 10 5" xfId="7392"/>
    <cellStyle name="Akcent 6 2 10 6" xfId="7393"/>
    <cellStyle name="Akcent 6 2 11" xfId="7394"/>
    <cellStyle name="Akcent 6 2 11 2" xfId="7395"/>
    <cellStyle name="Akcent 6 2 11 3" xfId="7396"/>
    <cellStyle name="Akcent 6 2 11 4" xfId="7397"/>
    <cellStyle name="Akcent 6 2 11 5" xfId="7398"/>
    <cellStyle name="Akcent 6 2 11 6" xfId="7399"/>
    <cellStyle name="Akcent 6 2 12" xfId="7400"/>
    <cellStyle name="Akcent 6 2 12 2" xfId="7401"/>
    <cellStyle name="Akcent 6 2 12 3" xfId="7402"/>
    <cellStyle name="Akcent 6 2 12 4" xfId="7403"/>
    <cellStyle name="Akcent 6 2 12 5" xfId="7404"/>
    <cellStyle name="Akcent 6 2 12 6" xfId="7405"/>
    <cellStyle name="Akcent 6 2 13" xfId="7406"/>
    <cellStyle name="Akcent 6 2 13 2" xfId="7407"/>
    <cellStyle name="Akcent 6 2 13 3" xfId="7408"/>
    <cellStyle name="Akcent 6 2 13 4" xfId="7409"/>
    <cellStyle name="Akcent 6 2 13 5" xfId="7410"/>
    <cellStyle name="Akcent 6 2 13 6" xfId="7411"/>
    <cellStyle name="Akcent 6 2 14" xfId="7412"/>
    <cellStyle name="Akcent 6 2 14 2" xfId="7413"/>
    <cellStyle name="Akcent 6 2 14 3" xfId="7414"/>
    <cellStyle name="Akcent 6 2 14 4" xfId="7415"/>
    <cellStyle name="Akcent 6 2 14 5" xfId="7416"/>
    <cellStyle name="Akcent 6 2 14 6" xfId="7417"/>
    <cellStyle name="Akcent 6 2 15" xfId="7418"/>
    <cellStyle name="Akcent 6 2 15 2" xfId="7419"/>
    <cellStyle name="Akcent 6 2 15 3" xfId="7420"/>
    <cellStyle name="Akcent 6 2 15 4" xfId="7421"/>
    <cellStyle name="Akcent 6 2 15 5" xfId="7422"/>
    <cellStyle name="Akcent 6 2 15 6" xfId="7423"/>
    <cellStyle name="Akcent 6 2 16" xfId="7424"/>
    <cellStyle name="Akcent 6 2 16 2" xfId="7425"/>
    <cellStyle name="Akcent 6 2 16 3" xfId="7426"/>
    <cellStyle name="Akcent 6 2 16 4" xfId="7427"/>
    <cellStyle name="Akcent 6 2 16 5" xfId="7428"/>
    <cellStyle name="Akcent 6 2 16 6" xfId="7429"/>
    <cellStyle name="Akcent 6 2 17" xfId="7430"/>
    <cellStyle name="Akcent 6 2 17 2" xfId="7431"/>
    <cellStyle name="Akcent 6 2 17 3" xfId="7432"/>
    <cellStyle name="Akcent 6 2 17 4" xfId="7433"/>
    <cellStyle name="Akcent 6 2 17 5" xfId="7434"/>
    <cellStyle name="Akcent 6 2 17 6" xfId="7435"/>
    <cellStyle name="Akcent 6 2 18" xfId="7436"/>
    <cellStyle name="Akcent 6 2 18 2" xfId="7437"/>
    <cellStyle name="Akcent 6 2 18 3" xfId="7438"/>
    <cellStyle name="Akcent 6 2 18 4" xfId="7439"/>
    <cellStyle name="Akcent 6 2 18 5" xfId="7440"/>
    <cellStyle name="Akcent 6 2 18 6" xfId="7441"/>
    <cellStyle name="Akcent 6 2 19" xfId="7442"/>
    <cellStyle name="Akcent 6 2 19 2" xfId="7443"/>
    <cellStyle name="Akcent 6 2 19 3" xfId="7444"/>
    <cellStyle name="Akcent 6 2 19 4" xfId="7445"/>
    <cellStyle name="Akcent 6 2 19 5" xfId="7446"/>
    <cellStyle name="Akcent 6 2 19 6" xfId="7447"/>
    <cellStyle name="Akcent 6 2 2" xfId="7448"/>
    <cellStyle name="Akcent 6 2 2 2" xfId="7449"/>
    <cellStyle name="Akcent 6 2 2 3" xfId="7450"/>
    <cellStyle name="Akcent 6 2 2 4" xfId="7451"/>
    <cellStyle name="Akcent 6 2 2 5" xfId="7452"/>
    <cellStyle name="Akcent 6 2 2 6" xfId="7453"/>
    <cellStyle name="Akcent 6 2 2 7" xfId="7454"/>
    <cellStyle name="Akcent 6 2 20" xfId="7455"/>
    <cellStyle name="Akcent 6 2 20 2" xfId="7456"/>
    <cellStyle name="Akcent 6 2 20 3" xfId="7457"/>
    <cellStyle name="Akcent 6 2 20 4" xfId="7458"/>
    <cellStyle name="Akcent 6 2 20 5" xfId="7459"/>
    <cellStyle name="Akcent 6 2 20 6" xfId="7460"/>
    <cellStyle name="Akcent 6 2 21" xfId="7461"/>
    <cellStyle name="Akcent 6 2 21 2" xfId="7462"/>
    <cellStyle name="Akcent 6 2 21 3" xfId="7463"/>
    <cellStyle name="Akcent 6 2 21 4" xfId="7464"/>
    <cellStyle name="Akcent 6 2 21 5" xfId="7465"/>
    <cellStyle name="Akcent 6 2 21 6" xfId="7466"/>
    <cellStyle name="Akcent 6 2 22" xfId="7467"/>
    <cellStyle name="Akcent 6 2 22 2" xfId="7468"/>
    <cellStyle name="Akcent 6 2 22 3" xfId="7469"/>
    <cellStyle name="Akcent 6 2 22 4" xfId="7470"/>
    <cellStyle name="Akcent 6 2 22 5" xfId="7471"/>
    <cellStyle name="Akcent 6 2 22 6" xfId="7472"/>
    <cellStyle name="Akcent 6 2 23" xfId="7473"/>
    <cellStyle name="Akcent 6 2 23 2" xfId="7474"/>
    <cellStyle name="Akcent 6 2 23 3" xfId="7475"/>
    <cellStyle name="Akcent 6 2 23 4" xfId="7476"/>
    <cellStyle name="Akcent 6 2 23 5" xfId="7477"/>
    <cellStyle name="Akcent 6 2 23 6" xfId="7478"/>
    <cellStyle name="Akcent 6 2 24" xfId="7479"/>
    <cellStyle name="Akcent 6 2 24 2" xfId="7480"/>
    <cellStyle name="Akcent 6 2 24 3" xfId="7481"/>
    <cellStyle name="Akcent 6 2 24 4" xfId="7482"/>
    <cellStyle name="Akcent 6 2 24 5" xfId="7483"/>
    <cellStyle name="Akcent 6 2 24 6" xfId="7484"/>
    <cellStyle name="Akcent 6 2 25" xfId="7485"/>
    <cellStyle name="Akcent 6 2 25 2" xfId="7486"/>
    <cellStyle name="Akcent 6 2 25 3" xfId="7487"/>
    <cellStyle name="Akcent 6 2 25 4" xfId="7488"/>
    <cellStyle name="Akcent 6 2 25 5" xfId="7489"/>
    <cellStyle name="Akcent 6 2 25 6" xfId="7490"/>
    <cellStyle name="Akcent 6 2 26" xfId="7491"/>
    <cellStyle name="Akcent 6 2 26 2" xfId="7492"/>
    <cellStyle name="Akcent 6 2 26 3" xfId="7493"/>
    <cellStyle name="Akcent 6 2 26 4" xfId="7494"/>
    <cellStyle name="Akcent 6 2 26 5" xfId="7495"/>
    <cellStyle name="Akcent 6 2 26 6" xfId="7496"/>
    <cellStyle name="Akcent 6 2 27" xfId="7497"/>
    <cellStyle name="Akcent 6 2 27 2" xfId="7498"/>
    <cellStyle name="Akcent 6 2 27 3" xfId="7499"/>
    <cellStyle name="Akcent 6 2 27 4" xfId="7500"/>
    <cellStyle name="Akcent 6 2 27 5" xfId="7501"/>
    <cellStyle name="Akcent 6 2 27 6" xfId="7502"/>
    <cellStyle name="Akcent 6 2 28" xfId="7503"/>
    <cellStyle name="Akcent 6 2 28 2" xfId="7504"/>
    <cellStyle name="Akcent 6 2 28 3" xfId="7505"/>
    <cellStyle name="Akcent 6 2 28 4" xfId="7506"/>
    <cellStyle name="Akcent 6 2 28 5" xfId="7507"/>
    <cellStyle name="Akcent 6 2 28 6" xfId="7508"/>
    <cellStyle name="Akcent 6 2 29" xfId="7509"/>
    <cellStyle name="Akcent 6 2 29 2" xfId="7510"/>
    <cellStyle name="Akcent 6 2 3" xfId="7511"/>
    <cellStyle name="Akcent 6 2 3 2" xfId="7512"/>
    <cellStyle name="Akcent 6 2 3 3" xfId="7513"/>
    <cellStyle name="Akcent 6 2 3 4" xfId="7514"/>
    <cellStyle name="Akcent 6 2 3 5" xfId="7515"/>
    <cellStyle name="Akcent 6 2 3 6" xfId="7516"/>
    <cellStyle name="Akcent 6 2 30" xfId="7517"/>
    <cellStyle name="Akcent 6 2 30 2" xfId="7518"/>
    <cellStyle name="Akcent 6 2 31" xfId="7519"/>
    <cellStyle name="Akcent 6 2 31 2" xfId="7520"/>
    <cellStyle name="Akcent 6 2 32" xfId="7521"/>
    <cellStyle name="Akcent 6 2 32 2" xfId="7522"/>
    <cellStyle name="Akcent 6 2 33" xfId="7523"/>
    <cellStyle name="Akcent 6 2 34" xfId="7524"/>
    <cellStyle name="Akcent 6 2 35" xfId="7525"/>
    <cellStyle name="Akcent 6 2 36" xfId="7526"/>
    <cellStyle name="Akcent 6 2 37" xfId="7527"/>
    <cellStyle name="Akcent 6 2 38" xfId="7528"/>
    <cellStyle name="Akcent 6 2 39" xfId="7529"/>
    <cellStyle name="Akcent 6 2 4" xfId="7530"/>
    <cellStyle name="Akcent 6 2 4 2" xfId="7531"/>
    <cellStyle name="Akcent 6 2 4 3" xfId="7532"/>
    <cellStyle name="Akcent 6 2 4 4" xfId="7533"/>
    <cellStyle name="Akcent 6 2 4 5" xfId="7534"/>
    <cellStyle name="Akcent 6 2 4 6" xfId="7535"/>
    <cellStyle name="Akcent 6 2 40" xfId="7536"/>
    <cellStyle name="Akcent 6 2 41" xfId="7537"/>
    <cellStyle name="Akcent 6 2 42" xfId="7538"/>
    <cellStyle name="Akcent 6 2 43" xfId="7539"/>
    <cellStyle name="Akcent 6 2 44" xfId="7540"/>
    <cellStyle name="Akcent 6 2 45" xfId="7541"/>
    <cellStyle name="Akcent 6 2 46" xfId="7542"/>
    <cellStyle name="Akcent 6 2 47" xfId="7543"/>
    <cellStyle name="Akcent 6 2 48" xfId="7544"/>
    <cellStyle name="Akcent 6 2 49" xfId="7545"/>
    <cellStyle name="Akcent 6 2 5" xfId="7546"/>
    <cellStyle name="Akcent 6 2 5 2" xfId="7547"/>
    <cellStyle name="Akcent 6 2 5 3" xfId="7548"/>
    <cellStyle name="Akcent 6 2 5 4" xfId="7549"/>
    <cellStyle name="Akcent 6 2 5 5" xfId="7550"/>
    <cellStyle name="Akcent 6 2 5 6" xfId="7551"/>
    <cellStyle name="Akcent 6 2 50" xfId="7552"/>
    <cellStyle name="Akcent 6 2 51" xfId="7553"/>
    <cellStyle name="Akcent 6 2 52" xfId="7554"/>
    <cellStyle name="Akcent 6 2 6" xfId="7555"/>
    <cellStyle name="Akcent 6 2 6 2" xfId="7556"/>
    <cellStyle name="Akcent 6 2 6 3" xfId="7557"/>
    <cellStyle name="Akcent 6 2 6 4" xfId="7558"/>
    <cellStyle name="Akcent 6 2 6 5" xfId="7559"/>
    <cellStyle name="Akcent 6 2 6 6" xfId="7560"/>
    <cellStyle name="Akcent 6 2 7" xfId="7561"/>
    <cellStyle name="Akcent 6 2 7 2" xfId="7562"/>
    <cellStyle name="Akcent 6 2 7 3" xfId="7563"/>
    <cellStyle name="Akcent 6 2 7 4" xfId="7564"/>
    <cellStyle name="Akcent 6 2 7 5" xfId="7565"/>
    <cellStyle name="Akcent 6 2 7 6" xfId="7566"/>
    <cellStyle name="Akcent 6 2 8" xfId="7567"/>
    <cellStyle name="Akcent 6 2 8 2" xfId="7568"/>
    <cellStyle name="Akcent 6 2 8 3" xfId="7569"/>
    <cellStyle name="Akcent 6 2 8 4" xfId="7570"/>
    <cellStyle name="Akcent 6 2 8 5" xfId="7571"/>
    <cellStyle name="Akcent 6 2 8 6" xfId="7572"/>
    <cellStyle name="Akcent 6 2 9" xfId="7573"/>
    <cellStyle name="Akcent 6 2 9 2" xfId="7574"/>
    <cellStyle name="Akcent 6 2 9 3" xfId="7575"/>
    <cellStyle name="Akcent 6 2 9 4" xfId="7576"/>
    <cellStyle name="Akcent 6 2 9 5" xfId="7577"/>
    <cellStyle name="Akcent 6 2 9 6" xfId="7578"/>
    <cellStyle name="Akcent 6 3" xfId="7579"/>
    <cellStyle name="Akcent 6 3 2" xfId="7580"/>
    <cellStyle name="Akcent 6 3 2 2" xfId="7581"/>
    <cellStyle name="Akcent 6 3 3" xfId="7582"/>
    <cellStyle name="Akcent 6 3 4" xfId="7583"/>
    <cellStyle name="Akcent 6 3 5" xfId="7584"/>
    <cellStyle name="Akcent 6 3 6" xfId="7585"/>
    <cellStyle name="Akcent 6 3 7" xfId="7586"/>
    <cellStyle name="Akcent 6 3 8" xfId="7587"/>
    <cellStyle name="Akcent 6 4" xfId="7588"/>
    <cellStyle name="Akcent 6 4 2" xfId="7589"/>
    <cellStyle name="Akcent 6 4 3" xfId="7590"/>
    <cellStyle name="Akcent 6 4 4" xfId="7591"/>
    <cellStyle name="Akcent 6 4 5" xfId="7592"/>
    <cellStyle name="Akcent 6 4 6" xfId="7593"/>
    <cellStyle name="Akcent 6 4 7" xfId="7594"/>
    <cellStyle name="Akcent 6 4 8" xfId="7595"/>
    <cellStyle name="Akcent 6 5" xfId="7596"/>
    <cellStyle name="Akcent 6 5 2" xfId="7597"/>
    <cellStyle name="Akcent 6 6" xfId="7598"/>
    <cellStyle name="Akcent 6 7" xfId="7599"/>
    <cellStyle name="Calc Currency (0)" xfId="7600"/>
    <cellStyle name="Comma 2" xfId="7601"/>
    <cellStyle name="Dane wejściowe 2" xfId="7602"/>
    <cellStyle name="Dane wejściowe 2 10" xfId="7603"/>
    <cellStyle name="Dane wejściowe 2 10 10" xfId="7604"/>
    <cellStyle name="Dane wejściowe 2 10 10 2" xfId="7605"/>
    <cellStyle name="Dane wejściowe 2 10 10 3" xfId="7606"/>
    <cellStyle name="Dane wejściowe 2 10 11" xfId="7607"/>
    <cellStyle name="Dane wejściowe 2 10 11 2" xfId="7608"/>
    <cellStyle name="Dane wejściowe 2 10 11 3" xfId="7609"/>
    <cellStyle name="Dane wejściowe 2 10 12" xfId="7610"/>
    <cellStyle name="Dane wejściowe 2 10 12 2" xfId="7611"/>
    <cellStyle name="Dane wejściowe 2 10 12 3" xfId="7612"/>
    <cellStyle name="Dane wejściowe 2 10 13" xfId="7613"/>
    <cellStyle name="Dane wejściowe 2 10 13 2" xfId="7614"/>
    <cellStyle name="Dane wejściowe 2 10 13 3" xfId="7615"/>
    <cellStyle name="Dane wejściowe 2 10 14" xfId="7616"/>
    <cellStyle name="Dane wejściowe 2 10 14 2" xfId="7617"/>
    <cellStyle name="Dane wejściowe 2 10 14 3" xfId="7618"/>
    <cellStyle name="Dane wejściowe 2 10 15" xfId="7619"/>
    <cellStyle name="Dane wejściowe 2 10 15 2" xfId="7620"/>
    <cellStyle name="Dane wejściowe 2 10 15 3" xfId="7621"/>
    <cellStyle name="Dane wejściowe 2 10 16" xfId="7622"/>
    <cellStyle name="Dane wejściowe 2 10 16 2" xfId="7623"/>
    <cellStyle name="Dane wejściowe 2 10 16 3" xfId="7624"/>
    <cellStyle name="Dane wejściowe 2 10 17" xfId="7625"/>
    <cellStyle name="Dane wejściowe 2 10 17 2" xfId="7626"/>
    <cellStyle name="Dane wejściowe 2 10 17 3" xfId="7627"/>
    <cellStyle name="Dane wejściowe 2 10 18" xfId="7628"/>
    <cellStyle name="Dane wejściowe 2 10 18 2" xfId="7629"/>
    <cellStyle name="Dane wejściowe 2 10 18 3" xfId="7630"/>
    <cellStyle name="Dane wejściowe 2 10 19" xfId="7631"/>
    <cellStyle name="Dane wejściowe 2 10 19 2" xfId="7632"/>
    <cellStyle name="Dane wejściowe 2 10 19 3" xfId="7633"/>
    <cellStyle name="Dane wejściowe 2 10 2" xfId="7634"/>
    <cellStyle name="Dane wejściowe 2 10 2 2" xfId="7635"/>
    <cellStyle name="Dane wejściowe 2 10 2 3" xfId="7636"/>
    <cellStyle name="Dane wejściowe 2 10 20" xfId="7637"/>
    <cellStyle name="Dane wejściowe 2 10 20 2" xfId="7638"/>
    <cellStyle name="Dane wejściowe 2 10 20 3" xfId="7639"/>
    <cellStyle name="Dane wejściowe 2 10 21" xfId="7640"/>
    <cellStyle name="Dane wejściowe 2 10 21 2" xfId="7641"/>
    <cellStyle name="Dane wejściowe 2 10 21 3" xfId="7642"/>
    <cellStyle name="Dane wejściowe 2 10 22" xfId="7643"/>
    <cellStyle name="Dane wejściowe 2 10 22 2" xfId="7644"/>
    <cellStyle name="Dane wejściowe 2 10 22 3" xfId="7645"/>
    <cellStyle name="Dane wejściowe 2 10 23" xfId="7646"/>
    <cellStyle name="Dane wejściowe 2 10 23 2" xfId="7647"/>
    <cellStyle name="Dane wejściowe 2 10 23 3" xfId="7648"/>
    <cellStyle name="Dane wejściowe 2 10 24" xfId="7649"/>
    <cellStyle name="Dane wejściowe 2 10 24 2" xfId="7650"/>
    <cellStyle name="Dane wejściowe 2 10 24 3" xfId="7651"/>
    <cellStyle name="Dane wejściowe 2 10 25" xfId="7652"/>
    <cellStyle name="Dane wejściowe 2 10 25 2" xfId="7653"/>
    <cellStyle name="Dane wejściowe 2 10 25 3" xfId="7654"/>
    <cellStyle name="Dane wejściowe 2 10 26" xfId="7655"/>
    <cellStyle name="Dane wejściowe 2 10 26 2" xfId="7656"/>
    <cellStyle name="Dane wejściowe 2 10 26 3" xfId="7657"/>
    <cellStyle name="Dane wejściowe 2 10 27" xfId="7658"/>
    <cellStyle name="Dane wejściowe 2 10 27 2" xfId="7659"/>
    <cellStyle name="Dane wejściowe 2 10 27 3" xfId="7660"/>
    <cellStyle name="Dane wejściowe 2 10 28" xfId="7661"/>
    <cellStyle name="Dane wejściowe 2 10 28 2" xfId="7662"/>
    <cellStyle name="Dane wejściowe 2 10 28 3" xfId="7663"/>
    <cellStyle name="Dane wejściowe 2 10 29" xfId="7664"/>
    <cellStyle name="Dane wejściowe 2 10 29 2" xfId="7665"/>
    <cellStyle name="Dane wejściowe 2 10 29 3" xfId="7666"/>
    <cellStyle name="Dane wejściowe 2 10 3" xfId="7667"/>
    <cellStyle name="Dane wejściowe 2 10 3 2" xfId="7668"/>
    <cellStyle name="Dane wejściowe 2 10 3 3" xfId="7669"/>
    <cellStyle name="Dane wejściowe 2 10 30" xfId="7670"/>
    <cellStyle name="Dane wejściowe 2 10 30 2" xfId="7671"/>
    <cellStyle name="Dane wejściowe 2 10 30 3" xfId="7672"/>
    <cellStyle name="Dane wejściowe 2 10 31" xfId="7673"/>
    <cellStyle name="Dane wejściowe 2 10 31 2" xfId="7674"/>
    <cellStyle name="Dane wejściowe 2 10 31 3" xfId="7675"/>
    <cellStyle name="Dane wejściowe 2 10 32" xfId="7676"/>
    <cellStyle name="Dane wejściowe 2 10 32 2" xfId="7677"/>
    <cellStyle name="Dane wejściowe 2 10 32 3" xfId="7678"/>
    <cellStyle name="Dane wejściowe 2 10 33" xfId="7679"/>
    <cellStyle name="Dane wejściowe 2 10 33 2" xfId="7680"/>
    <cellStyle name="Dane wejściowe 2 10 33 3" xfId="7681"/>
    <cellStyle name="Dane wejściowe 2 10 34" xfId="7682"/>
    <cellStyle name="Dane wejściowe 2 10 34 2" xfId="7683"/>
    <cellStyle name="Dane wejściowe 2 10 34 3" xfId="7684"/>
    <cellStyle name="Dane wejściowe 2 10 35" xfId="7685"/>
    <cellStyle name="Dane wejściowe 2 10 35 2" xfId="7686"/>
    <cellStyle name="Dane wejściowe 2 10 35 3" xfId="7687"/>
    <cellStyle name="Dane wejściowe 2 10 36" xfId="7688"/>
    <cellStyle name="Dane wejściowe 2 10 36 2" xfId="7689"/>
    <cellStyle name="Dane wejściowe 2 10 36 3" xfId="7690"/>
    <cellStyle name="Dane wejściowe 2 10 37" xfId="7691"/>
    <cellStyle name="Dane wejściowe 2 10 37 2" xfId="7692"/>
    <cellStyle name="Dane wejściowe 2 10 37 3" xfId="7693"/>
    <cellStyle name="Dane wejściowe 2 10 38" xfId="7694"/>
    <cellStyle name="Dane wejściowe 2 10 38 2" xfId="7695"/>
    <cellStyle name="Dane wejściowe 2 10 38 3" xfId="7696"/>
    <cellStyle name="Dane wejściowe 2 10 39" xfId="7697"/>
    <cellStyle name="Dane wejściowe 2 10 39 2" xfId="7698"/>
    <cellStyle name="Dane wejściowe 2 10 39 3" xfId="7699"/>
    <cellStyle name="Dane wejściowe 2 10 4" xfId="7700"/>
    <cellStyle name="Dane wejściowe 2 10 4 2" xfId="7701"/>
    <cellStyle name="Dane wejściowe 2 10 4 3" xfId="7702"/>
    <cellStyle name="Dane wejściowe 2 10 40" xfId="7703"/>
    <cellStyle name="Dane wejściowe 2 10 40 2" xfId="7704"/>
    <cellStyle name="Dane wejściowe 2 10 40 3" xfId="7705"/>
    <cellStyle name="Dane wejściowe 2 10 41" xfId="7706"/>
    <cellStyle name="Dane wejściowe 2 10 41 2" xfId="7707"/>
    <cellStyle name="Dane wejściowe 2 10 41 3" xfId="7708"/>
    <cellStyle name="Dane wejściowe 2 10 42" xfId="7709"/>
    <cellStyle name="Dane wejściowe 2 10 42 2" xfId="7710"/>
    <cellStyle name="Dane wejściowe 2 10 42 3" xfId="7711"/>
    <cellStyle name="Dane wejściowe 2 10 43" xfId="7712"/>
    <cellStyle name="Dane wejściowe 2 10 43 2" xfId="7713"/>
    <cellStyle name="Dane wejściowe 2 10 43 3" xfId="7714"/>
    <cellStyle name="Dane wejściowe 2 10 44" xfId="7715"/>
    <cellStyle name="Dane wejściowe 2 10 44 2" xfId="7716"/>
    <cellStyle name="Dane wejściowe 2 10 44 3" xfId="7717"/>
    <cellStyle name="Dane wejściowe 2 10 45" xfId="7718"/>
    <cellStyle name="Dane wejściowe 2 10 45 2" xfId="7719"/>
    <cellStyle name="Dane wejściowe 2 10 45 3" xfId="7720"/>
    <cellStyle name="Dane wejściowe 2 10 46" xfId="7721"/>
    <cellStyle name="Dane wejściowe 2 10 46 2" xfId="7722"/>
    <cellStyle name="Dane wejściowe 2 10 46 3" xfId="7723"/>
    <cellStyle name="Dane wejściowe 2 10 47" xfId="7724"/>
    <cellStyle name="Dane wejściowe 2 10 47 2" xfId="7725"/>
    <cellStyle name="Dane wejściowe 2 10 47 3" xfId="7726"/>
    <cellStyle name="Dane wejściowe 2 10 48" xfId="7727"/>
    <cellStyle name="Dane wejściowe 2 10 48 2" xfId="7728"/>
    <cellStyle name="Dane wejściowe 2 10 48 3" xfId="7729"/>
    <cellStyle name="Dane wejściowe 2 10 49" xfId="7730"/>
    <cellStyle name="Dane wejściowe 2 10 49 2" xfId="7731"/>
    <cellStyle name="Dane wejściowe 2 10 49 3" xfId="7732"/>
    <cellStyle name="Dane wejściowe 2 10 5" xfId="7733"/>
    <cellStyle name="Dane wejściowe 2 10 5 2" xfId="7734"/>
    <cellStyle name="Dane wejściowe 2 10 5 3" xfId="7735"/>
    <cellStyle name="Dane wejściowe 2 10 50" xfId="7736"/>
    <cellStyle name="Dane wejściowe 2 10 50 2" xfId="7737"/>
    <cellStyle name="Dane wejściowe 2 10 50 3" xfId="7738"/>
    <cellStyle name="Dane wejściowe 2 10 51" xfId="7739"/>
    <cellStyle name="Dane wejściowe 2 10 51 2" xfId="7740"/>
    <cellStyle name="Dane wejściowe 2 10 51 3" xfId="7741"/>
    <cellStyle name="Dane wejściowe 2 10 52" xfId="7742"/>
    <cellStyle name="Dane wejściowe 2 10 52 2" xfId="7743"/>
    <cellStyle name="Dane wejściowe 2 10 52 3" xfId="7744"/>
    <cellStyle name="Dane wejściowe 2 10 53" xfId="7745"/>
    <cellStyle name="Dane wejściowe 2 10 53 2" xfId="7746"/>
    <cellStyle name="Dane wejściowe 2 10 53 3" xfId="7747"/>
    <cellStyle name="Dane wejściowe 2 10 54" xfId="7748"/>
    <cellStyle name="Dane wejściowe 2 10 54 2" xfId="7749"/>
    <cellStyle name="Dane wejściowe 2 10 54 3" xfId="7750"/>
    <cellStyle name="Dane wejściowe 2 10 55" xfId="7751"/>
    <cellStyle name="Dane wejściowe 2 10 55 2" xfId="7752"/>
    <cellStyle name="Dane wejściowe 2 10 55 3" xfId="7753"/>
    <cellStyle name="Dane wejściowe 2 10 56" xfId="7754"/>
    <cellStyle name="Dane wejściowe 2 10 56 2" xfId="7755"/>
    <cellStyle name="Dane wejściowe 2 10 56 3" xfId="7756"/>
    <cellStyle name="Dane wejściowe 2 10 57" xfId="7757"/>
    <cellStyle name="Dane wejściowe 2 10 58" xfId="7758"/>
    <cellStyle name="Dane wejściowe 2 10 6" xfId="7759"/>
    <cellStyle name="Dane wejściowe 2 10 6 2" xfId="7760"/>
    <cellStyle name="Dane wejściowe 2 10 6 3" xfId="7761"/>
    <cellStyle name="Dane wejściowe 2 10 7" xfId="7762"/>
    <cellStyle name="Dane wejściowe 2 10 7 2" xfId="7763"/>
    <cellStyle name="Dane wejściowe 2 10 7 3" xfId="7764"/>
    <cellStyle name="Dane wejściowe 2 10 8" xfId="7765"/>
    <cellStyle name="Dane wejściowe 2 10 8 2" xfId="7766"/>
    <cellStyle name="Dane wejściowe 2 10 8 3" xfId="7767"/>
    <cellStyle name="Dane wejściowe 2 10 9" xfId="7768"/>
    <cellStyle name="Dane wejściowe 2 10 9 2" xfId="7769"/>
    <cellStyle name="Dane wejściowe 2 10 9 3" xfId="7770"/>
    <cellStyle name="Dane wejściowe 2 11" xfId="7771"/>
    <cellStyle name="Dane wejściowe 2 11 10" xfId="7772"/>
    <cellStyle name="Dane wejściowe 2 11 10 2" xfId="7773"/>
    <cellStyle name="Dane wejściowe 2 11 10 3" xfId="7774"/>
    <cellStyle name="Dane wejściowe 2 11 11" xfId="7775"/>
    <cellStyle name="Dane wejściowe 2 11 11 2" xfId="7776"/>
    <cellStyle name="Dane wejściowe 2 11 11 3" xfId="7777"/>
    <cellStyle name="Dane wejściowe 2 11 12" xfId="7778"/>
    <cellStyle name="Dane wejściowe 2 11 12 2" xfId="7779"/>
    <cellStyle name="Dane wejściowe 2 11 12 3" xfId="7780"/>
    <cellStyle name="Dane wejściowe 2 11 13" xfId="7781"/>
    <cellStyle name="Dane wejściowe 2 11 13 2" xfId="7782"/>
    <cellStyle name="Dane wejściowe 2 11 13 3" xfId="7783"/>
    <cellStyle name="Dane wejściowe 2 11 14" xfId="7784"/>
    <cellStyle name="Dane wejściowe 2 11 14 2" xfId="7785"/>
    <cellStyle name="Dane wejściowe 2 11 14 3" xfId="7786"/>
    <cellStyle name="Dane wejściowe 2 11 15" xfId="7787"/>
    <cellStyle name="Dane wejściowe 2 11 15 2" xfId="7788"/>
    <cellStyle name="Dane wejściowe 2 11 15 3" xfId="7789"/>
    <cellStyle name="Dane wejściowe 2 11 16" xfId="7790"/>
    <cellStyle name="Dane wejściowe 2 11 16 2" xfId="7791"/>
    <cellStyle name="Dane wejściowe 2 11 16 3" xfId="7792"/>
    <cellStyle name="Dane wejściowe 2 11 17" xfId="7793"/>
    <cellStyle name="Dane wejściowe 2 11 17 2" xfId="7794"/>
    <cellStyle name="Dane wejściowe 2 11 17 3" xfId="7795"/>
    <cellStyle name="Dane wejściowe 2 11 18" xfId="7796"/>
    <cellStyle name="Dane wejściowe 2 11 18 2" xfId="7797"/>
    <cellStyle name="Dane wejściowe 2 11 18 3" xfId="7798"/>
    <cellStyle name="Dane wejściowe 2 11 19" xfId="7799"/>
    <cellStyle name="Dane wejściowe 2 11 19 2" xfId="7800"/>
    <cellStyle name="Dane wejściowe 2 11 19 3" xfId="7801"/>
    <cellStyle name="Dane wejściowe 2 11 2" xfId="7802"/>
    <cellStyle name="Dane wejściowe 2 11 2 2" xfId="7803"/>
    <cellStyle name="Dane wejściowe 2 11 2 3" xfId="7804"/>
    <cellStyle name="Dane wejściowe 2 11 20" xfId="7805"/>
    <cellStyle name="Dane wejściowe 2 11 20 2" xfId="7806"/>
    <cellStyle name="Dane wejściowe 2 11 20 3" xfId="7807"/>
    <cellStyle name="Dane wejściowe 2 11 21" xfId="7808"/>
    <cellStyle name="Dane wejściowe 2 11 21 2" xfId="7809"/>
    <cellStyle name="Dane wejściowe 2 11 21 3" xfId="7810"/>
    <cellStyle name="Dane wejściowe 2 11 22" xfId="7811"/>
    <cellStyle name="Dane wejściowe 2 11 22 2" xfId="7812"/>
    <cellStyle name="Dane wejściowe 2 11 22 3" xfId="7813"/>
    <cellStyle name="Dane wejściowe 2 11 23" xfId="7814"/>
    <cellStyle name="Dane wejściowe 2 11 23 2" xfId="7815"/>
    <cellStyle name="Dane wejściowe 2 11 23 3" xfId="7816"/>
    <cellStyle name="Dane wejściowe 2 11 24" xfId="7817"/>
    <cellStyle name="Dane wejściowe 2 11 24 2" xfId="7818"/>
    <cellStyle name="Dane wejściowe 2 11 24 3" xfId="7819"/>
    <cellStyle name="Dane wejściowe 2 11 25" xfId="7820"/>
    <cellStyle name="Dane wejściowe 2 11 25 2" xfId="7821"/>
    <cellStyle name="Dane wejściowe 2 11 25 3" xfId="7822"/>
    <cellStyle name="Dane wejściowe 2 11 26" xfId="7823"/>
    <cellStyle name="Dane wejściowe 2 11 26 2" xfId="7824"/>
    <cellStyle name="Dane wejściowe 2 11 26 3" xfId="7825"/>
    <cellStyle name="Dane wejściowe 2 11 27" xfId="7826"/>
    <cellStyle name="Dane wejściowe 2 11 27 2" xfId="7827"/>
    <cellStyle name="Dane wejściowe 2 11 27 3" xfId="7828"/>
    <cellStyle name="Dane wejściowe 2 11 28" xfId="7829"/>
    <cellStyle name="Dane wejściowe 2 11 28 2" xfId="7830"/>
    <cellStyle name="Dane wejściowe 2 11 28 3" xfId="7831"/>
    <cellStyle name="Dane wejściowe 2 11 29" xfId="7832"/>
    <cellStyle name="Dane wejściowe 2 11 29 2" xfId="7833"/>
    <cellStyle name="Dane wejściowe 2 11 29 3" xfId="7834"/>
    <cellStyle name="Dane wejściowe 2 11 3" xfId="7835"/>
    <cellStyle name="Dane wejściowe 2 11 3 2" xfId="7836"/>
    <cellStyle name="Dane wejściowe 2 11 3 3" xfId="7837"/>
    <cellStyle name="Dane wejściowe 2 11 30" xfId="7838"/>
    <cellStyle name="Dane wejściowe 2 11 30 2" xfId="7839"/>
    <cellStyle name="Dane wejściowe 2 11 30 3" xfId="7840"/>
    <cellStyle name="Dane wejściowe 2 11 31" xfId="7841"/>
    <cellStyle name="Dane wejściowe 2 11 31 2" xfId="7842"/>
    <cellStyle name="Dane wejściowe 2 11 31 3" xfId="7843"/>
    <cellStyle name="Dane wejściowe 2 11 32" xfId="7844"/>
    <cellStyle name="Dane wejściowe 2 11 32 2" xfId="7845"/>
    <cellStyle name="Dane wejściowe 2 11 32 3" xfId="7846"/>
    <cellStyle name="Dane wejściowe 2 11 33" xfId="7847"/>
    <cellStyle name="Dane wejściowe 2 11 33 2" xfId="7848"/>
    <cellStyle name="Dane wejściowe 2 11 33 3" xfId="7849"/>
    <cellStyle name="Dane wejściowe 2 11 34" xfId="7850"/>
    <cellStyle name="Dane wejściowe 2 11 34 2" xfId="7851"/>
    <cellStyle name="Dane wejściowe 2 11 34 3" xfId="7852"/>
    <cellStyle name="Dane wejściowe 2 11 35" xfId="7853"/>
    <cellStyle name="Dane wejściowe 2 11 35 2" xfId="7854"/>
    <cellStyle name="Dane wejściowe 2 11 35 3" xfId="7855"/>
    <cellStyle name="Dane wejściowe 2 11 36" xfId="7856"/>
    <cellStyle name="Dane wejściowe 2 11 36 2" xfId="7857"/>
    <cellStyle name="Dane wejściowe 2 11 36 3" xfId="7858"/>
    <cellStyle name="Dane wejściowe 2 11 37" xfId="7859"/>
    <cellStyle name="Dane wejściowe 2 11 37 2" xfId="7860"/>
    <cellStyle name="Dane wejściowe 2 11 37 3" xfId="7861"/>
    <cellStyle name="Dane wejściowe 2 11 38" xfId="7862"/>
    <cellStyle name="Dane wejściowe 2 11 38 2" xfId="7863"/>
    <cellStyle name="Dane wejściowe 2 11 38 3" xfId="7864"/>
    <cellStyle name="Dane wejściowe 2 11 39" xfId="7865"/>
    <cellStyle name="Dane wejściowe 2 11 39 2" xfId="7866"/>
    <cellStyle name="Dane wejściowe 2 11 39 3" xfId="7867"/>
    <cellStyle name="Dane wejściowe 2 11 4" xfId="7868"/>
    <cellStyle name="Dane wejściowe 2 11 4 2" xfId="7869"/>
    <cellStyle name="Dane wejściowe 2 11 4 3" xfId="7870"/>
    <cellStyle name="Dane wejściowe 2 11 40" xfId="7871"/>
    <cellStyle name="Dane wejściowe 2 11 40 2" xfId="7872"/>
    <cellStyle name="Dane wejściowe 2 11 40 3" xfId="7873"/>
    <cellStyle name="Dane wejściowe 2 11 41" xfId="7874"/>
    <cellStyle name="Dane wejściowe 2 11 41 2" xfId="7875"/>
    <cellStyle name="Dane wejściowe 2 11 41 3" xfId="7876"/>
    <cellStyle name="Dane wejściowe 2 11 42" xfId="7877"/>
    <cellStyle name="Dane wejściowe 2 11 42 2" xfId="7878"/>
    <cellStyle name="Dane wejściowe 2 11 42 3" xfId="7879"/>
    <cellStyle name="Dane wejściowe 2 11 43" xfId="7880"/>
    <cellStyle name="Dane wejściowe 2 11 43 2" xfId="7881"/>
    <cellStyle name="Dane wejściowe 2 11 43 3" xfId="7882"/>
    <cellStyle name="Dane wejściowe 2 11 44" xfId="7883"/>
    <cellStyle name="Dane wejściowe 2 11 44 2" xfId="7884"/>
    <cellStyle name="Dane wejściowe 2 11 44 3" xfId="7885"/>
    <cellStyle name="Dane wejściowe 2 11 45" xfId="7886"/>
    <cellStyle name="Dane wejściowe 2 11 45 2" xfId="7887"/>
    <cellStyle name="Dane wejściowe 2 11 45 3" xfId="7888"/>
    <cellStyle name="Dane wejściowe 2 11 46" xfId="7889"/>
    <cellStyle name="Dane wejściowe 2 11 46 2" xfId="7890"/>
    <cellStyle name="Dane wejściowe 2 11 46 3" xfId="7891"/>
    <cellStyle name="Dane wejściowe 2 11 47" xfId="7892"/>
    <cellStyle name="Dane wejściowe 2 11 47 2" xfId="7893"/>
    <cellStyle name="Dane wejściowe 2 11 47 3" xfId="7894"/>
    <cellStyle name="Dane wejściowe 2 11 48" xfId="7895"/>
    <cellStyle name="Dane wejściowe 2 11 48 2" xfId="7896"/>
    <cellStyle name="Dane wejściowe 2 11 48 3" xfId="7897"/>
    <cellStyle name="Dane wejściowe 2 11 49" xfId="7898"/>
    <cellStyle name="Dane wejściowe 2 11 49 2" xfId="7899"/>
    <cellStyle name="Dane wejściowe 2 11 49 3" xfId="7900"/>
    <cellStyle name="Dane wejściowe 2 11 5" xfId="7901"/>
    <cellStyle name="Dane wejściowe 2 11 5 2" xfId="7902"/>
    <cellStyle name="Dane wejściowe 2 11 5 3" xfId="7903"/>
    <cellStyle name="Dane wejściowe 2 11 50" xfId="7904"/>
    <cellStyle name="Dane wejściowe 2 11 50 2" xfId="7905"/>
    <cellStyle name="Dane wejściowe 2 11 50 3" xfId="7906"/>
    <cellStyle name="Dane wejściowe 2 11 51" xfId="7907"/>
    <cellStyle name="Dane wejściowe 2 11 51 2" xfId="7908"/>
    <cellStyle name="Dane wejściowe 2 11 51 3" xfId="7909"/>
    <cellStyle name="Dane wejściowe 2 11 52" xfId="7910"/>
    <cellStyle name="Dane wejściowe 2 11 52 2" xfId="7911"/>
    <cellStyle name="Dane wejściowe 2 11 52 3" xfId="7912"/>
    <cellStyle name="Dane wejściowe 2 11 53" xfId="7913"/>
    <cellStyle name="Dane wejściowe 2 11 53 2" xfId="7914"/>
    <cellStyle name="Dane wejściowe 2 11 53 3" xfId="7915"/>
    <cellStyle name="Dane wejściowe 2 11 54" xfId="7916"/>
    <cellStyle name="Dane wejściowe 2 11 54 2" xfId="7917"/>
    <cellStyle name="Dane wejściowe 2 11 54 3" xfId="7918"/>
    <cellStyle name="Dane wejściowe 2 11 55" xfId="7919"/>
    <cellStyle name="Dane wejściowe 2 11 55 2" xfId="7920"/>
    <cellStyle name="Dane wejściowe 2 11 55 3" xfId="7921"/>
    <cellStyle name="Dane wejściowe 2 11 56" xfId="7922"/>
    <cellStyle name="Dane wejściowe 2 11 56 2" xfId="7923"/>
    <cellStyle name="Dane wejściowe 2 11 56 3" xfId="7924"/>
    <cellStyle name="Dane wejściowe 2 11 57" xfId="7925"/>
    <cellStyle name="Dane wejściowe 2 11 58" xfId="7926"/>
    <cellStyle name="Dane wejściowe 2 11 6" xfId="7927"/>
    <cellStyle name="Dane wejściowe 2 11 6 2" xfId="7928"/>
    <cellStyle name="Dane wejściowe 2 11 6 3" xfId="7929"/>
    <cellStyle name="Dane wejściowe 2 11 7" xfId="7930"/>
    <cellStyle name="Dane wejściowe 2 11 7 2" xfId="7931"/>
    <cellStyle name="Dane wejściowe 2 11 7 3" xfId="7932"/>
    <cellStyle name="Dane wejściowe 2 11 8" xfId="7933"/>
    <cellStyle name="Dane wejściowe 2 11 8 2" xfId="7934"/>
    <cellStyle name="Dane wejściowe 2 11 8 3" xfId="7935"/>
    <cellStyle name="Dane wejściowe 2 11 9" xfId="7936"/>
    <cellStyle name="Dane wejściowe 2 11 9 2" xfId="7937"/>
    <cellStyle name="Dane wejściowe 2 11 9 3" xfId="7938"/>
    <cellStyle name="Dane wejściowe 2 12" xfId="7939"/>
    <cellStyle name="Dane wejściowe 2 12 10" xfId="7940"/>
    <cellStyle name="Dane wejściowe 2 12 10 2" xfId="7941"/>
    <cellStyle name="Dane wejściowe 2 12 10 3" xfId="7942"/>
    <cellStyle name="Dane wejściowe 2 12 11" xfId="7943"/>
    <cellStyle name="Dane wejściowe 2 12 11 2" xfId="7944"/>
    <cellStyle name="Dane wejściowe 2 12 11 3" xfId="7945"/>
    <cellStyle name="Dane wejściowe 2 12 12" xfId="7946"/>
    <cellStyle name="Dane wejściowe 2 12 12 2" xfId="7947"/>
    <cellStyle name="Dane wejściowe 2 12 12 3" xfId="7948"/>
    <cellStyle name="Dane wejściowe 2 12 13" xfId="7949"/>
    <cellStyle name="Dane wejściowe 2 12 13 2" xfId="7950"/>
    <cellStyle name="Dane wejściowe 2 12 13 3" xfId="7951"/>
    <cellStyle name="Dane wejściowe 2 12 14" xfId="7952"/>
    <cellStyle name="Dane wejściowe 2 12 14 2" xfId="7953"/>
    <cellStyle name="Dane wejściowe 2 12 14 3" xfId="7954"/>
    <cellStyle name="Dane wejściowe 2 12 15" xfId="7955"/>
    <cellStyle name="Dane wejściowe 2 12 15 2" xfId="7956"/>
    <cellStyle name="Dane wejściowe 2 12 15 3" xfId="7957"/>
    <cellStyle name="Dane wejściowe 2 12 16" xfId="7958"/>
    <cellStyle name="Dane wejściowe 2 12 16 2" xfId="7959"/>
    <cellStyle name="Dane wejściowe 2 12 16 3" xfId="7960"/>
    <cellStyle name="Dane wejściowe 2 12 17" xfId="7961"/>
    <cellStyle name="Dane wejściowe 2 12 17 2" xfId="7962"/>
    <cellStyle name="Dane wejściowe 2 12 17 3" xfId="7963"/>
    <cellStyle name="Dane wejściowe 2 12 18" xfId="7964"/>
    <cellStyle name="Dane wejściowe 2 12 18 2" xfId="7965"/>
    <cellStyle name="Dane wejściowe 2 12 18 3" xfId="7966"/>
    <cellStyle name="Dane wejściowe 2 12 19" xfId="7967"/>
    <cellStyle name="Dane wejściowe 2 12 19 2" xfId="7968"/>
    <cellStyle name="Dane wejściowe 2 12 19 3" xfId="7969"/>
    <cellStyle name="Dane wejściowe 2 12 2" xfId="7970"/>
    <cellStyle name="Dane wejściowe 2 12 2 2" xfId="7971"/>
    <cellStyle name="Dane wejściowe 2 12 2 3" xfId="7972"/>
    <cellStyle name="Dane wejściowe 2 12 20" xfId="7973"/>
    <cellStyle name="Dane wejściowe 2 12 20 2" xfId="7974"/>
    <cellStyle name="Dane wejściowe 2 12 20 3" xfId="7975"/>
    <cellStyle name="Dane wejściowe 2 12 21" xfId="7976"/>
    <cellStyle name="Dane wejściowe 2 12 21 2" xfId="7977"/>
    <cellStyle name="Dane wejściowe 2 12 21 3" xfId="7978"/>
    <cellStyle name="Dane wejściowe 2 12 22" xfId="7979"/>
    <cellStyle name="Dane wejściowe 2 12 22 2" xfId="7980"/>
    <cellStyle name="Dane wejściowe 2 12 22 3" xfId="7981"/>
    <cellStyle name="Dane wejściowe 2 12 23" xfId="7982"/>
    <cellStyle name="Dane wejściowe 2 12 23 2" xfId="7983"/>
    <cellStyle name="Dane wejściowe 2 12 23 3" xfId="7984"/>
    <cellStyle name="Dane wejściowe 2 12 24" xfId="7985"/>
    <cellStyle name="Dane wejściowe 2 12 24 2" xfId="7986"/>
    <cellStyle name="Dane wejściowe 2 12 24 3" xfId="7987"/>
    <cellStyle name="Dane wejściowe 2 12 25" xfId="7988"/>
    <cellStyle name="Dane wejściowe 2 12 25 2" xfId="7989"/>
    <cellStyle name="Dane wejściowe 2 12 25 3" xfId="7990"/>
    <cellStyle name="Dane wejściowe 2 12 26" xfId="7991"/>
    <cellStyle name="Dane wejściowe 2 12 26 2" xfId="7992"/>
    <cellStyle name="Dane wejściowe 2 12 26 3" xfId="7993"/>
    <cellStyle name="Dane wejściowe 2 12 27" xfId="7994"/>
    <cellStyle name="Dane wejściowe 2 12 27 2" xfId="7995"/>
    <cellStyle name="Dane wejściowe 2 12 27 3" xfId="7996"/>
    <cellStyle name="Dane wejściowe 2 12 28" xfId="7997"/>
    <cellStyle name="Dane wejściowe 2 12 28 2" xfId="7998"/>
    <cellStyle name="Dane wejściowe 2 12 28 3" xfId="7999"/>
    <cellStyle name="Dane wejściowe 2 12 29" xfId="8000"/>
    <cellStyle name="Dane wejściowe 2 12 29 2" xfId="8001"/>
    <cellStyle name="Dane wejściowe 2 12 29 3" xfId="8002"/>
    <cellStyle name="Dane wejściowe 2 12 3" xfId="8003"/>
    <cellStyle name="Dane wejściowe 2 12 3 2" xfId="8004"/>
    <cellStyle name="Dane wejściowe 2 12 3 3" xfId="8005"/>
    <cellStyle name="Dane wejściowe 2 12 30" xfId="8006"/>
    <cellStyle name="Dane wejściowe 2 12 30 2" xfId="8007"/>
    <cellStyle name="Dane wejściowe 2 12 30 3" xfId="8008"/>
    <cellStyle name="Dane wejściowe 2 12 31" xfId="8009"/>
    <cellStyle name="Dane wejściowe 2 12 31 2" xfId="8010"/>
    <cellStyle name="Dane wejściowe 2 12 31 3" xfId="8011"/>
    <cellStyle name="Dane wejściowe 2 12 32" xfId="8012"/>
    <cellStyle name="Dane wejściowe 2 12 32 2" xfId="8013"/>
    <cellStyle name="Dane wejściowe 2 12 32 3" xfId="8014"/>
    <cellStyle name="Dane wejściowe 2 12 33" xfId="8015"/>
    <cellStyle name="Dane wejściowe 2 12 33 2" xfId="8016"/>
    <cellStyle name="Dane wejściowe 2 12 33 3" xfId="8017"/>
    <cellStyle name="Dane wejściowe 2 12 34" xfId="8018"/>
    <cellStyle name="Dane wejściowe 2 12 34 2" xfId="8019"/>
    <cellStyle name="Dane wejściowe 2 12 34 3" xfId="8020"/>
    <cellStyle name="Dane wejściowe 2 12 35" xfId="8021"/>
    <cellStyle name="Dane wejściowe 2 12 35 2" xfId="8022"/>
    <cellStyle name="Dane wejściowe 2 12 35 3" xfId="8023"/>
    <cellStyle name="Dane wejściowe 2 12 36" xfId="8024"/>
    <cellStyle name="Dane wejściowe 2 12 36 2" xfId="8025"/>
    <cellStyle name="Dane wejściowe 2 12 36 3" xfId="8026"/>
    <cellStyle name="Dane wejściowe 2 12 37" xfId="8027"/>
    <cellStyle name="Dane wejściowe 2 12 37 2" xfId="8028"/>
    <cellStyle name="Dane wejściowe 2 12 37 3" xfId="8029"/>
    <cellStyle name="Dane wejściowe 2 12 38" xfId="8030"/>
    <cellStyle name="Dane wejściowe 2 12 38 2" xfId="8031"/>
    <cellStyle name="Dane wejściowe 2 12 38 3" xfId="8032"/>
    <cellStyle name="Dane wejściowe 2 12 39" xfId="8033"/>
    <cellStyle name="Dane wejściowe 2 12 39 2" xfId="8034"/>
    <cellStyle name="Dane wejściowe 2 12 39 3" xfId="8035"/>
    <cellStyle name="Dane wejściowe 2 12 4" xfId="8036"/>
    <cellStyle name="Dane wejściowe 2 12 4 2" xfId="8037"/>
    <cellStyle name="Dane wejściowe 2 12 4 3" xfId="8038"/>
    <cellStyle name="Dane wejściowe 2 12 40" xfId="8039"/>
    <cellStyle name="Dane wejściowe 2 12 40 2" xfId="8040"/>
    <cellStyle name="Dane wejściowe 2 12 40 3" xfId="8041"/>
    <cellStyle name="Dane wejściowe 2 12 41" xfId="8042"/>
    <cellStyle name="Dane wejściowe 2 12 41 2" xfId="8043"/>
    <cellStyle name="Dane wejściowe 2 12 41 3" xfId="8044"/>
    <cellStyle name="Dane wejściowe 2 12 42" xfId="8045"/>
    <cellStyle name="Dane wejściowe 2 12 42 2" xfId="8046"/>
    <cellStyle name="Dane wejściowe 2 12 42 3" xfId="8047"/>
    <cellStyle name="Dane wejściowe 2 12 43" xfId="8048"/>
    <cellStyle name="Dane wejściowe 2 12 43 2" xfId="8049"/>
    <cellStyle name="Dane wejściowe 2 12 43 3" xfId="8050"/>
    <cellStyle name="Dane wejściowe 2 12 44" xfId="8051"/>
    <cellStyle name="Dane wejściowe 2 12 44 2" xfId="8052"/>
    <cellStyle name="Dane wejściowe 2 12 44 3" xfId="8053"/>
    <cellStyle name="Dane wejściowe 2 12 45" xfId="8054"/>
    <cellStyle name="Dane wejściowe 2 12 45 2" xfId="8055"/>
    <cellStyle name="Dane wejściowe 2 12 45 3" xfId="8056"/>
    <cellStyle name="Dane wejściowe 2 12 46" xfId="8057"/>
    <cellStyle name="Dane wejściowe 2 12 46 2" xfId="8058"/>
    <cellStyle name="Dane wejściowe 2 12 46 3" xfId="8059"/>
    <cellStyle name="Dane wejściowe 2 12 47" xfId="8060"/>
    <cellStyle name="Dane wejściowe 2 12 47 2" xfId="8061"/>
    <cellStyle name="Dane wejściowe 2 12 47 3" xfId="8062"/>
    <cellStyle name="Dane wejściowe 2 12 48" xfId="8063"/>
    <cellStyle name="Dane wejściowe 2 12 48 2" xfId="8064"/>
    <cellStyle name="Dane wejściowe 2 12 48 3" xfId="8065"/>
    <cellStyle name="Dane wejściowe 2 12 49" xfId="8066"/>
    <cellStyle name="Dane wejściowe 2 12 49 2" xfId="8067"/>
    <cellStyle name="Dane wejściowe 2 12 49 3" xfId="8068"/>
    <cellStyle name="Dane wejściowe 2 12 5" xfId="8069"/>
    <cellStyle name="Dane wejściowe 2 12 5 2" xfId="8070"/>
    <cellStyle name="Dane wejściowe 2 12 5 3" xfId="8071"/>
    <cellStyle name="Dane wejściowe 2 12 50" xfId="8072"/>
    <cellStyle name="Dane wejściowe 2 12 50 2" xfId="8073"/>
    <cellStyle name="Dane wejściowe 2 12 50 3" xfId="8074"/>
    <cellStyle name="Dane wejściowe 2 12 51" xfId="8075"/>
    <cellStyle name="Dane wejściowe 2 12 51 2" xfId="8076"/>
    <cellStyle name="Dane wejściowe 2 12 51 3" xfId="8077"/>
    <cellStyle name="Dane wejściowe 2 12 52" xfId="8078"/>
    <cellStyle name="Dane wejściowe 2 12 52 2" xfId="8079"/>
    <cellStyle name="Dane wejściowe 2 12 52 3" xfId="8080"/>
    <cellStyle name="Dane wejściowe 2 12 53" xfId="8081"/>
    <cellStyle name="Dane wejściowe 2 12 53 2" xfId="8082"/>
    <cellStyle name="Dane wejściowe 2 12 53 3" xfId="8083"/>
    <cellStyle name="Dane wejściowe 2 12 54" xfId="8084"/>
    <cellStyle name="Dane wejściowe 2 12 54 2" xfId="8085"/>
    <cellStyle name="Dane wejściowe 2 12 54 3" xfId="8086"/>
    <cellStyle name="Dane wejściowe 2 12 55" xfId="8087"/>
    <cellStyle name="Dane wejściowe 2 12 55 2" xfId="8088"/>
    <cellStyle name="Dane wejściowe 2 12 55 3" xfId="8089"/>
    <cellStyle name="Dane wejściowe 2 12 56" xfId="8090"/>
    <cellStyle name="Dane wejściowe 2 12 56 2" xfId="8091"/>
    <cellStyle name="Dane wejściowe 2 12 56 3" xfId="8092"/>
    <cellStyle name="Dane wejściowe 2 12 57" xfId="8093"/>
    <cellStyle name="Dane wejściowe 2 12 58" xfId="8094"/>
    <cellStyle name="Dane wejściowe 2 12 6" xfId="8095"/>
    <cellStyle name="Dane wejściowe 2 12 6 2" xfId="8096"/>
    <cellStyle name="Dane wejściowe 2 12 6 3" xfId="8097"/>
    <cellStyle name="Dane wejściowe 2 12 7" xfId="8098"/>
    <cellStyle name="Dane wejściowe 2 12 7 2" xfId="8099"/>
    <cellStyle name="Dane wejściowe 2 12 7 3" xfId="8100"/>
    <cellStyle name="Dane wejściowe 2 12 8" xfId="8101"/>
    <cellStyle name="Dane wejściowe 2 12 8 2" xfId="8102"/>
    <cellStyle name="Dane wejściowe 2 12 8 3" xfId="8103"/>
    <cellStyle name="Dane wejściowe 2 12 9" xfId="8104"/>
    <cellStyle name="Dane wejściowe 2 12 9 2" xfId="8105"/>
    <cellStyle name="Dane wejściowe 2 12 9 3" xfId="8106"/>
    <cellStyle name="Dane wejściowe 2 13" xfId="8107"/>
    <cellStyle name="Dane wejściowe 2 13 10" xfId="8108"/>
    <cellStyle name="Dane wejściowe 2 13 10 2" xfId="8109"/>
    <cellStyle name="Dane wejściowe 2 13 10 3" xfId="8110"/>
    <cellStyle name="Dane wejściowe 2 13 11" xfId="8111"/>
    <cellStyle name="Dane wejściowe 2 13 11 2" xfId="8112"/>
    <cellStyle name="Dane wejściowe 2 13 11 3" xfId="8113"/>
    <cellStyle name="Dane wejściowe 2 13 12" xfId="8114"/>
    <cellStyle name="Dane wejściowe 2 13 12 2" xfId="8115"/>
    <cellStyle name="Dane wejściowe 2 13 12 3" xfId="8116"/>
    <cellStyle name="Dane wejściowe 2 13 13" xfId="8117"/>
    <cellStyle name="Dane wejściowe 2 13 13 2" xfId="8118"/>
    <cellStyle name="Dane wejściowe 2 13 13 3" xfId="8119"/>
    <cellStyle name="Dane wejściowe 2 13 14" xfId="8120"/>
    <cellStyle name="Dane wejściowe 2 13 14 2" xfId="8121"/>
    <cellStyle name="Dane wejściowe 2 13 14 3" xfId="8122"/>
    <cellStyle name="Dane wejściowe 2 13 15" xfId="8123"/>
    <cellStyle name="Dane wejściowe 2 13 15 2" xfId="8124"/>
    <cellStyle name="Dane wejściowe 2 13 15 3" xfId="8125"/>
    <cellStyle name="Dane wejściowe 2 13 16" xfId="8126"/>
    <cellStyle name="Dane wejściowe 2 13 16 2" xfId="8127"/>
    <cellStyle name="Dane wejściowe 2 13 16 3" xfId="8128"/>
    <cellStyle name="Dane wejściowe 2 13 17" xfId="8129"/>
    <cellStyle name="Dane wejściowe 2 13 17 2" xfId="8130"/>
    <cellStyle name="Dane wejściowe 2 13 17 3" xfId="8131"/>
    <cellStyle name="Dane wejściowe 2 13 18" xfId="8132"/>
    <cellStyle name="Dane wejściowe 2 13 18 2" xfId="8133"/>
    <cellStyle name="Dane wejściowe 2 13 18 3" xfId="8134"/>
    <cellStyle name="Dane wejściowe 2 13 19" xfId="8135"/>
    <cellStyle name="Dane wejściowe 2 13 19 2" xfId="8136"/>
    <cellStyle name="Dane wejściowe 2 13 19 3" xfId="8137"/>
    <cellStyle name="Dane wejściowe 2 13 19 4" xfId="8138"/>
    <cellStyle name="Dane wejściowe 2 13 2" xfId="8139"/>
    <cellStyle name="Dane wejściowe 2 13 2 2" xfId="8140"/>
    <cellStyle name="Dane wejściowe 2 13 2 3" xfId="8141"/>
    <cellStyle name="Dane wejściowe 2 13 2 4" xfId="8142"/>
    <cellStyle name="Dane wejściowe 2 13 20" xfId="8143"/>
    <cellStyle name="Dane wejściowe 2 13 20 2" xfId="8144"/>
    <cellStyle name="Dane wejściowe 2 13 20 3" xfId="8145"/>
    <cellStyle name="Dane wejściowe 2 13 20 4" xfId="8146"/>
    <cellStyle name="Dane wejściowe 2 13 21" xfId="8147"/>
    <cellStyle name="Dane wejściowe 2 13 21 2" xfId="8148"/>
    <cellStyle name="Dane wejściowe 2 13 21 3" xfId="8149"/>
    <cellStyle name="Dane wejściowe 2 13 22" xfId="8150"/>
    <cellStyle name="Dane wejściowe 2 13 22 2" xfId="8151"/>
    <cellStyle name="Dane wejściowe 2 13 22 3" xfId="8152"/>
    <cellStyle name="Dane wejściowe 2 13 23" xfId="8153"/>
    <cellStyle name="Dane wejściowe 2 13 23 2" xfId="8154"/>
    <cellStyle name="Dane wejściowe 2 13 23 3" xfId="8155"/>
    <cellStyle name="Dane wejściowe 2 13 24" xfId="8156"/>
    <cellStyle name="Dane wejściowe 2 13 24 2" xfId="8157"/>
    <cellStyle name="Dane wejściowe 2 13 24 3" xfId="8158"/>
    <cellStyle name="Dane wejściowe 2 13 25" xfId="8159"/>
    <cellStyle name="Dane wejściowe 2 13 25 2" xfId="8160"/>
    <cellStyle name="Dane wejściowe 2 13 25 3" xfId="8161"/>
    <cellStyle name="Dane wejściowe 2 13 26" xfId="8162"/>
    <cellStyle name="Dane wejściowe 2 13 26 2" xfId="8163"/>
    <cellStyle name="Dane wejściowe 2 13 26 3" xfId="8164"/>
    <cellStyle name="Dane wejściowe 2 13 27" xfId="8165"/>
    <cellStyle name="Dane wejściowe 2 13 27 2" xfId="8166"/>
    <cellStyle name="Dane wejściowe 2 13 27 3" xfId="8167"/>
    <cellStyle name="Dane wejściowe 2 13 28" xfId="8168"/>
    <cellStyle name="Dane wejściowe 2 13 28 2" xfId="8169"/>
    <cellStyle name="Dane wejściowe 2 13 28 3" xfId="8170"/>
    <cellStyle name="Dane wejściowe 2 13 29" xfId="8171"/>
    <cellStyle name="Dane wejściowe 2 13 29 2" xfId="8172"/>
    <cellStyle name="Dane wejściowe 2 13 29 3" xfId="8173"/>
    <cellStyle name="Dane wejściowe 2 13 3" xfId="8174"/>
    <cellStyle name="Dane wejściowe 2 13 3 2" xfId="8175"/>
    <cellStyle name="Dane wejściowe 2 13 3 3" xfId="8176"/>
    <cellStyle name="Dane wejściowe 2 13 3 4" xfId="8177"/>
    <cellStyle name="Dane wejściowe 2 13 30" xfId="8178"/>
    <cellStyle name="Dane wejściowe 2 13 30 2" xfId="8179"/>
    <cellStyle name="Dane wejściowe 2 13 30 3" xfId="8180"/>
    <cellStyle name="Dane wejściowe 2 13 31" xfId="8181"/>
    <cellStyle name="Dane wejściowe 2 13 31 2" xfId="8182"/>
    <cellStyle name="Dane wejściowe 2 13 31 3" xfId="8183"/>
    <cellStyle name="Dane wejściowe 2 13 32" xfId="8184"/>
    <cellStyle name="Dane wejściowe 2 13 32 2" xfId="8185"/>
    <cellStyle name="Dane wejściowe 2 13 32 3" xfId="8186"/>
    <cellStyle name="Dane wejściowe 2 13 33" xfId="8187"/>
    <cellStyle name="Dane wejściowe 2 13 33 2" xfId="8188"/>
    <cellStyle name="Dane wejściowe 2 13 33 3" xfId="8189"/>
    <cellStyle name="Dane wejściowe 2 13 34" xfId="8190"/>
    <cellStyle name="Dane wejściowe 2 13 34 2" xfId="8191"/>
    <cellStyle name="Dane wejściowe 2 13 34 3" xfId="8192"/>
    <cellStyle name="Dane wejściowe 2 13 35" xfId="8193"/>
    <cellStyle name="Dane wejściowe 2 13 35 2" xfId="8194"/>
    <cellStyle name="Dane wejściowe 2 13 35 3" xfId="8195"/>
    <cellStyle name="Dane wejściowe 2 13 36" xfId="8196"/>
    <cellStyle name="Dane wejściowe 2 13 36 2" xfId="8197"/>
    <cellStyle name="Dane wejściowe 2 13 36 3" xfId="8198"/>
    <cellStyle name="Dane wejściowe 2 13 37" xfId="8199"/>
    <cellStyle name="Dane wejściowe 2 13 37 2" xfId="8200"/>
    <cellStyle name="Dane wejściowe 2 13 37 3" xfId="8201"/>
    <cellStyle name="Dane wejściowe 2 13 38" xfId="8202"/>
    <cellStyle name="Dane wejściowe 2 13 38 2" xfId="8203"/>
    <cellStyle name="Dane wejściowe 2 13 38 3" xfId="8204"/>
    <cellStyle name="Dane wejściowe 2 13 39" xfId="8205"/>
    <cellStyle name="Dane wejściowe 2 13 39 2" xfId="8206"/>
    <cellStyle name="Dane wejściowe 2 13 39 3" xfId="8207"/>
    <cellStyle name="Dane wejściowe 2 13 4" xfId="8208"/>
    <cellStyle name="Dane wejściowe 2 13 4 2" xfId="8209"/>
    <cellStyle name="Dane wejściowe 2 13 4 3" xfId="8210"/>
    <cellStyle name="Dane wejściowe 2 13 4 4" xfId="8211"/>
    <cellStyle name="Dane wejściowe 2 13 40" xfId="8212"/>
    <cellStyle name="Dane wejściowe 2 13 40 2" xfId="8213"/>
    <cellStyle name="Dane wejściowe 2 13 40 3" xfId="8214"/>
    <cellStyle name="Dane wejściowe 2 13 41" xfId="8215"/>
    <cellStyle name="Dane wejściowe 2 13 41 2" xfId="8216"/>
    <cellStyle name="Dane wejściowe 2 13 41 3" xfId="8217"/>
    <cellStyle name="Dane wejściowe 2 13 42" xfId="8218"/>
    <cellStyle name="Dane wejściowe 2 13 42 2" xfId="8219"/>
    <cellStyle name="Dane wejściowe 2 13 42 3" xfId="8220"/>
    <cellStyle name="Dane wejściowe 2 13 43" xfId="8221"/>
    <cellStyle name="Dane wejściowe 2 13 43 2" xfId="8222"/>
    <cellStyle name="Dane wejściowe 2 13 43 3" xfId="8223"/>
    <cellStyle name="Dane wejściowe 2 13 44" xfId="8224"/>
    <cellStyle name="Dane wejściowe 2 13 44 2" xfId="8225"/>
    <cellStyle name="Dane wejściowe 2 13 44 3" xfId="8226"/>
    <cellStyle name="Dane wejściowe 2 13 45" xfId="8227"/>
    <cellStyle name="Dane wejściowe 2 13 45 2" xfId="8228"/>
    <cellStyle name="Dane wejściowe 2 13 45 3" xfId="8229"/>
    <cellStyle name="Dane wejściowe 2 13 46" xfId="8230"/>
    <cellStyle name="Dane wejściowe 2 13 46 2" xfId="8231"/>
    <cellStyle name="Dane wejściowe 2 13 46 3" xfId="8232"/>
    <cellStyle name="Dane wejściowe 2 13 47" xfId="8233"/>
    <cellStyle name="Dane wejściowe 2 13 47 2" xfId="8234"/>
    <cellStyle name="Dane wejściowe 2 13 47 3" xfId="8235"/>
    <cellStyle name="Dane wejściowe 2 13 48" xfId="8236"/>
    <cellStyle name="Dane wejściowe 2 13 48 2" xfId="8237"/>
    <cellStyle name="Dane wejściowe 2 13 48 3" xfId="8238"/>
    <cellStyle name="Dane wejściowe 2 13 49" xfId="8239"/>
    <cellStyle name="Dane wejściowe 2 13 49 2" xfId="8240"/>
    <cellStyle name="Dane wejściowe 2 13 49 3" xfId="8241"/>
    <cellStyle name="Dane wejściowe 2 13 5" xfId="8242"/>
    <cellStyle name="Dane wejściowe 2 13 5 2" xfId="8243"/>
    <cellStyle name="Dane wejściowe 2 13 5 3" xfId="8244"/>
    <cellStyle name="Dane wejściowe 2 13 5 4" xfId="8245"/>
    <cellStyle name="Dane wejściowe 2 13 50" xfId="8246"/>
    <cellStyle name="Dane wejściowe 2 13 50 2" xfId="8247"/>
    <cellStyle name="Dane wejściowe 2 13 50 3" xfId="8248"/>
    <cellStyle name="Dane wejściowe 2 13 51" xfId="8249"/>
    <cellStyle name="Dane wejściowe 2 13 51 2" xfId="8250"/>
    <cellStyle name="Dane wejściowe 2 13 51 3" xfId="8251"/>
    <cellStyle name="Dane wejściowe 2 13 52" xfId="8252"/>
    <cellStyle name="Dane wejściowe 2 13 52 2" xfId="8253"/>
    <cellStyle name="Dane wejściowe 2 13 52 3" xfId="8254"/>
    <cellStyle name="Dane wejściowe 2 13 53" xfId="8255"/>
    <cellStyle name="Dane wejściowe 2 13 53 2" xfId="8256"/>
    <cellStyle name="Dane wejściowe 2 13 53 3" xfId="8257"/>
    <cellStyle name="Dane wejściowe 2 13 54" xfId="8258"/>
    <cellStyle name="Dane wejściowe 2 13 54 2" xfId="8259"/>
    <cellStyle name="Dane wejściowe 2 13 54 3" xfId="8260"/>
    <cellStyle name="Dane wejściowe 2 13 55" xfId="8261"/>
    <cellStyle name="Dane wejściowe 2 13 55 2" xfId="8262"/>
    <cellStyle name="Dane wejściowe 2 13 55 3" xfId="8263"/>
    <cellStyle name="Dane wejściowe 2 13 56" xfId="8264"/>
    <cellStyle name="Dane wejściowe 2 13 56 2" xfId="8265"/>
    <cellStyle name="Dane wejściowe 2 13 56 3" xfId="8266"/>
    <cellStyle name="Dane wejściowe 2 13 57" xfId="8267"/>
    <cellStyle name="Dane wejściowe 2 13 58" xfId="8268"/>
    <cellStyle name="Dane wejściowe 2 13 6" xfId="8269"/>
    <cellStyle name="Dane wejściowe 2 13 6 2" xfId="8270"/>
    <cellStyle name="Dane wejściowe 2 13 6 3" xfId="8271"/>
    <cellStyle name="Dane wejściowe 2 13 6 4" xfId="8272"/>
    <cellStyle name="Dane wejściowe 2 13 7" xfId="8273"/>
    <cellStyle name="Dane wejściowe 2 13 7 2" xfId="8274"/>
    <cellStyle name="Dane wejściowe 2 13 7 3" xfId="8275"/>
    <cellStyle name="Dane wejściowe 2 13 7 4" xfId="8276"/>
    <cellStyle name="Dane wejściowe 2 13 8" xfId="8277"/>
    <cellStyle name="Dane wejściowe 2 13 8 2" xfId="8278"/>
    <cellStyle name="Dane wejściowe 2 13 8 3" xfId="8279"/>
    <cellStyle name="Dane wejściowe 2 13 8 4" xfId="8280"/>
    <cellStyle name="Dane wejściowe 2 13 9" xfId="8281"/>
    <cellStyle name="Dane wejściowe 2 13 9 2" xfId="8282"/>
    <cellStyle name="Dane wejściowe 2 13 9 3" xfId="8283"/>
    <cellStyle name="Dane wejściowe 2 13 9 4" xfId="8284"/>
    <cellStyle name="Dane wejściowe 2 14" xfId="8285"/>
    <cellStyle name="Dane wejściowe 2 14 10" xfId="8286"/>
    <cellStyle name="Dane wejściowe 2 14 10 2" xfId="8287"/>
    <cellStyle name="Dane wejściowe 2 14 10 3" xfId="8288"/>
    <cellStyle name="Dane wejściowe 2 14 10 4" xfId="8289"/>
    <cellStyle name="Dane wejściowe 2 14 11" xfId="8290"/>
    <cellStyle name="Dane wejściowe 2 14 11 2" xfId="8291"/>
    <cellStyle name="Dane wejściowe 2 14 11 3" xfId="8292"/>
    <cellStyle name="Dane wejściowe 2 14 11 4" xfId="8293"/>
    <cellStyle name="Dane wejściowe 2 14 12" xfId="8294"/>
    <cellStyle name="Dane wejściowe 2 14 12 2" xfId="8295"/>
    <cellStyle name="Dane wejściowe 2 14 12 3" xfId="8296"/>
    <cellStyle name="Dane wejściowe 2 14 12 4" xfId="8297"/>
    <cellStyle name="Dane wejściowe 2 14 13" xfId="8298"/>
    <cellStyle name="Dane wejściowe 2 14 13 2" xfId="8299"/>
    <cellStyle name="Dane wejściowe 2 14 13 3" xfId="8300"/>
    <cellStyle name="Dane wejściowe 2 14 13 4" xfId="8301"/>
    <cellStyle name="Dane wejściowe 2 14 14" xfId="8302"/>
    <cellStyle name="Dane wejściowe 2 14 14 2" xfId="8303"/>
    <cellStyle name="Dane wejściowe 2 14 14 3" xfId="8304"/>
    <cellStyle name="Dane wejściowe 2 14 14 4" xfId="8305"/>
    <cellStyle name="Dane wejściowe 2 14 15" xfId="8306"/>
    <cellStyle name="Dane wejściowe 2 14 15 2" xfId="8307"/>
    <cellStyle name="Dane wejściowe 2 14 15 3" xfId="8308"/>
    <cellStyle name="Dane wejściowe 2 14 15 4" xfId="8309"/>
    <cellStyle name="Dane wejściowe 2 14 16" xfId="8310"/>
    <cellStyle name="Dane wejściowe 2 14 16 2" xfId="8311"/>
    <cellStyle name="Dane wejściowe 2 14 16 3" xfId="8312"/>
    <cellStyle name="Dane wejściowe 2 14 16 4" xfId="8313"/>
    <cellStyle name="Dane wejściowe 2 14 17" xfId="8314"/>
    <cellStyle name="Dane wejściowe 2 14 17 2" xfId="8315"/>
    <cellStyle name="Dane wejściowe 2 14 17 3" xfId="8316"/>
    <cellStyle name="Dane wejściowe 2 14 17 4" xfId="8317"/>
    <cellStyle name="Dane wejściowe 2 14 18" xfId="8318"/>
    <cellStyle name="Dane wejściowe 2 14 18 2" xfId="8319"/>
    <cellStyle name="Dane wejściowe 2 14 18 3" xfId="8320"/>
    <cellStyle name="Dane wejściowe 2 14 18 4" xfId="8321"/>
    <cellStyle name="Dane wejściowe 2 14 19" xfId="8322"/>
    <cellStyle name="Dane wejściowe 2 14 19 2" xfId="8323"/>
    <cellStyle name="Dane wejściowe 2 14 19 3" xfId="8324"/>
    <cellStyle name="Dane wejściowe 2 14 19 4" xfId="8325"/>
    <cellStyle name="Dane wejściowe 2 14 2" xfId="8326"/>
    <cellStyle name="Dane wejściowe 2 14 2 2" xfId="8327"/>
    <cellStyle name="Dane wejściowe 2 14 2 3" xfId="8328"/>
    <cellStyle name="Dane wejściowe 2 14 2 4" xfId="8329"/>
    <cellStyle name="Dane wejściowe 2 14 20" xfId="8330"/>
    <cellStyle name="Dane wejściowe 2 14 20 2" xfId="8331"/>
    <cellStyle name="Dane wejściowe 2 14 20 3" xfId="8332"/>
    <cellStyle name="Dane wejściowe 2 14 20 4" xfId="8333"/>
    <cellStyle name="Dane wejściowe 2 14 21" xfId="8334"/>
    <cellStyle name="Dane wejściowe 2 14 21 2" xfId="8335"/>
    <cellStyle name="Dane wejściowe 2 14 21 3" xfId="8336"/>
    <cellStyle name="Dane wejściowe 2 14 22" xfId="8337"/>
    <cellStyle name="Dane wejściowe 2 14 22 2" xfId="8338"/>
    <cellStyle name="Dane wejściowe 2 14 22 3" xfId="8339"/>
    <cellStyle name="Dane wejściowe 2 14 23" xfId="8340"/>
    <cellStyle name="Dane wejściowe 2 14 23 2" xfId="8341"/>
    <cellStyle name="Dane wejściowe 2 14 23 3" xfId="8342"/>
    <cellStyle name="Dane wejściowe 2 14 24" xfId="8343"/>
    <cellStyle name="Dane wejściowe 2 14 24 2" xfId="8344"/>
    <cellStyle name="Dane wejściowe 2 14 24 3" xfId="8345"/>
    <cellStyle name="Dane wejściowe 2 14 25" xfId="8346"/>
    <cellStyle name="Dane wejściowe 2 14 25 2" xfId="8347"/>
    <cellStyle name="Dane wejściowe 2 14 25 3" xfId="8348"/>
    <cellStyle name="Dane wejściowe 2 14 26" xfId="8349"/>
    <cellStyle name="Dane wejściowe 2 14 26 2" xfId="8350"/>
    <cellStyle name="Dane wejściowe 2 14 26 3" xfId="8351"/>
    <cellStyle name="Dane wejściowe 2 14 27" xfId="8352"/>
    <cellStyle name="Dane wejściowe 2 14 27 2" xfId="8353"/>
    <cellStyle name="Dane wejściowe 2 14 27 3" xfId="8354"/>
    <cellStyle name="Dane wejściowe 2 14 28" xfId="8355"/>
    <cellStyle name="Dane wejściowe 2 14 28 2" xfId="8356"/>
    <cellStyle name="Dane wejściowe 2 14 28 3" xfId="8357"/>
    <cellStyle name="Dane wejściowe 2 14 29" xfId="8358"/>
    <cellStyle name="Dane wejściowe 2 14 29 2" xfId="8359"/>
    <cellStyle name="Dane wejściowe 2 14 29 3" xfId="8360"/>
    <cellStyle name="Dane wejściowe 2 14 3" xfId="8361"/>
    <cellStyle name="Dane wejściowe 2 14 3 2" xfId="8362"/>
    <cellStyle name="Dane wejściowe 2 14 3 3" xfId="8363"/>
    <cellStyle name="Dane wejściowe 2 14 3 4" xfId="8364"/>
    <cellStyle name="Dane wejściowe 2 14 30" xfId="8365"/>
    <cellStyle name="Dane wejściowe 2 14 30 2" xfId="8366"/>
    <cellStyle name="Dane wejściowe 2 14 30 3" xfId="8367"/>
    <cellStyle name="Dane wejściowe 2 14 31" xfId="8368"/>
    <cellStyle name="Dane wejściowe 2 14 31 2" xfId="8369"/>
    <cellStyle name="Dane wejściowe 2 14 31 3" xfId="8370"/>
    <cellStyle name="Dane wejściowe 2 14 32" xfId="8371"/>
    <cellStyle name="Dane wejściowe 2 14 32 2" xfId="8372"/>
    <cellStyle name="Dane wejściowe 2 14 32 3" xfId="8373"/>
    <cellStyle name="Dane wejściowe 2 14 33" xfId="8374"/>
    <cellStyle name="Dane wejściowe 2 14 33 2" xfId="8375"/>
    <cellStyle name="Dane wejściowe 2 14 33 3" xfId="8376"/>
    <cellStyle name="Dane wejściowe 2 14 34" xfId="8377"/>
    <cellStyle name="Dane wejściowe 2 14 34 2" xfId="8378"/>
    <cellStyle name="Dane wejściowe 2 14 34 3" xfId="8379"/>
    <cellStyle name="Dane wejściowe 2 14 35" xfId="8380"/>
    <cellStyle name="Dane wejściowe 2 14 35 2" xfId="8381"/>
    <cellStyle name="Dane wejściowe 2 14 35 3" xfId="8382"/>
    <cellStyle name="Dane wejściowe 2 14 36" xfId="8383"/>
    <cellStyle name="Dane wejściowe 2 14 36 2" xfId="8384"/>
    <cellStyle name="Dane wejściowe 2 14 36 3" xfId="8385"/>
    <cellStyle name="Dane wejściowe 2 14 37" xfId="8386"/>
    <cellStyle name="Dane wejściowe 2 14 37 2" xfId="8387"/>
    <cellStyle name="Dane wejściowe 2 14 37 3" xfId="8388"/>
    <cellStyle name="Dane wejściowe 2 14 38" xfId="8389"/>
    <cellStyle name="Dane wejściowe 2 14 38 2" xfId="8390"/>
    <cellStyle name="Dane wejściowe 2 14 38 3" xfId="8391"/>
    <cellStyle name="Dane wejściowe 2 14 39" xfId="8392"/>
    <cellStyle name="Dane wejściowe 2 14 39 2" xfId="8393"/>
    <cellStyle name="Dane wejściowe 2 14 39 3" xfId="8394"/>
    <cellStyle name="Dane wejściowe 2 14 4" xfId="8395"/>
    <cellStyle name="Dane wejściowe 2 14 4 2" xfId="8396"/>
    <cellStyle name="Dane wejściowe 2 14 4 3" xfId="8397"/>
    <cellStyle name="Dane wejściowe 2 14 4 4" xfId="8398"/>
    <cellStyle name="Dane wejściowe 2 14 40" xfId="8399"/>
    <cellStyle name="Dane wejściowe 2 14 40 2" xfId="8400"/>
    <cellStyle name="Dane wejściowe 2 14 40 3" xfId="8401"/>
    <cellStyle name="Dane wejściowe 2 14 41" xfId="8402"/>
    <cellStyle name="Dane wejściowe 2 14 41 2" xfId="8403"/>
    <cellStyle name="Dane wejściowe 2 14 41 3" xfId="8404"/>
    <cellStyle name="Dane wejściowe 2 14 42" xfId="8405"/>
    <cellStyle name="Dane wejściowe 2 14 42 2" xfId="8406"/>
    <cellStyle name="Dane wejściowe 2 14 42 3" xfId="8407"/>
    <cellStyle name="Dane wejściowe 2 14 43" xfId="8408"/>
    <cellStyle name="Dane wejściowe 2 14 43 2" xfId="8409"/>
    <cellStyle name="Dane wejściowe 2 14 43 3" xfId="8410"/>
    <cellStyle name="Dane wejściowe 2 14 44" xfId="8411"/>
    <cellStyle name="Dane wejściowe 2 14 44 2" xfId="8412"/>
    <cellStyle name="Dane wejściowe 2 14 44 3" xfId="8413"/>
    <cellStyle name="Dane wejściowe 2 14 45" xfId="8414"/>
    <cellStyle name="Dane wejściowe 2 14 45 2" xfId="8415"/>
    <cellStyle name="Dane wejściowe 2 14 45 3" xfId="8416"/>
    <cellStyle name="Dane wejściowe 2 14 46" xfId="8417"/>
    <cellStyle name="Dane wejściowe 2 14 46 2" xfId="8418"/>
    <cellStyle name="Dane wejściowe 2 14 46 3" xfId="8419"/>
    <cellStyle name="Dane wejściowe 2 14 47" xfId="8420"/>
    <cellStyle name="Dane wejściowe 2 14 47 2" xfId="8421"/>
    <cellStyle name="Dane wejściowe 2 14 47 3" xfId="8422"/>
    <cellStyle name="Dane wejściowe 2 14 48" xfId="8423"/>
    <cellStyle name="Dane wejściowe 2 14 48 2" xfId="8424"/>
    <cellStyle name="Dane wejściowe 2 14 48 3" xfId="8425"/>
    <cellStyle name="Dane wejściowe 2 14 49" xfId="8426"/>
    <cellStyle name="Dane wejściowe 2 14 49 2" xfId="8427"/>
    <cellStyle name="Dane wejściowe 2 14 49 3" xfId="8428"/>
    <cellStyle name="Dane wejściowe 2 14 5" xfId="8429"/>
    <cellStyle name="Dane wejściowe 2 14 5 2" xfId="8430"/>
    <cellStyle name="Dane wejściowe 2 14 5 3" xfId="8431"/>
    <cellStyle name="Dane wejściowe 2 14 5 4" xfId="8432"/>
    <cellStyle name="Dane wejściowe 2 14 50" xfId="8433"/>
    <cellStyle name="Dane wejściowe 2 14 50 2" xfId="8434"/>
    <cellStyle name="Dane wejściowe 2 14 50 3" xfId="8435"/>
    <cellStyle name="Dane wejściowe 2 14 51" xfId="8436"/>
    <cellStyle name="Dane wejściowe 2 14 51 2" xfId="8437"/>
    <cellStyle name="Dane wejściowe 2 14 51 3" xfId="8438"/>
    <cellStyle name="Dane wejściowe 2 14 52" xfId="8439"/>
    <cellStyle name="Dane wejściowe 2 14 52 2" xfId="8440"/>
    <cellStyle name="Dane wejściowe 2 14 52 3" xfId="8441"/>
    <cellStyle name="Dane wejściowe 2 14 53" xfId="8442"/>
    <cellStyle name="Dane wejściowe 2 14 53 2" xfId="8443"/>
    <cellStyle name="Dane wejściowe 2 14 53 3" xfId="8444"/>
    <cellStyle name="Dane wejściowe 2 14 54" xfId="8445"/>
    <cellStyle name="Dane wejściowe 2 14 54 2" xfId="8446"/>
    <cellStyle name="Dane wejściowe 2 14 54 3" xfId="8447"/>
    <cellStyle name="Dane wejściowe 2 14 55" xfId="8448"/>
    <cellStyle name="Dane wejściowe 2 14 55 2" xfId="8449"/>
    <cellStyle name="Dane wejściowe 2 14 55 3" xfId="8450"/>
    <cellStyle name="Dane wejściowe 2 14 56" xfId="8451"/>
    <cellStyle name="Dane wejściowe 2 14 56 2" xfId="8452"/>
    <cellStyle name="Dane wejściowe 2 14 56 3" xfId="8453"/>
    <cellStyle name="Dane wejściowe 2 14 57" xfId="8454"/>
    <cellStyle name="Dane wejściowe 2 14 58" xfId="8455"/>
    <cellStyle name="Dane wejściowe 2 14 6" xfId="8456"/>
    <cellStyle name="Dane wejściowe 2 14 6 2" xfId="8457"/>
    <cellStyle name="Dane wejściowe 2 14 6 3" xfId="8458"/>
    <cellStyle name="Dane wejściowe 2 14 6 4" xfId="8459"/>
    <cellStyle name="Dane wejściowe 2 14 7" xfId="8460"/>
    <cellStyle name="Dane wejściowe 2 14 7 2" xfId="8461"/>
    <cellStyle name="Dane wejściowe 2 14 7 3" xfId="8462"/>
    <cellStyle name="Dane wejściowe 2 14 7 4" xfId="8463"/>
    <cellStyle name="Dane wejściowe 2 14 8" xfId="8464"/>
    <cellStyle name="Dane wejściowe 2 14 8 2" xfId="8465"/>
    <cellStyle name="Dane wejściowe 2 14 8 3" xfId="8466"/>
    <cellStyle name="Dane wejściowe 2 14 8 4" xfId="8467"/>
    <cellStyle name="Dane wejściowe 2 14 9" xfId="8468"/>
    <cellStyle name="Dane wejściowe 2 14 9 2" xfId="8469"/>
    <cellStyle name="Dane wejściowe 2 14 9 3" xfId="8470"/>
    <cellStyle name="Dane wejściowe 2 14 9 4" xfId="8471"/>
    <cellStyle name="Dane wejściowe 2 15" xfId="8472"/>
    <cellStyle name="Dane wejściowe 2 15 10" xfId="8473"/>
    <cellStyle name="Dane wejściowe 2 15 10 2" xfId="8474"/>
    <cellStyle name="Dane wejściowe 2 15 10 3" xfId="8475"/>
    <cellStyle name="Dane wejściowe 2 15 10 4" xfId="8476"/>
    <cellStyle name="Dane wejściowe 2 15 11" xfId="8477"/>
    <cellStyle name="Dane wejściowe 2 15 11 2" xfId="8478"/>
    <cellStyle name="Dane wejściowe 2 15 11 3" xfId="8479"/>
    <cellStyle name="Dane wejściowe 2 15 11 4" xfId="8480"/>
    <cellStyle name="Dane wejściowe 2 15 12" xfId="8481"/>
    <cellStyle name="Dane wejściowe 2 15 12 2" xfId="8482"/>
    <cellStyle name="Dane wejściowe 2 15 12 3" xfId="8483"/>
    <cellStyle name="Dane wejściowe 2 15 12 4" xfId="8484"/>
    <cellStyle name="Dane wejściowe 2 15 13" xfId="8485"/>
    <cellStyle name="Dane wejściowe 2 15 13 2" xfId="8486"/>
    <cellStyle name="Dane wejściowe 2 15 13 3" xfId="8487"/>
    <cellStyle name="Dane wejściowe 2 15 13 4" xfId="8488"/>
    <cellStyle name="Dane wejściowe 2 15 14" xfId="8489"/>
    <cellStyle name="Dane wejściowe 2 15 14 2" xfId="8490"/>
    <cellStyle name="Dane wejściowe 2 15 14 3" xfId="8491"/>
    <cellStyle name="Dane wejściowe 2 15 14 4" xfId="8492"/>
    <cellStyle name="Dane wejściowe 2 15 15" xfId="8493"/>
    <cellStyle name="Dane wejściowe 2 15 15 2" xfId="8494"/>
    <cellStyle name="Dane wejściowe 2 15 15 3" xfId="8495"/>
    <cellStyle name="Dane wejściowe 2 15 15 4" xfId="8496"/>
    <cellStyle name="Dane wejściowe 2 15 16" xfId="8497"/>
    <cellStyle name="Dane wejściowe 2 15 16 2" xfId="8498"/>
    <cellStyle name="Dane wejściowe 2 15 16 3" xfId="8499"/>
    <cellStyle name="Dane wejściowe 2 15 16 4" xfId="8500"/>
    <cellStyle name="Dane wejściowe 2 15 17" xfId="8501"/>
    <cellStyle name="Dane wejściowe 2 15 17 2" xfId="8502"/>
    <cellStyle name="Dane wejściowe 2 15 17 3" xfId="8503"/>
    <cellStyle name="Dane wejściowe 2 15 17 4" xfId="8504"/>
    <cellStyle name="Dane wejściowe 2 15 18" xfId="8505"/>
    <cellStyle name="Dane wejściowe 2 15 18 2" xfId="8506"/>
    <cellStyle name="Dane wejściowe 2 15 18 3" xfId="8507"/>
    <cellStyle name="Dane wejściowe 2 15 18 4" xfId="8508"/>
    <cellStyle name="Dane wejściowe 2 15 19" xfId="8509"/>
    <cellStyle name="Dane wejściowe 2 15 19 2" xfId="8510"/>
    <cellStyle name="Dane wejściowe 2 15 19 3" xfId="8511"/>
    <cellStyle name="Dane wejściowe 2 15 19 4" xfId="8512"/>
    <cellStyle name="Dane wejściowe 2 15 2" xfId="8513"/>
    <cellStyle name="Dane wejściowe 2 15 2 2" xfId="8514"/>
    <cellStyle name="Dane wejściowe 2 15 2 3" xfId="8515"/>
    <cellStyle name="Dane wejściowe 2 15 2 4" xfId="8516"/>
    <cellStyle name="Dane wejściowe 2 15 20" xfId="8517"/>
    <cellStyle name="Dane wejściowe 2 15 20 2" xfId="8518"/>
    <cellStyle name="Dane wejściowe 2 15 20 3" xfId="8519"/>
    <cellStyle name="Dane wejściowe 2 15 20 4" xfId="8520"/>
    <cellStyle name="Dane wejściowe 2 15 21" xfId="8521"/>
    <cellStyle name="Dane wejściowe 2 15 21 2" xfId="8522"/>
    <cellStyle name="Dane wejściowe 2 15 21 3" xfId="8523"/>
    <cellStyle name="Dane wejściowe 2 15 22" xfId="8524"/>
    <cellStyle name="Dane wejściowe 2 15 22 2" xfId="8525"/>
    <cellStyle name="Dane wejściowe 2 15 22 3" xfId="8526"/>
    <cellStyle name="Dane wejściowe 2 15 23" xfId="8527"/>
    <cellStyle name="Dane wejściowe 2 15 23 2" xfId="8528"/>
    <cellStyle name="Dane wejściowe 2 15 23 3" xfId="8529"/>
    <cellStyle name="Dane wejściowe 2 15 24" xfId="8530"/>
    <cellStyle name="Dane wejściowe 2 15 24 2" xfId="8531"/>
    <cellStyle name="Dane wejściowe 2 15 24 3" xfId="8532"/>
    <cellStyle name="Dane wejściowe 2 15 25" xfId="8533"/>
    <cellStyle name="Dane wejściowe 2 15 25 2" xfId="8534"/>
    <cellStyle name="Dane wejściowe 2 15 25 3" xfId="8535"/>
    <cellStyle name="Dane wejściowe 2 15 26" xfId="8536"/>
    <cellStyle name="Dane wejściowe 2 15 26 2" xfId="8537"/>
    <cellStyle name="Dane wejściowe 2 15 26 3" xfId="8538"/>
    <cellStyle name="Dane wejściowe 2 15 27" xfId="8539"/>
    <cellStyle name="Dane wejściowe 2 15 27 2" xfId="8540"/>
    <cellStyle name="Dane wejściowe 2 15 27 3" xfId="8541"/>
    <cellStyle name="Dane wejściowe 2 15 28" xfId="8542"/>
    <cellStyle name="Dane wejściowe 2 15 28 2" xfId="8543"/>
    <cellStyle name="Dane wejściowe 2 15 28 3" xfId="8544"/>
    <cellStyle name="Dane wejściowe 2 15 29" xfId="8545"/>
    <cellStyle name="Dane wejściowe 2 15 29 2" xfId="8546"/>
    <cellStyle name="Dane wejściowe 2 15 29 3" xfId="8547"/>
    <cellStyle name="Dane wejściowe 2 15 3" xfId="8548"/>
    <cellStyle name="Dane wejściowe 2 15 3 2" xfId="8549"/>
    <cellStyle name="Dane wejściowe 2 15 3 3" xfId="8550"/>
    <cellStyle name="Dane wejściowe 2 15 3 4" xfId="8551"/>
    <cellStyle name="Dane wejściowe 2 15 30" xfId="8552"/>
    <cellStyle name="Dane wejściowe 2 15 30 2" xfId="8553"/>
    <cellStyle name="Dane wejściowe 2 15 30 3" xfId="8554"/>
    <cellStyle name="Dane wejściowe 2 15 31" xfId="8555"/>
    <cellStyle name="Dane wejściowe 2 15 31 2" xfId="8556"/>
    <cellStyle name="Dane wejściowe 2 15 31 3" xfId="8557"/>
    <cellStyle name="Dane wejściowe 2 15 32" xfId="8558"/>
    <cellStyle name="Dane wejściowe 2 15 32 2" xfId="8559"/>
    <cellStyle name="Dane wejściowe 2 15 32 3" xfId="8560"/>
    <cellStyle name="Dane wejściowe 2 15 33" xfId="8561"/>
    <cellStyle name="Dane wejściowe 2 15 33 2" xfId="8562"/>
    <cellStyle name="Dane wejściowe 2 15 33 3" xfId="8563"/>
    <cellStyle name="Dane wejściowe 2 15 34" xfId="8564"/>
    <cellStyle name="Dane wejściowe 2 15 34 2" xfId="8565"/>
    <cellStyle name="Dane wejściowe 2 15 34 3" xfId="8566"/>
    <cellStyle name="Dane wejściowe 2 15 35" xfId="8567"/>
    <cellStyle name="Dane wejściowe 2 15 35 2" xfId="8568"/>
    <cellStyle name="Dane wejściowe 2 15 35 3" xfId="8569"/>
    <cellStyle name="Dane wejściowe 2 15 36" xfId="8570"/>
    <cellStyle name="Dane wejściowe 2 15 36 2" xfId="8571"/>
    <cellStyle name="Dane wejściowe 2 15 36 3" xfId="8572"/>
    <cellStyle name="Dane wejściowe 2 15 37" xfId="8573"/>
    <cellStyle name="Dane wejściowe 2 15 37 2" xfId="8574"/>
    <cellStyle name="Dane wejściowe 2 15 37 3" xfId="8575"/>
    <cellStyle name="Dane wejściowe 2 15 38" xfId="8576"/>
    <cellStyle name="Dane wejściowe 2 15 38 2" xfId="8577"/>
    <cellStyle name="Dane wejściowe 2 15 38 3" xfId="8578"/>
    <cellStyle name="Dane wejściowe 2 15 39" xfId="8579"/>
    <cellStyle name="Dane wejściowe 2 15 39 2" xfId="8580"/>
    <cellStyle name="Dane wejściowe 2 15 39 3" xfId="8581"/>
    <cellStyle name="Dane wejściowe 2 15 4" xfId="8582"/>
    <cellStyle name="Dane wejściowe 2 15 4 2" xfId="8583"/>
    <cellStyle name="Dane wejściowe 2 15 4 3" xfId="8584"/>
    <cellStyle name="Dane wejściowe 2 15 4 4" xfId="8585"/>
    <cellStyle name="Dane wejściowe 2 15 40" xfId="8586"/>
    <cellStyle name="Dane wejściowe 2 15 40 2" xfId="8587"/>
    <cellStyle name="Dane wejściowe 2 15 40 3" xfId="8588"/>
    <cellStyle name="Dane wejściowe 2 15 41" xfId="8589"/>
    <cellStyle name="Dane wejściowe 2 15 41 2" xfId="8590"/>
    <cellStyle name="Dane wejściowe 2 15 41 3" xfId="8591"/>
    <cellStyle name="Dane wejściowe 2 15 42" xfId="8592"/>
    <cellStyle name="Dane wejściowe 2 15 42 2" xfId="8593"/>
    <cellStyle name="Dane wejściowe 2 15 42 3" xfId="8594"/>
    <cellStyle name="Dane wejściowe 2 15 43" xfId="8595"/>
    <cellStyle name="Dane wejściowe 2 15 43 2" xfId="8596"/>
    <cellStyle name="Dane wejściowe 2 15 43 3" xfId="8597"/>
    <cellStyle name="Dane wejściowe 2 15 44" xfId="8598"/>
    <cellStyle name="Dane wejściowe 2 15 44 2" xfId="8599"/>
    <cellStyle name="Dane wejściowe 2 15 44 3" xfId="8600"/>
    <cellStyle name="Dane wejściowe 2 15 45" xfId="8601"/>
    <cellStyle name="Dane wejściowe 2 15 45 2" xfId="8602"/>
    <cellStyle name="Dane wejściowe 2 15 45 3" xfId="8603"/>
    <cellStyle name="Dane wejściowe 2 15 46" xfId="8604"/>
    <cellStyle name="Dane wejściowe 2 15 46 2" xfId="8605"/>
    <cellStyle name="Dane wejściowe 2 15 46 3" xfId="8606"/>
    <cellStyle name="Dane wejściowe 2 15 47" xfId="8607"/>
    <cellStyle name="Dane wejściowe 2 15 47 2" xfId="8608"/>
    <cellStyle name="Dane wejściowe 2 15 47 3" xfId="8609"/>
    <cellStyle name="Dane wejściowe 2 15 48" xfId="8610"/>
    <cellStyle name="Dane wejściowe 2 15 48 2" xfId="8611"/>
    <cellStyle name="Dane wejściowe 2 15 48 3" xfId="8612"/>
    <cellStyle name="Dane wejściowe 2 15 49" xfId="8613"/>
    <cellStyle name="Dane wejściowe 2 15 49 2" xfId="8614"/>
    <cellStyle name="Dane wejściowe 2 15 49 3" xfId="8615"/>
    <cellStyle name="Dane wejściowe 2 15 5" xfId="8616"/>
    <cellStyle name="Dane wejściowe 2 15 5 2" xfId="8617"/>
    <cellStyle name="Dane wejściowe 2 15 5 3" xfId="8618"/>
    <cellStyle name="Dane wejściowe 2 15 5 4" xfId="8619"/>
    <cellStyle name="Dane wejściowe 2 15 50" xfId="8620"/>
    <cellStyle name="Dane wejściowe 2 15 50 2" xfId="8621"/>
    <cellStyle name="Dane wejściowe 2 15 50 3" xfId="8622"/>
    <cellStyle name="Dane wejściowe 2 15 51" xfId="8623"/>
    <cellStyle name="Dane wejściowe 2 15 51 2" xfId="8624"/>
    <cellStyle name="Dane wejściowe 2 15 51 3" xfId="8625"/>
    <cellStyle name="Dane wejściowe 2 15 52" xfId="8626"/>
    <cellStyle name="Dane wejściowe 2 15 52 2" xfId="8627"/>
    <cellStyle name="Dane wejściowe 2 15 52 3" xfId="8628"/>
    <cellStyle name="Dane wejściowe 2 15 53" xfId="8629"/>
    <cellStyle name="Dane wejściowe 2 15 53 2" xfId="8630"/>
    <cellStyle name="Dane wejściowe 2 15 53 3" xfId="8631"/>
    <cellStyle name="Dane wejściowe 2 15 54" xfId="8632"/>
    <cellStyle name="Dane wejściowe 2 15 54 2" xfId="8633"/>
    <cellStyle name="Dane wejściowe 2 15 54 3" xfId="8634"/>
    <cellStyle name="Dane wejściowe 2 15 55" xfId="8635"/>
    <cellStyle name="Dane wejściowe 2 15 55 2" xfId="8636"/>
    <cellStyle name="Dane wejściowe 2 15 55 3" xfId="8637"/>
    <cellStyle name="Dane wejściowe 2 15 56" xfId="8638"/>
    <cellStyle name="Dane wejściowe 2 15 56 2" xfId="8639"/>
    <cellStyle name="Dane wejściowe 2 15 56 3" xfId="8640"/>
    <cellStyle name="Dane wejściowe 2 15 57" xfId="8641"/>
    <cellStyle name="Dane wejściowe 2 15 58" xfId="8642"/>
    <cellStyle name="Dane wejściowe 2 15 6" xfId="8643"/>
    <cellStyle name="Dane wejściowe 2 15 6 2" xfId="8644"/>
    <cellStyle name="Dane wejściowe 2 15 6 3" xfId="8645"/>
    <cellStyle name="Dane wejściowe 2 15 6 4" xfId="8646"/>
    <cellStyle name="Dane wejściowe 2 15 7" xfId="8647"/>
    <cellStyle name="Dane wejściowe 2 15 7 2" xfId="8648"/>
    <cellStyle name="Dane wejściowe 2 15 7 3" xfId="8649"/>
    <cellStyle name="Dane wejściowe 2 15 7 4" xfId="8650"/>
    <cellStyle name="Dane wejściowe 2 15 8" xfId="8651"/>
    <cellStyle name="Dane wejściowe 2 15 8 2" xfId="8652"/>
    <cellStyle name="Dane wejściowe 2 15 8 3" xfId="8653"/>
    <cellStyle name="Dane wejściowe 2 15 8 4" xfId="8654"/>
    <cellStyle name="Dane wejściowe 2 15 9" xfId="8655"/>
    <cellStyle name="Dane wejściowe 2 15 9 2" xfId="8656"/>
    <cellStyle name="Dane wejściowe 2 15 9 3" xfId="8657"/>
    <cellStyle name="Dane wejściowe 2 15 9 4" xfId="8658"/>
    <cellStyle name="Dane wejściowe 2 16" xfId="8659"/>
    <cellStyle name="Dane wejściowe 2 16 10" xfId="8660"/>
    <cellStyle name="Dane wejściowe 2 16 10 2" xfId="8661"/>
    <cellStyle name="Dane wejściowe 2 16 10 3" xfId="8662"/>
    <cellStyle name="Dane wejściowe 2 16 10 4" xfId="8663"/>
    <cellStyle name="Dane wejściowe 2 16 11" xfId="8664"/>
    <cellStyle name="Dane wejściowe 2 16 11 2" xfId="8665"/>
    <cellStyle name="Dane wejściowe 2 16 11 3" xfId="8666"/>
    <cellStyle name="Dane wejściowe 2 16 11 4" xfId="8667"/>
    <cellStyle name="Dane wejściowe 2 16 12" xfId="8668"/>
    <cellStyle name="Dane wejściowe 2 16 12 2" xfId="8669"/>
    <cellStyle name="Dane wejściowe 2 16 12 3" xfId="8670"/>
    <cellStyle name="Dane wejściowe 2 16 12 4" xfId="8671"/>
    <cellStyle name="Dane wejściowe 2 16 13" xfId="8672"/>
    <cellStyle name="Dane wejściowe 2 16 13 2" xfId="8673"/>
    <cellStyle name="Dane wejściowe 2 16 13 3" xfId="8674"/>
    <cellStyle name="Dane wejściowe 2 16 13 4" xfId="8675"/>
    <cellStyle name="Dane wejściowe 2 16 14" xfId="8676"/>
    <cellStyle name="Dane wejściowe 2 16 14 2" xfId="8677"/>
    <cellStyle name="Dane wejściowe 2 16 14 3" xfId="8678"/>
    <cellStyle name="Dane wejściowe 2 16 14 4" xfId="8679"/>
    <cellStyle name="Dane wejściowe 2 16 15" xfId="8680"/>
    <cellStyle name="Dane wejściowe 2 16 15 2" xfId="8681"/>
    <cellStyle name="Dane wejściowe 2 16 15 3" xfId="8682"/>
    <cellStyle name="Dane wejściowe 2 16 15 4" xfId="8683"/>
    <cellStyle name="Dane wejściowe 2 16 16" xfId="8684"/>
    <cellStyle name="Dane wejściowe 2 16 16 2" xfId="8685"/>
    <cellStyle name="Dane wejściowe 2 16 16 3" xfId="8686"/>
    <cellStyle name="Dane wejściowe 2 16 16 4" xfId="8687"/>
    <cellStyle name="Dane wejściowe 2 16 17" xfId="8688"/>
    <cellStyle name="Dane wejściowe 2 16 17 2" xfId="8689"/>
    <cellStyle name="Dane wejściowe 2 16 17 3" xfId="8690"/>
    <cellStyle name="Dane wejściowe 2 16 17 4" xfId="8691"/>
    <cellStyle name="Dane wejściowe 2 16 18" xfId="8692"/>
    <cellStyle name="Dane wejściowe 2 16 18 2" xfId="8693"/>
    <cellStyle name="Dane wejściowe 2 16 18 3" xfId="8694"/>
    <cellStyle name="Dane wejściowe 2 16 18 4" xfId="8695"/>
    <cellStyle name="Dane wejściowe 2 16 19" xfId="8696"/>
    <cellStyle name="Dane wejściowe 2 16 19 2" xfId="8697"/>
    <cellStyle name="Dane wejściowe 2 16 19 3" xfId="8698"/>
    <cellStyle name="Dane wejściowe 2 16 19 4" xfId="8699"/>
    <cellStyle name="Dane wejściowe 2 16 2" xfId="8700"/>
    <cellStyle name="Dane wejściowe 2 16 2 2" xfId="8701"/>
    <cellStyle name="Dane wejściowe 2 16 2 3" xfId="8702"/>
    <cellStyle name="Dane wejściowe 2 16 2 4" xfId="8703"/>
    <cellStyle name="Dane wejściowe 2 16 20" xfId="8704"/>
    <cellStyle name="Dane wejściowe 2 16 20 2" xfId="8705"/>
    <cellStyle name="Dane wejściowe 2 16 20 3" xfId="8706"/>
    <cellStyle name="Dane wejściowe 2 16 20 4" xfId="8707"/>
    <cellStyle name="Dane wejściowe 2 16 21" xfId="8708"/>
    <cellStyle name="Dane wejściowe 2 16 21 2" xfId="8709"/>
    <cellStyle name="Dane wejściowe 2 16 21 3" xfId="8710"/>
    <cellStyle name="Dane wejściowe 2 16 22" xfId="8711"/>
    <cellStyle name="Dane wejściowe 2 16 22 2" xfId="8712"/>
    <cellStyle name="Dane wejściowe 2 16 22 3" xfId="8713"/>
    <cellStyle name="Dane wejściowe 2 16 23" xfId="8714"/>
    <cellStyle name="Dane wejściowe 2 16 23 2" xfId="8715"/>
    <cellStyle name="Dane wejściowe 2 16 23 3" xfId="8716"/>
    <cellStyle name="Dane wejściowe 2 16 24" xfId="8717"/>
    <cellStyle name="Dane wejściowe 2 16 24 2" xfId="8718"/>
    <cellStyle name="Dane wejściowe 2 16 24 3" xfId="8719"/>
    <cellStyle name="Dane wejściowe 2 16 25" xfId="8720"/>
    <cellStyle name="Dane wejściowe 2 16 25 2" xfId="8721"/>
    <cellStyle name="Dane wejściowe 2 16 25 3" xfId="8722"/>
    <cellStyle name="Dane wejściowe 2 16 26" xfId="8723"/>
    <cellStyle name="Dane wejściowe 2 16 26 2" xfId="8724"/>
    <cellStyle name="Dane wejściowe 2 16 26 3" xfId="8725"/>
    <cellStyle name="Dane wejściowe 2 16 27" xfId="8726"/>
    <cellStyle name="Dane wejściowe 2 16 27 2" xfId="8727"/>
    <cellStyle name="Dane wejściowe 2 16 27 3" xfId="8728"/>
    <cellStyle name="Dane wejściowe 2 16 28" xfId="8729"/>
    <cellStyle name="Dane wejściowe 2 16 28 2" xfId="8730"/>
    <cellStyle name="Dane wejściowe 2 16 28 3" xfId="8731"/>
    <cellStyle name="Dane wejściowe 2 16 29" xfId="8732"/>
    <cellStyle name="Dane wejściowe 2 16 29 2" xfId="8733"/>
    <cellStyle name="Dane wejściowe 2 16 29 3" xfId="8734"/>
    <cellStyle name="Dane wejściowe 2 16 3" xfId="8735"/>
    <cellStyle name="Dane wejściowe 2 16 3 2" xfId="8736"/>
    <cellStyle name="Dane wejściowe 2 16 3 3" xfId="8737"/>
    <cellStyle name="Dane wejściowe 2 16 3 4" xfId="8738"/>
    <cellStyle name="Dane wejściowe 2 16 30" xfId="8739"/>
    <cellStyle name="Dane wejściowe 2 16 30 2" xfId="8740"/>
    <cellStyle name="Dane wejściowe 2 16 30 3" xfId="8741"/>
    <cellStyle name="Dane wejściowe 2 16 31" xfId="8742"/>
    <cellStyle name="Dane wejściowe 2 16 31 2" xfId="8743"/>
    <cellStyle name="Dane wejściowe 2 16 31 3" xfId="8744"/>
    <cellStyle name="Dane wejściowe 2 16 32" xfId="8745"/>
    <cellStyle name="Dane wejściowe 2 16 32 2" xfId="8746"/>
    <cellStyle name="Dane wejściowe 2 16 32 3" xfId="8747"/>
    <cellStyle name="Dane wejściowe 2 16 33" xfId="8748"/>
    <cellStyle name="Dane wejściowe 2 16 33 2" xfId="8749"/>
    <cellStyle name="Dane wejściowe 2 16 33 3" xfId="8750"/>
    <cellStyle name="Dane wejściowe 2 16 34" xfId="8751"/>
    <cellStyle name="Dane wejściowe 2 16 34 2" xfId="8752"/>
    <cellStyle name="Dane wejściowe 2 16 34 3" xfId="8753"/>
    <cellStyle name="Dane wejściowe 2 16 35" xfId="8754"/>
    <cellStyle name="Dane wejściowe 2 16 35 2" xfId="8755"/>
    <cellStyle name="Dane wejściowe 2 16 35 3" xfId="8756"/>
    <cellStyle name="Dane wejściowe 2 16 36" xfId="8757"/>
    <cellStyle name="Dane wejściowe 2 16 36 2" xfId="8758"/>
    <cellStyle name="Dane wejściowe 2 16 36 3" xfId="8759"/>
    <cellStyle name="Dane wejściowe 2 16 37" xfId="8760"/>
    <cellStyle name="Dane wejściowe 2 16 37 2" xfId="8761"/>
    <cellStyle name="Dane wejściowe 2 16 37 3" xfId="8762"/>
    <cellStyle name="Dane wejściowe 2 16 38" xfId="8763"/>
    <cellStyle name="Dane wejściowe 2 16 38 2" xfId="8764"/>
    <cellStyle name="Dane wejściowe 2 16 38 3" xfId="8765"/>
    <cellStyle name="Dane wejściowe 2 16 39" xfId="8766"/>
    <cellStyle name="Dane wejściowe 2 16 39 2" xfId="8767"/>
    <cellStyle name="Dane wejściowe 2 16 39 3" xfId="8768"/>
    <cellStyle name="Dane wejściowe 2 16 4" xfId="8769"/>
    <cellStyle name="Dane wejściowe 2 16 4 2" xfId="8770"/>
    <cellStyle name="Dane wejściowe 2 16 4 3" xfId="8771"/>
    <cellStyle name="Dane wejściowe 2 16 4 4" xfId="8772"/>
    <cellStyle name="Dane wejściowe 2 16 40" xfId="8773"/>
    <cellStyle name="Dane wejściowe 2 16 40 2" xfId="8774"/>
    <cellStyle name="Dane wejściowe 2 16 40 3" xfId="8775"/>
    <cellStyle name="Dane wejściowe 2 16 41" xfId="8776"/>
    <cellStyle name="Dane wejściowe 2 16 41 2" xfId="8777"/>
    <cellStyle name="Dane wejściowe 2 16 41 3" xfId="8778"/>
    <cellStyle name="Dane wejściowe 2 16 42" xfId="8779"/>
    <cellStyle name="Dane wejściowe 2 16 42 2" xfId="8780"/>
    <cellStyle name="Dane wejściowe 2 16 42 3" xfId="8781"/>
    <cellStyle name="Dane wejściowe 2 16 43" xfId="8782"/>
    <cellStyle name="Dane wejściowe 2 16 43 2" xfId="8783"/>
    <cellStyle name="Dane wejściowe 2 16 43 3" xfId="8784"/>
    <cellStyle name="Dane wejściowe 2 16 44" xfId="8785"/>
    <cellStyle name="Dane wejściowe 2 16 44 2" xfId="8786"/>
    <cellStyle name="Dane wejściowe 2 16 44 3" xfId="8787"/>
    <cellStyle name="Dane wejściowe 2 16 45" xfId="8788"/>
    <cellStyle name="Dane wejściowe 2 16 45 2" xfId="8789"/>
    <cellStyle name="Dane wejściowe 2 16 45 3" xfId="8790"/>
    <cellStyle name="Dane wejściowe 2 16 46" xfId="8791"/>
    <cellStyle name="Dane wejściowe 2 16 46 2" xfId="8792"/>
    <cellStyle name="Dane wejściowe 2 16 46 3" xfId="8793"/>
    <cellStyle name="Dane wejściowe 2 16 47" xfId="8794"/>
    <cellStyle name="Dane wejściowe 2 16 47 2" xfId="8795"/>
    <cellStyle name="Dane wejściowe 2 16 47 3" xfId="8796"/>
    <cellStyle name="Dane wejściowe 2 16 48" xfId="8797"/>
    <cellStyle name="Dane wejściowe 2 16 48 2" xfId="8798"/>
    <cellStyle name="Dane wejściowe 2 16 48 3" xfId="8799"/>
    <cellStyle name="Dane wejściowe 2 16 49" xfId="8800"/>
    <cellStyle name="Dane wejściowe 2 16 49 2" xfId="8801"/>
    <cellStyle name="Dane wejściowe 2 16 49 3" xfId="8802"/>
    <cellStyle name="Dane wejściowe 2 16 5" xfId="8803"/>
    <cellStyle name="Dane wejściowe 2 16 5 2" xfId="8804"/>
    <cellStyle name="Dane wejściowe 2 16 5 3" xfId="8805"/>
    <cellStyle name="Dane wejściowe 2 16 5 4" xfId="8806"/>
    <cellStyle name="Dane wejściowe 2 16 50" xfId="8807"/>
    <cellStyle name="Dane wejściowe 2 16 50 2" xfId="8808"/>
    <cellStyle name="Dane wejściowe 2 16 50 3" xfId="8809"/>
    <cellStyle name="Dane wejściowe 2 16 51" xfId="8810"/>
    <cellStyle name="Dane wejściowe 2 16 51 2" xfId="8811"/>
    <cellStyle name="Dane wejściowe 2 16 51 3" xfId="8812"/>
    <cellStyle name="Dane wejściowe 2 16 52" xfId="8813"/>
    <cellStyle name="Dane wejściowe 2 16 52 2" xfId="8814"/>
    <cellStyle name="Dane wejściowe 2 16 52 3" xfId="8815"/>
    <cellStyle name="Dane wejściowe 2 16 53" xfId="8816"/>
    <cellStyle name="Dane wejściowe 2 16 53 2" xfId="8817"/>
    <cellStyle name="Dane wejściowe 2 16 53 3" xfId="8818"/>
    <cellStyle name="Dane wejściowe 2 16 54" xfId="8819"/>
    <cellStyle name="Dane wejściowe 2 16 54 2" xfId="8820"/>
    <cellStyle name="Dane wejściowe 2 16 54 3" xfId="8821"/>
    <cellStyle name="Dane wejściowe 2 16 55" xfId="8822"/>
    <cellStyle name="Dane wejściowe 2 16 55 2" xfId="8823"/>
    <cellStyle name="Dane wejściowe 2 16 55 3" xfId="8824"/>
    <cellStyle name="Dane wejściowe 2 16 56" xfId="8825"/>
    <cellStyle name="Dane wejściowe 2 16 56 2" xfId="8826"/>
    <cellStyle name="Dane wejściowe 2 16 56 3" xfId="8827"/>
    <cellStyle name="Dane wejściowe 2 16 57" xfId="8828"/>
    <cellStyle name="Dane wejściowe 2 16 58" xfId="8829"/>
    <cellStyle name="Dane wejściowe 2 16 6" xfId="8830"/>
    <cellStyle name="Dane wejściowe 2 16 6 2" xfId="8831"/>
    <cellStyle name="Dane wejściowe 2 16 6 3" xfId="8832"/>
    <cellStyle name="Dane wejściowe 2 16 6 4" xfId="8833"/>
    <cellStyle name="Dane wejściowe 2 16 7" xfId="8834"/>
    <cellStyle name="Dane wejściowe 2 16 7 2" xfId="8835"/>
    <cellStyle name="Dane wejściowe 2 16 7 3" xfId="8836"/>
    <cellStyle name="Dane wejściowe 2 16 7 4" xfId="8837"/>
    <cellStyle name="Dane wejściowe 2 16 8" xfId="8838"/>
    <cellStyle name="Dane wejściowe 2 16 8 2" xfId="8839"/>
    <cellStyle name="Dane wejściowe 2 16 8 3" xfId="8840"/>
    <cellStyle name="Dane wejściowe 2 16 8 4" xfId="8841"/>
    <cellStyle name="Dane wejściowe 2 16 9" xfId="8842"/>
    <cellStyle name="Dane wejściowe 2 16 9 2" xfId="8843"/>
    <cellStyle name="Dane wejściowe 2 16 9 3" xfId="8844"/>
    <cellStyle name="Dane wejściowe 2 16 9 4" xfId="8845"/>
    <cellStyle name="Dane wejściowe 2 17" xfId="8846"/>
    <cellStyle name="Dane wejściowe 2 17 10" xfId="8847"/>
    <cellStyle name="Dane wejściowe 2 17 10 2" xfId="8848"/>
    <cellStyle name="Dane wejściowe 2 17 10 3" xfId="8849"/>
    <cellStyle name="Dane wejściowe 2 17 10 4" xfId="8850"/>
    <cellStyle name="Dane wejściowe 2 17 11" xfId="8851"/>
    <cellStyle name="Dane wejściowe 2 17 11 2" xfId="8852"/>
    <cellStyle name="Dane wejściowe 2 17 11 3" xfId="8853"/>
    <cellStyle name="Dane wejściowe 2 17 11 4" xfId="8854"/>
    <cellStyle name="Dane wejściowe 2 17 12" xfId="8855"/>
    <cellStyle name="Dane wejściowe 2 17 12 2" xfId="8856"/>
    <cellStyle name="Dane wejściowe 2 17 12 3" xfId="8857"/>
    <cellStyle name="Dane wejściowe 2 17 12 4" xfId="8858"/>
    <cellStyle name="Dane wejściowe 2 17 13" xfId="8859"/>
    <cellStyle name="Dane wejściowe 2 17 13 2" xfId="8860"/>
    <cellStyle name="Dane wejściowe 2 17 13 3" xfId="8861"/>
    <cellStyle name="Dane wejściowe 2 17 13 4" xfId="8862"/>
    <cellStyle name="Dane wejściowe 2 17 14" xfId="8863"/>
    <cellStyle name="Dane wejściowe 2 17 14 2" xfId="8864"/>
    <cellStyle name="Dane wejściowe 2 17 14 3" xfId="8865"/>
    <cellStyle name="Dane wejściowe 2 17 14 4" xfId="8866"/>
    <cellStyle name="Dane wejściowe 2 17 15" xfId="8867"/>
    <cellStyle name="Dane wejściowe 2 17 15 2" xfId="8868"/>
    <cellStyle name="Dane wejściowe 2 17 15 3" xfId="8869"/>
    <cellStyle name="Dane wejściowe 2 17 15 4" xfId="8870"/>
    <cellStyle name="Dane wejściowe 2 17 16" xfId="8871"/>
    <cellStyle name="Dane wejściowe 2 17 16 2" xfId="8872"/>
    <cellStyle name="Dane wejściowe 2 17 16 3" xfId="8873"/>
    <cellStyle name="Dane wejściowe 2 17 16 4" xfId="8874"/>
    <cellStyle name="Dane wejściowe 2 17 17" xfId="8875"/>
    <cellStyle name="Dane wejściowe 2 17 17 2" xfId="8876"/>
    <cellStyle name="Dane wejściowe 2 17 17 3" xfId="8877"/>
    <cellStyle name="Dane wejściowe 2 17 17 4" xfId="8878"/>
    <cellStyle name="Dane wejściowe 2 17 18" xfId="8879"/>
    <cellStyle name="Dane wejściowe 2 17 18 2" xfId="8880"/>
    <cellStyle name="Dane wejściowe 2 17 18 3" xfId="8881"/>
    <cellStyle name="Dane wejściowe 2 17 18 4" xfId="8882"/>
    <cellStyle name="Dane wejściowe 2 17 19" xfId="8883"/>
    <cellStyle name="Dane wejściowe 2 17 19 2" xfId="8884"/>
    <cellStyle name="Dane wejściowe 2 17 19 3" xfId="8885"/>
    <cellStyle name="Dane wejściowe 2 17 19 4" xfId="8886"/>
    <cellStyle name="Dane wejściowe 2 17 2" xfId="8887"/>
    <cellStyle name="Dane wejściowe 2 17 2 2" xfId="8888"/>
    <cellStyle name="Dane wejściowe 2 17 2 3" xfId="8889"/>
    <cellStyle name="Dane wejściowe 2 17 2 4" xfId="8890"/>
    <cellStyle name="Dane wejściowe 2 17 20" xfId="8891"/>
    <cellStyle name="Dane wejściowe 2 17 20 2" xfId="8892"/>
    <cellStyle name="Dane wejściowe 2 17 20 3" xfId="8893"/>
    <cellStyle name="Dane wejściowe 2 17 20 4" xfId="8894"/>
    <cellStyle name="Dane wejściowe 2 17 21" xfId="8895"/>
    <cellStyle name="Dane wejściowe 2 17 21 2" xfId="8896"/>
    <cellStyle name="Dane wejściowe 2 17 21 3" xfId="8897"/>
    <cellStyle name="Dane wejściowe 2 17 22" xfId="8898"/>
    <cellStyle name="Dane wejściowe 2 17 22 2" xfId="8899"/>
    <cellStyle name="Dane wejściowe 2 17 22 3" xfId="8900"/>
    <cellStyle name="Dane wejściowe 2 17 23" xfId="8901"/>
    <cellStyle name="Dane wejściowe 2 17 23 2" xfId="8902"/>
    <cellStyle name="Dane wejściowe 2 17 23 3" xfId="8903"/>
    <cellStyle name="Dane wejściowe 2 17 24" xfId="8904"/>
    <cellStyle name="Dane wejściowe 2 17 24 2" xfId="8905"/>
    <cellStyle name="Dane wejściowe 2 17 24 3" xfId="8906"/>
    <cellStyle name="Dane wejściowe 2 17 25" xfId="8907"/>
    <cellStyle name="Dane wejściowe 2 17 25 2" xfId="8908"/>
    <cellStyle name="Dane wejściowe 2 17 25 3" xfId="8909"/>
    <cellStyle name="Dane wejściowe 2 17 26" xfId="8910"/>
    <cellStyle name="Dane wejściowe 2 17 26 2" xfId="8911"/>
    <cellStyle name="Dane wejściowe 2 17 26 3" xfId="8912"/>
    <cellStyle name="Dane wejściowe 2 17 27" xfId="8913"/>
    <cellStyle name="Dane wejściowe 2 17 27 2" xfId="8914"/>
    <cellStyle name="Dane wejściowe 2 17 27 3" xfId="8915"/>
    <cellStyle name="Dane wejściowe 2 17 28" xfId="8916"/>
    <cellStyle name="Dane wejściowe 2 17 28 2" xfId="8917"/>
    <cellStyle name="Dane wejściowe 2 17 28 3" xfId="8918"/>
    <cellStyle name="Dane wejściowe 2 17 29" xfId="8919"/>
    <cellStyle name="Dane wejściowe 2 17 29 2" xfId="8920"/>
    <cellStyle name="Dane wejściowe 2 17 29 3" xfId="8921"/>
    <cellStyle name="Dane wejściowe 2 17 3" xfId="8922"/>
    <cellStyle name="Dane wejściowe 2 17 3 2" xfId="8923"/>
    <cellStyle name="Dane wejściowe 2 17 3 3" xfId="8924"/>
    <cellStyle name="Dane wejściowe 2 17 3 4" xfId="8925"/>
    <cellStyle name="Dane wejściowe 2 17 30" xfId="8926"/>
    <cellStyle name="Dane wejściowe 2 17 30 2" xfId="8927"/>
    <cellStyle name="Dane wejściowe 2 17 30 3" xfId="8928"/>
    <cellStyle name="Dane wejściowe 2 17 31" xfId="8929"/>
    <cellStyle name="Dane wejściowe 2 17 31 2" xfId="8930"/>
    <cellStyle name="Dane wejściowe 2 17 31 3" xfId="8931"/>
    <cellStyle name="Dane wejściowe 2 17 32" xfId="8932"/>
    <cellStyle name="Dane wejściowe 2 17 32 2" xfId="8933"/>
    <cellStyle name="Dane wejściowe 2 17 32 3" xfId="8934"/>
    <cellStyle name="Dane wejściowe 2 17 33" xfId="8935"/>
    <cellStyle name="Dane wejściowe 2 17 33 2" xfId="8936"/>
    <cellStyle name="Dane wejściowe 2 17 33 3" xfId="8937"/>
    <cellStyle name="Dane wejściowe 2 17 34" xfId="8938"/>
    <cellStyle name="Dane wejściowe 2 17 34 2" xfId="8939"/>
    <cellStyle name="Dane wejściowe 2 17 34 3" xfId="8940"/>
    <cellStyle name="Dane wejściowe 2 17 35" xfId="8941"/>
    <cellStyle name="Dane wejściowe 2 17 35 2" xfId="8942"/>
    <cellStyle name="Dane wejściowe 2 17 35 3" xfId="8943"/>
    <cellStyle name="Dane wejściowe 2 17 36" xfId="8944"/>
    <cellStyle name="Dane wejściowe 2 17 36 2" xfId="8945"/>
    <cellStyle name="Dane wejściowe 2 17 36 3" xfId="8946"/>
    <cellStyle name="Dane wejściowe 2 17 37" xfId="8947"/>
    <cellStyle name="Dane wejściowe 2 17 37 2" xfId="8948"/>
    <cellStyle name="Dane wejściowe 2 17 37 3" xfId="8949"/>
    <cellStyle name="Dane wejściowe 2 17 38" xfId="8950"/>
    <cellStyle name="Dane wejściowe 2 17 38 2" xfId="8951"/>
    <cellStyle name="Dane wejściowe 2 17 38 3" xfId="8952"/>
    <cellStyle name="Dane wejściowe 2 17 39" xfId="8953"/>
    <cellStyle name="Dane wejściowe 2 17 39 2" xfId="8954"/>
    <cellStyle name="Dane wejściowe 2 17 39 3" xfId="8955"/>
    <cellStyle name="Dane wejściowe 2 17 4" xfId="8956"/>
    <cellStyle name="Dane wejściowe 2 17 4 2" xfId="8957"/>
    <cellStyle name="Dane wejściowe 2 17 4 3" xfId="8958"/>
    <cellStyle name="Dane wejściowe 2 17 4 4" xfId="8959"/>
    <cellStyle name="Dane wejściowe 2 17 40" xfId="8960"/>
    <cellStyle name="Dane wejściowe 2 17 40 2" xfId="8961"/>
    <cellStyle name="Dane wejściowe 2 17 40 3" xfId="8962"/>
    <cellStyle name="Dane wejściowe 2 17 41" xfId="8963"/>
    <cellStyle name="Dane wejściowe 2 17 41 2" xfId="8964"/>
    <cellStyle name="Dane wejściowe 2 17 41 3" xfId="8965"/>
    <cellStyle name="Dane wejściowe 2 17 42" xfId="8966"/>
    <cellStyle name="Dane wejściowe 2 17 42 2" xfId="8967"/>
    <cellStyle name="Dane wejściowe 2 17 42 3" xfId="8968"/>
    <cellStyle name="Dane wejściowe 2 17 43" xfId="8969"/>
    <cellStyle name="Dane wejściowe 2 17 43 2" xfId="8970"/>
    <cellStyle name="Dane wejściowe 2 17 43 3" xfId="8971"/>
    <cellStyle name="Dane wejściowe 2 17 44" xfId="8972"/>
    <cellStyle name="Dane wejściowe 2 17 44 2" xfId="8973"/>
    <cellStyle name="Dane wejściowe 2 17 44 3" xfId="8974"/>
    <cellStyle name="Dane wejściowe 2 17 45" xfId="8975"/>
    <cellStyle name="Dane wejściowe 2 17 45 2" xfId="8976"/>
    <cellStyle name="Dane wejściowe 2 17 45 3" xfId="8977"/>
    <cellStyle name="Dane wejściowe 2 17 46" xfId="8978"/>
    <cellStyle name="Dane wejściowe 2 17 46 2" xfId="8979"/>
    <cellStyle name="Dane wejściowe 2 17 46 3" xfId="8980"/>
    <cellStyle name="Dane wejściowe 2 17 47" xfId="8981"/>
    <cellStyle name="Dane wejściowe 2 17 47 2" xfId="8982"/>
    <cellStyle name="Dane wejściowe 2 17 47 3" xfId="8983"/>
    <cellStyle name="Dane wejściowe 2 17 48" xfId="8984"/>
    <cellStyle name="Dane wejściowe 2 17 48 2" xfId="8985"/>
    <cellStyle name="Dane wejściowe 2 17 48 3" xfId="8986"/>
    <cellStyle name="Dane wejściowe 2 17 49" xfId="8987"/>
    <cellStyle name="Dane wejściowe 2 17 49 2" xfId="8988"/>
    <cellStyle name="Dane wejściowe 2 17 49 3" xfId="8989"/>
    <cellStyle name="Dane wejściowe 2 17 5" xfId="8990"/>
    <cellStyle name="Dane wejściowe 2 17 5 2" xfId="8991"/>
    <cellStyle name="Dane wejściowe 2 17 5 3" xfId="8992"/>
    <cellStyle name="Dane wejściowe 2 17 5 4" xfId="8993"/>
    <cellStyle name="Dane wejściowe 2 17 50" xfId="8994"/>
    <cellStyle name="Dane wejściowe 2 17 50 2" xfId="8995"/>
    <cellStyle name="Dane wejściowe 2 17 50 3" xfId="8996"/>
    <cellStyle name="Dane wejściowe 2 17 51" xfId="8997"/>
    <cellStyle name="Dane wejściowe 2 17 51 2" xfId="8998"/>
    <cellStyle name="Dane wejściowe 2 17 51 3" xfId="8999"/>
    <cellStyle name="Dane wejściowe 2 17 52" xfId="9000"/>
    <cellStyle name="Dane wejściowe 2 17 52 2" xfId="9001"/>
    <cellStyle name="Dane wejściowe 2 17 52 3" xfId="9002"/>
    <cellStyle name="Dane wejściowe 2 17 53" xfId="9003"/>
    <cellStyle name="Dane wejściowe 2 17 53 2" xfId="9004"/>
    <cellStyle name="Dane wejściowe 2 17 53 3" xfId="9005"/>
    <cellStyle name="Dane wejściowe 2 17 54" xfId="9006"/>
    <cellStyle name="Dane wejściowe 2 17 54 2" xfId="9007"/>
    <cellStyle name="Dane wejściowe 2 17 54 3" xfId="9008"/>
    <cellStyle name="Dane wejściowe 2 17 55" xfId="9009"/>
    <cellStyle name="Dane wejściowe 2 17 55 2" xfId="9010"/>
    <cellStyle name="Dane wejściowe 2 17 55 3" xfId="9011"/>
    <cellStyle name="Dane wejściowe 2 17 56" xfId="9012"/>
    <cellStyle name="Dane wejściowe 2 17 56 2" xfId="9013"/>
    <cellStyle name="Dane wejściowe 2 17 56 3" xfId="9014"/>
    <cellStyle name="Dane wejściowe 2 17 57" xfId="9015"/>
    <cellStyle name="Dane wejściowe 2 17 58" xfId="9016"/>
    <cellStyle name="Dane wejściowe 2 17 6" xfId="9017"/>
    <cellStyle name="Dane wejściowe 2 17 6 2" xfId="9018"/>
    <cellStyle name="Dane wejściowe 2 17 6 3" xfId="9019"/>
    <cellStyle name="Dane wejściowe 2 17 6 4" xfId="9020"/>
    <cellStyle name="Dane wejściowe 2 17 7" xfId="9021"/>
    <cellStyle name="Dane wejściowe 2 17 7 2" xfId="9022"/>
    <cellStyle name="Dane wejściowe 2 17 7 3" xfId="9023"/>
    <cellStyle name="Dane wejściowe 2 17 7 4" xfId="9024"/>
    <cellStyle name="Dane wejściowe 2 17 8" xfId="9025"/>
    <cellStyle name="Dane wejściowe 2 17 8 2" xfId="9026"/>
    <cellStyle name="Dane wejściowe 2 17 8 3" xfId="9027"/>
    <cellStyle name="Dane wejściowe 2 17 8 4" xfId="9028"/>
    <cellStyle name="Dane wejściowe 2 17 9" xfId="9029"/>
    <cellStyle name="Dane wejściowe 2 17 9 2" xfId="9030"/>
    <cellStyle name="Dane wejściowe 2 17 9 3" xfId="9031"/>
    <cellStyle name="Dane wejściowe 2 17 9 4" xfId="9032"/>
    <cellStyle name="Dane wejściowe 2 18" xfId="9033"/>
    <cellStyle name="Dane wejściowe 2 18 10" xfId="9034"/>
    <cellStyle name="Dane wejściowe 2 18 10 2" xfId="9035"/>
    <cellStyle name="Dane wejściowe 2 18 10 3" xfId="9036"/>
    <cellStyle name="Dane wejściowe 2 18 10 4" xfId="9037"/>
    <cellStyle name="Dane wejściowe 2 18 11" xfId="9038"/>
    <cellStyle name="Dane wejściowe 2 18 11 2" xfId="9039"/>
    <cellStyle name="Dane wejściowe 2 18 11 3" xfId="9040"/>
    <cellStyle name="Dane wejściowe 2 18 11 4" xfId="9041"/>
    <cellStyle name="Dane wejściowe 2 18 12" xfId="9042"/>
    <cellStyle name="Dane wejściowe 2 18 12 2" xfId="9043"/>
    <cellStyle name="Dane wejściowe 2 18 12 3" xfId="9044"/>
    <cellStyle name="Dane wejściowe 2 18 12 4" xfId="9045"/>
    <cellStyle name="Dane wejściowe 2 18 13" xfId="9046"/>
    <cellStyle name="Dane wejściowe 2 18 13 2" xfId="9047"/>
    <cellStyle name="Dane wejściowe 2 18 13 3" xfId="9048"/>
    <cellStyle name="Dane wejściowe 2 18 13 4" xfId="9049"/>
    <cellStyle name="Dane wejściowe 2 18 14" xfId="9050"/>
    <cellStyle name="Dane wejściowe 2 18 14 2" xfId="9051"/>
    <cellStyle name="Dane wejściowe 2 18 14 3" xfId="9052"/>
    <cellStyle name="Dane wejściowe 2 18 14 4" xfId="9053"/>
    <cellStyle name="Dane wejściowe 2 18 15" xfId="9054"/>
    <cellStyle name="Dane wejściowe 2 18 15 2" xfId="9055"/>
    <cellStyle name="Dane wejściowe 2 18 15 3" xfId="9056"/>
    <cellStyle name="Dane wejściowe 2 18 15 4" xfId="9057"/>
    <cellStyle name="Dane wejściowe 2 18 16" xfId="9058"/>
    <cellStyle name="Dane wejściowe 2 18 16 2" xfId="9059"/>
    <cellStyle name="Dane wejściowe 2 18 16 3" xfId="9060"/>
    <cellStyle name="Dane wejściowe 2 18 16 4" xfId="9061"/>
    <cellStyle name="Dane wejściowe 2 18 17" xfId="9062"/>
    <cellStyle name="Dane wejściowe 2 18 17 2" xfId="9063"/>
    <cellStyle name="Dane wejściowe 2 18 17 3" xfId="9064"/>
    <cellStyle name="Dane wejściowe 2 18 17 4" xfId="9065"/>
    <cellStyle name="Dane wejściowe 2 18 18" xfId="9066"/>
    <cellStyle name="Dane wejściowe 2 18 18 2" xfId="9067"/>
    <cellStyle name="Dane wejściowe 2 18 18 3" xfId="9068"/>
    <cellStyle name="Dane wejściowe 2 18 18 4" xfId="9069"/>
    <cellStyle name="Dane wejściowe 2 18 19" xfId="9070"/>
    <cellStyle name="Dane wejściowe 2 18 19 2" xfId="9071"/>
    <cellStyle name="Dane wejściowe 2 18 19 3" xfId="9072"/>
    <cellStyle name="Dane wejściowe 2 18 19 4" xfId="9073"/>
    <cellStyle name="Dane wejściowe 2 18 2" xfId="9074"/>
    <cellStyle name="Dane wejściowe 2 18 2 2" xfId="9075"/>
    <cellStyle name="Dane wejściowe 2 18 2 3" xfId="9076"/>
    <cellStyle name="Dane wejściowe 2 18 2 4" xfId="9077"/>
    <cellStyle name="Dane wejściowe 2 18 20" xfId="9078"/>
    <cellStyle name="Dane wejściowe 2 18 20 2" xfId="9079"/>
    <cellStyle name="Dane wejściowe 2 18 20 3" xfId="9080"/>
    <cellStyle name="Dane wejściowe 2 18 20 4" xfId="9081"/>
    <cellStyle name="Dane wejściowe 2 18 21" xfId="9082"/>
    <cellStyle name="Dane wejściowe 2 18 21 2" xfId="9083"/>
    <cellStyle name="Dane wejściowe 2 18 21 3" xfId="9084"/>
    <cellStyle name="Dane wejściowe 2 18 22" xfId="9085"/>
    <cellStyle name="Dane wejściowe 2 18 22 2" xfId="9086"/>
    <cellStyle name="Dane wejściowe 2 18 22 3" xfId="9087"/>
    <cellStyle name="Dane wejściowe 2 18 23" xfId="9088"/>
    <cellStyle name="Dane wejściowe 2 18 23 2" xfId="9089"/>
    <cellStyle name="Dane wejściowe 2 18 23 3" xfId="9090"/>
    <cellStyle name="Dane wejściowe 2 18 24" xfId="9091"/>
    <cellStyle name="Dane wejściowe 2 18 24 2" xfId="9092"/>
    <cellStyle name="Dane wejściowe 2 18 24 3" xfId="9093"/>
    <cellStyle name="Dane wejściowe 2 18 25" xfId="9094"/>
    <cellStyle name="Dane wejściowe 2 18 25 2" xfId="9095"/>
    <cellStyle name="Dane wejściowe 2 18 25 3" xfId="9096"/>
    <cellStyle name="Dane wejściowe 2 18 26" xfId="9097"/>
    <cellStyle name="Dane wejściowe 2 18 26 2" xfId="9098"/>
    <cellStyle name="Dane wejściowe 2 18 26 3" xfId="9099"/>
    <cellStyle name="Dane wejściowe 2 18 27" xfId="9100"/>
    <cellStyle name="Dane wejściowe 2 18 27 2" xfId="9101"/>
    <cellStyle name="Dane wejściowe 2 18 27 3" xfId="9102"/>
    <cellStyle name="Dane wejściowe 2 18 28" xfId="9103"/>
    <cellStyle name="Dane wejściowe 2 18 28 2" xfId="9104"/>
    <cellStyle name="Dane wejściowe 2 18 28 3" xfId="9105"/>
    <cellStyle name="Dane wejściowe 2 18 29" xfId="9106"/>
    <cellStyle name="Dane wejściowe 2 18 29 2" xfId="9107"/>
    <cellStyle name="Dane wejściowe 2 18 29 3" xfId="9108"/>
    <cellStyle name="Dane wejściowe 2 18 3" xfId="9109"/>
    <cellStyle name="Dane wejściowe 2 18 3 2" xfId="9110"/>
    <cellStyle name="Dane wejściowe 2 18 3 3" xfId="9111"/>
    <cellStyle name="Dane wejściowe 2 18 3 4" xfId="9112"/>
    <cellStyle name="Dane wejściowe 2 18 30" xfId="9113"/>
    <cellStyle name="Dane wejściowe 2 18 30 2" xfId="9114"/>
    <cellStyle name="Dane wejściowe 2 18 30 3" xfId="9115"/>
    <cellStyle name="Dane wejściowe 2 18 31" xfId="9116"/>
    <cellStyle name="Dane wejściowe 2 18 31 2" xfId="9117"/>
    <cellStyle name="Dane wejściowe 2 18 31 3" xfId="9118"/>
    <cellStyle name="Dane wejściowe 2 18 32" xfId="9119"/>
    <cellStyle name="Dane wejściowe 2 18 32 2" xfId="9120"/>
    <cellStyle name="Dane wejściowe 2 18 32 3" xfId="9121"/>
    <cellStyle name="Dane wejściowe 2 18 33" xfId="9122"/>
    <cellStyle name="Dane wejściowe 2 18 33 2" xfId="9123"/>
    <cellStyle name="Dane wejściowe 2 18 33 3" xfId="9124"/>
    <cellStyle name="Dane wejściowe 2 18 34" xfId="9125"/>
    <cellStyle name="Dane wejściowe 2 18 34 2" xfId="9126"/>
    <cellStyle name="Dane wejściowe 2 18 34 3" xfId="9127"/>
    <cellStyle name="Dane wejściowe 2 18 35" xfId="9128"/>
    <cellStyle name="Dane wejściowe 2 18 35 2" xfId="9129"/>
    <cellStyle name="Dane wejściowe 2 18 35 3" xfId="9130"/>
    <cellStyle name="Dane wejściowe 2 18 36" xfId="9131"/>
    <cellStyle name="Dane wejściowe 2 18 36 2" xfId="9132"/>
    <cellStyle name="Dane wejściowe 2 18 36 3" xfId="9133"/>
    <cellStyle name="Dane wejściowe 2 18 37" xfId="9134"/>
    <cellStyle name="Dane wejściowe 2 18 37 2" xfId="9135"/>
    <cellStyle name="Dane wejściowe 2 18 37 3" xfId="9136"/>
    <cellStyle name="Dane wejściowe 2 18 38" xfId="9137"/>
    <cellStyle name="Dane wejściowe 2 18 38 2" xfId="9138"/>
    <cellStyle name="Dane wejściowe 2 18 38 3" xfId="9139"/>
    <cellStyle name="Dane wejściowe 2 18 39" xfId="9140"/>
    <cellStyle name="Dane wejściowe 2 18 39 2" xfId="9141"/>
    <cellStyle name="Dane wejściowe 2 18 39 3" xfId="9142"/>
    <cellStyle name="Dane wejściowe 2 18 4" xfId="9143"/>
    <cellStyle name="Dane wejściowe 2 18 4 2" xfId="9144"/>
    <cellStyle name="Dane wejściowe 2 18 4 3" xfId="9145"/>
    <cellStyle name="Dane wejściowe 2 18 4 4" xfId="9146"/>
    <cellStyle name="Dane wejściowe 2 18 40" xfId="9147"/>
    <cellStyle name="Dane wejściowe 2 18 40 2" xfId="9148"/>
    <cellStyle name="Dane wejściowe 2 18 40 3" xfId="9149"/>
    <cellStyle name="Dane wejściowe 2 18 41" xfId="9150"/>
    <cellStyle name="Dane wejściowe 2 18 41 2" xfId="9151"/>
    <cellStyle name="Dane wejściowe 2 18 41 3" xfId="9152"/>
    <cellStyle name="Dane wejściowe 2 18 42" xfId="9153"/>
    <cellStyle name="Dane wejściowe 2 18 42 2" xfId="9154"/>
    <cellStyle name="Dane wejściowe 2 18 42 3" xfId="9155"/>
    <cellStyle name="Dane wejściowe 2 18 43" xfId="9156"/>
    <cellStyle name="Dane wejściowe 2 18 43 2" xfId="9157"/>
    <cellStyle name="Dane wejściowe 2 18 43 3" xfId="9158"/>
    <cellStyle name="Dane wejściowe 2 18 44" xfId="9159"/>
    <cellStyle name="Dane wejściowe 2 18 44 2" xfId="9160"/>
    <cellStyle name="Dane wejściowe 2 18 44 3" xfId="9161"/>
    <cellStyle name="Dane wejściowe 2 18 45" xfId="9162"/>
    <cellStyle name="Dane wejściowe 2 18 45 2" xfId="9163"/>
    <cellStyle name="Dane wejściowe 2 18 45 3" xfId="9164"/>
    <cellStyle name="Dane wejściowe 2 18 46" xfId="9165"/>
    <cellStyle name="Dane wejściowe 2 18 46 2" xfId="9166"/>
    <cellStyle name="Dane wejściowe 2 18 46 3" xfId="9167"/>
    <cellStyle name="Dane wejściowe 2 18 47" xfId="9168"/>
    <cellStyle name="Dane wejściowe 2 18 47 2" xfId="9169"/>
    <cellStyle name="Dane wejściowe 2 18 47 3" xfId="9170"/>
    <cellStyle name="Dane wejściowe 2 18 48" xfId="9171"/>
    <cellStyle name="Dane wejściowe 2 18 48 2" xfId="9172"/>
    <cellStyle name="Dane wejściowe 2 18 48 3" xfId="9173"/>
    <cellStyle name="Dane wejściowe 2 18 49" xfId="9174"/>
    <cellStyle name="Dane wejściowe 2 18 49 2" xfId="9175"/>
    <cellStyle name="Dane wejściowe 2 18 49 3" xfId="9176"/>
    <cellStyle name="Dane wejściowe 2 18 5" xfId="9177"/>
    <cellStyle name="Dane wejściowe 2 18 5 2" xfId="9178"/>
    <cellStyle name="Dane wejściowe 2 18 5 3" xfId="9179"/>
    <cellStyle name="Dane wejściowe 2 18 5 4" xfId="9180"/>
    <cellStyle name="Dane wejściowe 2 18 50" xfId="9181"/>
    <cellStyle name="Dane wejściowe 2 18 50 2" xfId="9182"/>
    <cellStyle name="Dane wejściowe 2 18 50 3" xfId="9183"/>
    <cellStyle name="Dane wejściowe 2 18 51" xfId="9184"/>
    <cellStyle name="Dane wejściowe 2 18 51 2" xfId="9185"/>
    <cellStyle name="Dane wejściowe 2 18 51 3" xfId="9186"/>
    <cellStyle name="Dane wejściowe 2 18 52" xfId="9187"/>
    <cellStyle name="Dane wejściowe 2 18 52 2" xfId="9188"/>
    <cellStyle name="Dane wejściowe 2 18 52 3" xfId="9189"/>
    <cellStyle name="Dane wejściowe 2 18 53" xfId="9190"/>
    <cellStyle name="Dane wejściowe 2 18 53 2" xfId="9191"/>
    <cellStyle name="Dane wejściowe 2 18 53 3" xfId="9192"/>
    <cellStyle name="Dane wejściowe 2 18 54" xfId="9193"/>
    <cellStyle name="Dane wejściowe 2 18 54 2" xfId="9194"/>
    <cellStyle name="Dane wejściowe 2 18 54 3" xfId="9195"/>
    <cellStyle name="Dane wejściowe 2 18 55" xfId="9196"/>
    <cellStyle name="Dane wejściowe 2 18 55 2" xfId="9197"/>
    <cellStyle name="Dane wejściowe 2 18 55 3" xfId="9198"/>
    <cellStyle name="Dane wejściowe 2 18 56" xfId="9199"/>
    <cellStyle name="Dane wejściowe 2 18 56 2" xfId="9200"/>
    <cellStyle name="Dane wejściowe 2 18 56 3" xfId="9201"/>
    <cellStyle name="Dane wejściowe 2 18 57" xfId="9202"/>
    <cellStyle name="Dane wejściowe 2 18 58" xfId="9203"/>
    <cellStyle name="Dane wejściowe 2 18 6" xfId="9204"/>
    <cellStyle name="Dane wejściowe 2 18 6 2" xfId="9205"/>
    <cellStyle name="Dane wejściowe 2 18 6 3" xfId="9206"/>
    <cellStyle name="Dane wejściowe 2 18 6 4" xfId="9207"/>
    <cellStyle name="Dane wejściowe 2 18 7" xfId="9208"/>
    <cellStyle name="Dane wejściowe 2 18 7 2" xfId="9209"/>
    <cellStyle name="Dane wejściowe 2 18 7 3" xfId="9210"/>
    <cellStyle name="Dane wejściowe 2 18 7 4" xfId="9211"/>
    <cellStyle name="Dane wejściowe 2 18 8" xfId="9212"/>
    <cellStyle name="Dane wejściowe 2 18 8 2" xfId="9213"/>
    <cellStyle name="Dane wejściowe 2 18 8 3" xfId="9214"/>
    <cellStyle name="Dane wejściowe 2 18 8 4" xfId="9215"/>
    <cellStyle name="Dane wejściowe 2 18 9" xfId="9216"/>
    <cellStyle name="Dane wejściowe 2 18 9 2" xfId="9217"/>
    <cellStyle name="Dane wejściowe 2 18 9 3" xfId="9218"/>
    <cellStyle name="Dane wejściowe 2 18 9 4" xfId="9219"/>
    <cellStyle name="Dane wejściowe 2 19" xfId="9220"/>
    <cellStyle name="Dane wejściowe 2 19 10" xfId="9221"/>
    <cellStyle name="Dane wejściowe 2 19 10 2" xfId="9222"/>
    <cellStyle name="Dane wejściowe 2 19 10 3" xfId="9223"/>
    <cellStyle name="Dane wejściowe 2 19 10 4" xfId="9224"/>
    <cellStyle name="Dane wejściowe 2 19 11" xfId="9225"/>
    <cellStyle name="Dane wejściowe 2 19 11 2" xfId="9226"/>
    <cellStyle name="Dane wejściowe 2 19 11 3" xfId="9227"/>
    <cellStyle name="Dane wejściowe 2 19 11 4" xfId="9228"/>
    <cellStyle name="Dane wejściowe 2 19 12" xfId="9229"/>
    <cellStyle name="Dane wejściowe 2 19 12 2" xfId="9230"/>
    <cellStyle name="Dane wejściowe 2 19 12 3" xfId="9231"/>
    <cellStyle name="Dane wejściowe 2 19 12 4" xfId="9232"/>
    <cellStyle name="Dane wejściowe 2 19 13" xfId="9233"/>
    <cellStyle name="Dane wejściowe 2 19 13 2" xfId="9234"/>
    <cellStyle name="Dane wejściowe 2 19 13 3" xfId="9235"/>
    <cellStyle name="Dane wejściowe 2 19 13 4" xfId="9236"/>
    <cellStyle name="Dane wejściowe 2 19 14" xfId="9237"/>
    <cellStyle name="Dane wejściowe 2 19 14 2" xfId="9238"/>
    <cellStyle name="Dane wejściowe 2 19 14 3" xfId="9239"/>
    <cellStyle name="Dane wejściowe 2 19 14 4" xfId="9240"/>
    <cellStyle name="Dane wejściowe 2 19 15" xfId="9241"/>
    <cellStyle name="Dane wejściowe 2 19 15 2" xfId="9242"/>
    <cellStyle name="Dane wejściowe 2 19 15 3" xfId="9243"/>
    <cellStyle name="Dane wejściowe 2 19 15 4" xfId="9244"/>
    <cellStyle name="Dane wejściowe 2 19 16" xfId="9245"/>
    <cellStyle name="Dane wejściowe 2 19 16 2" xfId="9246"/>
    <cellStyle name="Dane wejściowe 2 19 16 3" xfId="9247"/>
    <cellStyle name="Dane wejściowe 2 19 16 4" xfId="9248"/>
    <cellStyle name="Dane wejściowe 2 19 17" xfId="9249"/>
    <cellStyle name="Dane wejściowe 2 19 17 2" xfId="9250"/>
    <cellStyle name="Dane wejściowe 2 19 17 3" xfId="9251"/>
    <cellStyle name="Dane wejściowe 2 19 17 4" xfId="9252"/>
    <cellStyle name="Dane wejściowe 2 19 18" xfId="9253"/>
    <cellStyle name="Dane wejściowe 2 19 18 2" xfId="9254"/>
    <cellStyle name="Dane wejściowe 2 19 18 3" xfId="9255"/>
    <cellStyle name="Dane wejściowe 2 19 18 4" xfId="9256"/>
    <cellStyle name="Dane wejściowe 2 19 19" xfId="9257"/>
    <cellStyle name="Dane wejściowe 2 19 19 2" xfId="9258"/>
    <cellStyle name="Dane wejściowe 2 19 19 3" xfId="9259"/>
    <cellStyle name="Dane wejściowe 2 19 19 4" xfId="9260"/>
    <cellStyle name="Dane wejściowe 2 19 2" xfId="9261"/>
    <cellStyle name="Dane wejściowe 2 19 2 2" xfId="9262"/>
    <cellStyle name="Dane wejściowe 2 19 2 3" xfId="9263"/>
    <cellStyle name="Dane wejściowe 2 19 2 4" xfId="9264"/>
    <cellStyle name="Dane wejściowe 2 19 20" xfId="9265"/>
    <cellStyle name="Dane wejściowe 2 19 20 2" xfId="9266"/>
    <cellStyle name="Dane wejściowe 2 19 20 3" xfId="9267"/>
    <cellStyle name="Dane wejściowe 2 19 20 4" xfId="9268"/>
    <cellStyle name="Dane wejściowe 2 19 21" xfId="9269"/>
    <cellStyle name="Dane wejściowe 2 19 21 2" xfId="9270"/>
    <cellStyle name="Dane wejściowe 2 19 21 3" xfId="9271"/>
    <cellStyle name="Dane wejściowe 2 19 22" xfId="9272"/>
    <cellStyle name="Dane wejściowe 2 19 22 2" xfId="9273"/>
    <cellStyle name="Dane wejściowe 2 19 22 3" xfId="9274"/>
    <cellStyle name="Dane wejściowe 2 19 23" xfId="9275"/>
    <cellStyle name="Dane wejściowe 2 19 23 2" xfId="9276"/>
    <cellStyle name="Dane wejściowe 2 19 23 3" xfId="9277"/>
    <cellStyle name="Dane wejściowe 2 19 24" xfId="9278"/>
    <cellStyle name="Dane wejściowe 2 19 24 2" xfId="9279"/>
    <cellStyle name="Dane wejściowe 2 19 24 3" xfId="9280"/>
    <cellStyle name="Dane wejściowe 2 19 25" xfId="9281"/>
    <cellStyle name="Dane wejściowe 2 19 25 2" xfId="9282"/>
    <cellStyle name="Dane wejściowe 2 19 25 3" xfId="9283"/>
    <cellStyle name="Dane wejściowe 2 19 26" xfId="9284"/>
    <cellStyle name="Dane wejściowe 2 19 26 2" xfId="9285"/>
    <cellStyle name="Dane wejściowe 2 19 26 3" xfId="9286"/>
    <cellStyle name="Dane wejściowe 2 19 27" xfId="9287"/>
    <cellStyle name="Dane wejściowe 2 19 27 2" xfId="9288"/>
    <cellStyle name="Dane wejściowe 2 19 27 3" xfId="9289"/>
    <cellStyle name="Dane wejściowe 2 19 28" xfId="9290"/>
    <cellStyle name="Dane wejściowe 2 19 28 2" xfId="9291"/>
    <cellStyle name="Dane wejściowe 2 19 28 3" xfId="9292"/>
    <cellStyle name="Dane wejściowe 2 19 29" xfId="9293"/>
    <cellStyle name="Dane wejściowe 2 19 29 2" xfId="9294"/>
    <cellStyle name="Dane wejściowe 2 19 29 3" xfId="9295"/>
    <cellStyle name="Dane wejściowe 2 19 3" xfId="9296"/>
    <cellStyle name="Dane wejściowe 2 19 3 2" xfId="9297"/>
    <cellStyle name="Dane wejściowe 2 19 3 3" xfId="9298"/>
    <cellStyle name="Dane wejściowe 2 19 3 4" xfId="9299"/>
    <cellStyle name="Dane wejściowe 2 19 30" xfId="9300"/>
    <cellStyle name="Dane wejściowe 2 19 30 2" xfId="9301"/>
    <cellStyle name="Dane wejściowe 2 19 30 3" xfId="9302"/>
    <cellStyle name="Dane wejściowe 2 19 31" xfId="9303"/>
    <cellStyle name="Dane wejściowe 2 19 31 2" xfId="9304"/>
    <cellStyle name="Dane wejściowe 2 19 31 3" xfId="9305"/>
    <cellStyle name="Dane wejściowe 2 19 32" xfId="9306"/>
    <cellStyle name="Dane wejściowe 2 19 32 2" xfId="9307"/>
    <cellStyle name="Dane wejściowe 2 19 32 3" xfId="9308"/>
    <cellStyle name="Dane wejściowe 2 19 33" xfId="9309"/>
    <cellStyle name="Dane wejściowe 2 19 33 2" xfId="9310"/>
    <cellStyle name="Dane wejściowe 2 19 33 3" xfId="9311"/>
    <cellStyle name="Dane wejściowe 2 19 34" xfId="9312"/>
    <cellStyle name="Dane wejściowe 2 19 34 2" xfId="9313"/>
    <cellStyle name="Dane wejściowe 2 19 34 3" xfId="9314"/>
    <cellStyle name="Dane wejściowe 2 19 35" xfId="9315"/>
    <cellStyle name="Dane wejściowe 2 19 35 2" xfId="9316"/>
    <cellStyle name="Dane wejściowe 2 19 35 3" xfId="9317"/>
    <cellStyle name="Dane wejściowe 2 19 36" xfId="9318"/>
    <cellStyle name="Dane wejściowe 2 19 36 2" xfId="9319"/>
    <cellStyle name="Dane wejściowe 2 19 36 3" xfId="9320"/>
    <cellStyle name="Dane wejściowe 2 19 37" xfId="9321"/>
    <cellStyle name="Dane wejściowe 2 19 37 2" xfId="9322"/>
    <cellStyle name="Dane wejściowe 2 19 37 3" xfId="9323"/>
    <cellStyle name="Dane wejściowe 2 19 38" xfId="9324"/>
    <cellStyle name="Dane wejściowe 2 19 38 2" xfId="9325"/>
    <cellStyle name="Dane wejściowe 2 19 38 3" xfId="9326"/>
    <cellStyle name="Dane wejściowe 2 19 39" xfId="9327"/>
    <cellStyle name="Dane wejściowe 2 19 39 2" xfId="9328"/>
    <cellStyle name="Dane wejściowe 2 19 39 3" xfId="9329"/>
    <cellStyle name="Dane wejściowe 2 19 4" xfId="9330"/>
    <cellStyle name="Dane wejściowe 2 19 4 2" xfId="9331"/>
    <cellStyle name="Dane wejściowe 2 19 4 3" xfId="9332"/>
    <cellStyle name="Dane wejściowe 2 19 4 4" xfId="9333"/>
    <cellStyle name="Dane wejściowe 2 19 40" xfId="9334"/>
    <cellStyle name="Dane wejściowe 2 19 40 2" xfId="9335"/>
    <cellStyle name="Dane wejściowe 2 19 40 3" xfId="9336"/>
    <cellStyle name="Dane wejściowe 2 19 41" xfId="9337"/>
    <cellStyle name="Dane wejściowe 2 19 41 2" xfId="9338"/>
    <cellStyle name="Dane wejściowe 2 19 41 3" xfId="9339"/>
    <cellStyle name="Dane wejściowe 2 19 42" xfId="9340"/>
    <cellStyle name="Dane wejściowe 2 19 42 2" xfId="9341"/>
    <cellStyle name="Dane wejściowe 2 19 42 3" xfId="9342"/>
    <cellStyle name="Dane wejściowe 2 19 43" xfId="9343"/>
    <cellStyle name="Dane wejściowe 2 19 43 2" xfId="9344"/>
    <cellStyle name="Dane wejściowe 2 19 43 3" xfId="9345"/>
    <cellStyle name="Dane wejściowe 2 19 44" xfId="9346"/>
    <cellStyle name="Dane wejściowe 2 19 44 2" xfId="9347"/>
    <cellStyle name="Dane wejściowe 2 19 44 3" xfId="9348"/>
    <cellStyle name="Dane wejściowe 2 19 45" xfId="9349"/>
    <cellStyle name="Dane wejściowe 2 19 45 2" xfId="9350"/>
    <cellStyle name="Dane wejściowe 2 19 45 3" xfId="9351"/>
    <cellStyle name="Dane wejściowe 2 19 46" xfId="9352"/>
    <cellStyle name="Dane wejściowe 2 19 46 2" xfId="9353"/>
    <cellStyle name="Dane wejściowe 2 19 46 3" xfId="9354"/>
    <cellStyle name="Dane wejściowe 2 19 47" xfId="9355"/>
    <cellStyle name="Dane wejściowe 2 19 47 2" xfId="9356"/>
    <cellStyle name="Dane wejściowe 2 19 47 3" xfId="9357"/>
    <cellStyle name="Dane wejściowe 2 19 48" xfId="9358"/>
    <cellStyle name="Dane wejściowe 2 19 48 2" xfId="9359"/>
    <cellStyle name="Dane wejściowe 2 19 48 3" xfId="9360"/>
    <cellStyle name="Dane wejściowe 2 19 49" xfId="9361"/>
    <cellStyle name="Dane wejściowe 2 19 49 2" xfId="9362"/>
    <cellStyle name="Dane wejściowe 2 19 49 3" xfId="9363"/>
    <cellStyle name="Dane wejściowe 2 19 5" xfId="9364"/>
    <cellStyle name="Dane wejściowe 2 19 5 2" xfId="9365"/>
    <cellStyle name="Dane wejściowe 2 19 5 3" xfId="9366"/>
    <cellStyle name="Dane wejściowe 2 19 5 4" xfId="9367"/>
    <cellStyle name="Dane wejściowe 2 19 50" xfId="9368"/>
    <cellStyle name="Dane wejściowe 2 19 50 2" xfId="9369"/>
    <cellStyle name="Dane wejściowe 2 19 50 3" xfId="9370"/>
    <cellStyle name="Dane wejściowe 2 19 51" xfId="9371"/>
    <cellStyle name="Dane wejściowe 2 19 51 2" xfId="9372"/>
    <cellStyle name="Dane wejściowe 2 19 51 3" xfId="9373"/>
    <cellStyle name="Dane wejściowe 2 19 52" xfId="9374"/>
    <cellStyle name="Dane wejściowe 2 19 52 2" xfId="9375"/>
    <cellStyle name="Dane wejściowe 2 19 52 3" xfId="9376"/>
    <cellStyle name="Dane wejściowe 2 19 53" xfId="9377"/>
    <cellStyle name="Dane wejściowe 2 19 53 2" xfId="9378"/>
    <cellStyle name="Dane wejściowe 2 19 53 3" xfId="9379"/>
    <cellStyle name="Dane wejściowe 2 19 54" xfId="9380"/>
    <cellStyle name="Dane wejściowe 2 19 54 2" xfId="9381"/>
    <cellStyle name="Dane wejściowe 2 19 54 3" xfId="9382"/>
    <cellStyle name="Dane wejściowe 2 19 55" xfId="9383"/>
    <cellStyle name="Dane wejściowe 2 19 55 2" xfId="9384"/>
    <cellStyle name="Dane wejściowe 2 19 55 3" xfId="9385"/>
    <cellStyle name="Dane wejściowe 2 19 56" xfId="9386"/>
    <cellStyle name="Dane wejściowe 2 19 56 2" xfId="9387"/>
    <cellStyle name="Dane wejściowe 2 19 56 3" xfId="9388"/>
    <cellStyle name="Dane wejściowe 2 19 57" xfId="9389"/>
    <cellStyle name="Dane wejściowe 2 19 58" xfId="9390"/>
    <cellStyle name="Dane wejściowe 2 19 6" xfId="9391"/>
    <cellStyle name="Dane wejściowe 2 19 6 2" xfId="9392"/>
    <cellStyle name="Dane wejściowe 2 19 6 3" xfId="9393"/>
    <cellStyle name="Dane wejściowe 2 19 6 4" xfId="9394"/>
    <cellStyle name="Dane wejściowe 2 19 7" xfId="9395"/>
    <cellStyle name="Dane wejściowe 2 19 7 2" xfId="9396"/>
    <cellStyle name="Dane wejściowe 2 19 7 3" xfId="9397"/>
    <cellStyle name="Dane wejściowe 2 19 7 4" xfId="9398"/>
    <cellStyle name="Dane wejściowe 2 19 8" xfId="9399"/>
    <cellStyle name="Dane wejściowe 2 19 8 2" xfId="9400"/>
    <cellStyle name="Dane wejściowe 2 19 8 3" xfId="9401"/>
    <cellStyle name="Dane wejściowe 2 19 8 4" xfId="9402"/>
    <cellStyle name="Dane wejściowe 2 19 9" xfId="9403"/>
    <cellStyle name="Dane wejściowe 2 19 9 2" xfId="9404"/>
    <cellStyle name="Dane wejściowe 2 19 9 3" xfId="9405"/>
    <cellStyle name="Dane wejściowe 2 19 9 4" xfId="9406"/>
    <cellStyle name="Dane wejściowe 2 2" xfId="9407"/>
    <cellStyle name="Dane wejściowe 2 2 10" xfId="9408"/>
    <cellStyle name="Dane wejściowe 2 2 10 2" xfId="9409"/>
    <cellStyle name="Dane wejściowe 2 2 10 3" xfId="9410"/>
    <cellStyle name="Dane wejściowe 2 2 10 4" xfId="9411"/>
    <cellStyle name="Dane wejściowe 2 2 11" xfId="9412"/>
    <cellStyle name="Dane wejściowe 2 2 11 2" xfId="9413"/>
    <cellStyle name="Dane wejściowe 2 2 11 3" xfId="9414"/>
    <cellStyle name="Dane wejściowe 2 2 11 4" xfId="9415"/>
    <cellStyle name="Dane wejściowe 2 2 12" xfId="9416"/>
    <cellStyle name="Dane wejściowe 2 2 12 2" xfId="9417"/>
    <cellStyle name="Dane wejściowe 2 2 12 3" xfId="9418"/>
    <cellStyle name="Dane wejściowe 2 2 12 4" xfId="9419"/>
    <cellStyle name="Dane wejściowe 2 2 13" xfId="9420"/>
    <cellStyle name="Dane wejściowe 2 2 13 2" xfId="9421"/>
    <cellStyle name="Dane wejściowe 2 2 13 3" xfId="9422"/>
    <cellStyle name="Dane wejściowe 2 2 13 4" xfId="9423"/>
    <cellStyle name="Dane wejściowe 2 2 14" xfId="9424"/>
    <cellStyle name="Dane wejściowe 2 2 14 2" xfId="9425"/>
    <cellStyle name="Dane wejściowe 2 2 14 3" xfId="9426"/>
    <cellStyle name="Dane wejściowe 2 2 14 4" xfId="9427"/>
    <cellStyle name="Dane wejściowe 2 2 15" xfId="9428"/>
    <cellStyle name="Dane wejściowe 2 2 15 2" xfId="9429"/>
    <cellStyle name="Dane wejściowe 2 2 15 3" xfId="9430"/>
    <cellStyle name="Dane wejściowe 2 2 15 4" xfId="9431"/>
    <cellStyle name="Dane wejściowe 2 2 16" xfId="9432"/>
    <cellStyle name="Dane wejściowe 2 2 16 2" xfId="9433"/>
    <cellStyle name="Dane wejściowe 2 2 16 3" xfId="9434"/>
    <cellStyle name="Dane wejściowe 2 2 16 4" xfId="9435"/>
    <cellStyle name="Dane wejściowe 2 2 17" xfId="9436"/>
    <cellStyle name="Dane wejściowe 2 2 17 2" xfId="9437"/>
    <cellStyle name="Dane wejściowe 2 2 17 3" xfId="9438"/>
    <cellStyle name="Dane wejściowe 2 2 17 4" xfId="9439"/>
    <cellStyle name="Dane wejściowe 2 2 18" xfId="9440"/>
    <cellStyle name="Dane wejściowe 2 2 18 2" xfId="9441"/>
    <cellStyle name="Dane wejściowe 2 2 18 3" xfId="9442"/>
    <cellStyle name="Dane wejściowe 2 2 18 4" xfId="9443"/>
    <cellStyle name="Dane wejściowe 2 2 19" xfId="9444"/>
    <cellStyle name="Dane wejściowe 2 2 19 2" xfId="9445"/>
    <cellStyle name="Dane wejściowe 2 2 19 3" xfId="9446"/>
    <cellStyle name="Dane wejściowe 2 2 19 4" xfId="9447"/>
    <cellStyle name="Dane wejściowe 2 2 2" xfId="9448"/>
    <cellStyle name="Dane wejściowe 2 2 2 2" xfId="9449"/>
    <cellStyle name="Dane wejściowe 2 2 2 3" xfId="9450"/>
    <cellStyle name="Dane wejściowe 2 2 2 4" xfId="9451"/>
    <cellStyle name="Dane wejściowe 2 2 20" xfId="9452"/>
    <cellStyle name="Dane wejściowe 2 2 20 2" xfId="9453"/>
    <cellStyle name="Dane wejściowe 2 2 20 3" xfId="9454"/>
    <cellStyle name="Dane wejściowe 2 2 20 4" xfId="9455"/>
    <cellStyle name="Dane wejściowe 2 2 21" xfId="9456"/>
    <cellStyle name="Dane wejściowe 2 2 21 2" xfId="9457"/>
    <cellStyle name="Dane wejściowe 2 2 21 3" xfId="9458"/>
    <cellStyle name="Dane wejściowe 2 2 22" xfId="9459"/>
    <cellStyle name="Dane wejściowe 2 2 22 2" xfId="9460"/>
    <cellStyle name="Dane wejściowe 2 2 22 3" xfId="9461"/>
    <cellStyle name="Dane wejściowe 2 2 22 4" xfId="9462"/>
    <cellStyle name="Dane wejściowe 2 2 23" xfId="9463"/>
    <cellStyle name="Dane wejściowe 2 2 23 2" xfId="9464"/>
    <cellStyle name="Dane wejściowe 2 2 23 3" xfId="9465"/>
    <cellStyle name="Dane wejściowe 2 2 23 4" xfId="9466"/>
    <cellStyle name="Dane wejściowe 2 2 24" xfId="9467"/>
    <cellStyle name="Dane wejściowe 2 2 24 2" xfId="9468"/>
    <cellStyle name="Dane wejściowe 2 2 24 3" xfId="9469"/>
    <cellStyle name="Dane wejściowe 2 2 24 4" xfId="9470"/>
    <cellStyle name="Dane wejściowe 2 2 25" xfId="9471"/>
    <cellStyle name="Dane wejściowe 2 2 25 2" xfId="9472"/>
    <cellStyle name="Dane wejściowe 2 2 25 3" xfId="9473"/>
    <cellStyle name="Dane wejściowe 2 2 26" xfId="9474"/>
    <cellStyle name="Dane wejściowe 2 2 26 2" xfId="9475"/>
    <cellStyle name="Dane wejściowe 2 2 26 3" xfId="9476"/>
    <cellStyle name="Dane wejściowe 2 2 27" xfId="9477"/>
    <cellStyle name="Dane wejściowe 2 2 27 2" xfId="9478"/>
    <cellStyle name="Dane wejściowe 2 2 27 3" xfId="9479"/>
    <cellStyle name="Dane wejściowe 2 2 28" xfId="9480"/>
    <cellStyle name="Dane wejściowe 2 2 28 2" xfId="9481"/>
    <cellStyle name="Dane wejściowe 2 2 28 3" xfId="9482"/>
    <cellStyle name="Dane wejściowe 2 2 29" xfId="9483"/>
    <cellStyle name="Dane wejściowe 2 2 29 2" xfId="9484"/>
    <cellStyle name="Dane wejściowe 2 2 29 3" xfId="9485"/>
    <cellStyle name="Dane wejściowe 2 2 3" xfId="9486"/>
    <cellStyle name="Dane wejściowe 2 2 3 2" xfId="9487"/>
    <cellStyle name="Dane wejściowe 2 2 3 3" xfId="9488"/>
    <cellStyle name="Dane wejściowe 2 2 3 4" xfId="9489"/>
    <cellStyle name="Dane wejściowe 2 2 30" xfId="9490"/>
    <cellStyle name="Dane wejściowe 2 2 30 2" xfId="9491"/>
    <cellStyle name="Dane wejściowe 2 2 30 3" xfId="9492"/>
    <cellStyle name="Dane wejściowe 2 2 31" xfId="9493"/>
    <cellStyle name="Dane wejściowe 2 2 31 2" xfId="9494"/>
    <cellStyle name="Dane wejściowe 2 2 31 3" xfId="9495"/>
    <cellStyle name="Dane wejściowe 2 2 32" xfId="9496"/>
    <cellStyle name="Dane wejściowe 2 2 32 2" xfId="9497"/>
    <cellStyle name="Dane wejściowe 2 2 32 3" xfId="9498"/>
    <cellStyle name="Dane wejściowe 2 2 33" xfId="9499"/>
    <cellStyle name="Dane wejściowe 2 2 33 2" xfId="9500"/>
    <cellStyle name="Dane wejściowe 2 2 33 3" xfId="9501"/>
    <cellStyle name="Dane wejściowe 2 2 34" xfId="9502"/>
    <cellStyle name="Dane wejściowe 2 2 34 2" xfId="9503"/>
    <cellStyle name="Dane wejściowe 2 2 34 3" xfId="9504"/>
    <cellStyle name="Dane wejściowe 2 2 35" xfId="9505"/>
    <cellStyle name="Dane wejściowe 2 2 35 2" xfId="9506"/>
    <cellStyle name="Dane wejściowe 2 2 35 3" xfId="9507"/>
    <cellStyle name="Dane wejściowe 2 2 36" xfId="9508"/>
    <cellStyle name="Dane wejściowe 2 2 36 2" xfId="9509"/>
    <cellStyle name="Dane wejściowe 2 2 36 3" xfId="9510"/>
    <cellStyle name="Dane wejściowe 2 2 37" xfId="9511"/>
    <cellStyle name="Dane wejściowe 2 2 37 2" xfId="9512"/>
    <cellStyle name="Dane wejściowe 2 2 37 3" xfId="9513"/>
    <cellStyle name="Dane wejściowe 2 2 38" xfId="9514"/>
    <cellStyle name="Dane wejściowe 2 2 38 2" xfId="9515"/>
    <cellStyle name="Dane wejściowe 2 2 38 3" xfId="9516"/>
    <cellStyle name="Dane wejściowe 2 2 39" xfId="9517"/>
    <cellStyle name="Dane wejściowe 2 2 39 2" xfId="9518"/>
    <cellStyle name="Dane wejściowe 2 2 39 3" xfId="9519"/>
    <cellStyle name="Dane wejściowe 2 2 4" xfId="9520"/>
    <cellStyle name="Dane wejściowe 2 2 4 2" xfId="9521"/>
    <cellStyle name="Dane wejściowe 2 2 4 3" xfId="9522"/>
    <cellStyle name="Dane wejściowe 2 2 4 4" xfId="9523"/>
    <cellStyle name="Dane wejściowe 2 2 40" xfId="9524"/>
    <cellStyle name="Dane wejściowe 2 2 40 2" xfId="9525"/>
    <cellStyle name="Dane wejściowe 2 2 40 3" xfId="9526"/>
    <cellStyle name="Dane wejściowe 2 2 41" xfId="9527"/>
    <cellStyle name="Dane wejściowe 2 2 41 2" xfId="9528"/>
    <cellStyle name="Dane wejściowe 2 2 41 3" xfId="9529"/>
    <cellStyle name="Dane wejściowe 2 2 42" xfId="9530"/>
    <cellStyle name="Dane wejściowe 2 2 42 2" xfId="9531"/>
    <cellStyle name="Dane wejściowe 2 2 42 3" xfId="9532"/>
    <cellStyle name="Dane wejściowe 2 2 43" xfId="9533"/>
    <cellStyle name="Dane wejściowe 2 2 43 2" xfId="9534"/>
    <cellStyle name="Dane wejściowe 2 2 43 3" xfId="9535"/>
    <cellStyle name="Dane wejściowe 2 2 44" xfId="9536"/>
    <cellStyle name="Dane wejściowe 2 2 44 2" xfId="9537"/>
    <cellStyle name="Dane wejściowe 2 2 44 3" xfId="9538"/>
    <cellStyle name="Dane wejściowe 2 2 45" xfId="9539"/>
    <cellStyle name="Dane wejściowe 2 2 45 2" xfId="9540"/>
    <cellStyle name="Dane wejściowe 2 2 45 3" xfId="9541"/>
    <cellStyle name="Dane wejściowe 2 2 46" xfId="9542"/>
    <cellStyle name="Dane wejściowe 2 2 46 2" xfId="9543"/>
    <cellStyle name="Dane wejściowe 2 2 46 3" xfId="9544"/>
    <cellStyle name="Dane wejściowe 2 2 47" xfId="9545"/>
    <cellStyle name="Dane wejściowe 2 2 47 2" xfId="9546"/>
    <cellStyle name="Dane wejściowe 2 2 47 3" xfId="9547"/>
    <cellStyle name="Dane wejściowe 2 2 48" xfId="9548"/>
    <cellStyle name="Dane wejściowe 2 2 48 2" xfId="9549"/>
    <cellStyle name="Dane wejściowe 2 2 48 3" xfId="9550"/>
    <cellStyle name="Dane wejściowe 2 2 49" xfId="9551"/>
    <cellStyle name="Dane wejściowe 2 2 49 2" xfId="9552"/>
    <cellStyle name="Dane wejściowe 2 2 49 3" xfId="9553"/>
    <cellStyle name="Dane wejściowe 2 2 5" xfId="9554"/>
    <cellStyle name="Dane wejściowe 2 2 5 2" xfId="9555"/>
    <cellStyle name="Dane wejściowe 2 2 5 3" xfId="9556"/>
    <cellStyle name="Dane wejściowe 2 2 5 4" xfId="9557"/>
    <cellStyle name="Dane wejściowe 2 2 50" xfId="9558"/>
    <cellStyle name="Dane wejściowe 2 2 50 2" xfId="9559"/>
    <cellStyle name="Dane wejściowe 2 2 50 3" xfId="9560"/>
    <cellStyle name="Dane wejściowe 2 2 51" xfId="9561"/>
    <cellStyle name="Dane wejściowe 2 2 51 2" xfId="9562"/>
    <cellStyle name="Dane wejściowe 2 2 51 3" xfId="9563"/>
    <cellStyle name="Dane wejściowe 2 2 52" xfId="9564"/>
    <cellStyle name="Dane wejściowe 2 2 52 2" xfId="9565"/>
    <cellStyle name="Dane wejściowe 2 2 52 3" xfId="9566"/>
    <cellStyle name="Dane wejściowe 2 2 53" xfId="9567"/>
    <cellStyle name="Dane wejściowe 2 2 53 2" xfId="9568"/>
    <cellStyle name="Dane wejściowe 2 2 53 3" xfId="9569"/>
    <cellStyle name="Dane wejściowe 2 2 54" xfId="9570"/>
    <cellStyle name="Dane wejściowe 2 2 54 2" xfId="9571"/>
    <cellStyle name="Dane wejściowe 2 2 54 3" xfId="9572"/>
    <cellStyle name="Dane wejściowe 2 2 55" xfId="9573"/>
    <cellStyle name="Dane wejściowe 2 2 55 2" xfId="9574"/>
    <cellStyle name="Dane wejściowe 2 2 55 3" xfId="9575"/>
    <cellStyle name="Dane wejściowe 2 2 56" xfId="9576"/>
    <cellStyle name="Dane wejściowe 2 2 56 2" xfId="9577"/>
    <cellStyle name="Dane wejściowe 2 2 56 3" xfId="9578"/>
    <cellStyle name="Dane wejściowe 2 2 57" xfId="9579"/>
    <cellStyle name="Dane wejściowe 2 2 58" xfId="9580"/>
    <cellStyle name="Dane wejściowe 2 2 59" xfId="9581"/>
    <cellStyle name="Dane wejściowe 2 2 6" xfId="9582"/>
    <cellStyle name="Dane wejściowe 2 2 6 2" xfId="9583"/>
    <cellStyle name="Dane wejściowe 2 2 6 3" xfId="9584"/>
    <cellStyle name="Dane wejściowe 2 2 6 4" xfId="9585"/>
    <cellStyle name="Dane wejściowe 2 2 7" xfId="9586"/>
    <cellStyle name="Dane wejściowe 2 2 7 2" xfId="9587"/>
    <cellStyle name="Dane wejściowe 2 2 7 3" xfId="9588"/>
    <cellStyle name="Dane wejściowe 2 2 7 4" xfId="9589"/>
    <cellStyle name="Dane wejściowe 2 2 8" xfId="9590"/>
    <cellStyle name="Dane wejściowe 2 2 8 2" xfId="9591"/>
    <cellStyle name="Dane wejściowe 2 2 8 3" xfId="9592"/>
    <cellStyle name="Dane wejściowe 2 2 8 4" xfId="9593"/>
    <cellStyle name="Dane wejściowe 2 2 9" xfId="9594"/>
    <cellStyle name="Dane wejściowe 2 2 9 2" xfId="9595"/>
    <cellStyle name="Dane wejściowe 2 2 9 3" xfId="9596"/>
    <cellStyle name="Dane wejściowe 2 2 9 4" xfId="9597"/>
    <cellStyle name="Dane wejściowe 2 20" xfId="9598"/>
    <cellStyle name="Dane wejściowe 2 20 10" xfId="9599"/>
    <cellStyle name="Dane wejściowe 2 20 10 2" xfId="9600"/>
    <cellStyle name="Dane wejściowe 2 20 10 3" xfId="9601"/>
    <cellStyle name="Dane wejściowe 2 20 10 4" xfId="9602"/>
    <cellStyle name="Dane wejściowe 2 20 11" xfId="9603"/>
    <cellStyle name="Dane wejściowe 2 20 11 2" xfId="9604"/>
    <cellStyle name="Dane wejściowe 2 20 11 3" xfId="9605"/>
    <cellStyle name="Dane wejściowe 2 20 11 4" xfId="9606"/>
    <cellStyle name="Dane wejściowe 2 20 12" xfId="9607"/>
    <cellStyle name="Dane wejściowe 2 20 12 2" xfId="9608"/>
    <cellStyle name="Dane wejściowe 2 20 12 3" xfId="9609"/>
    <cellStyle name="Dane wejściowe 2 20 12 4" xfId="9610"/>
    <cellStyle name="Dane wejściowe 2 20 13" xfId="9611"/>
    <cellStyle name="Dane wejściowe 2 20 13 2" xfId="9612"/>
    <cellStyle name="Dane wejściowe 2 20 13 3" xfId="9613"/>
    <cellStyle name="Dane wejściowe 2 20 13 4" xfId="9614"/>
    <cellStyle name="Dane wejściowe 2 20 14" xfId="9615"/>
    <cellStyle name="Dane wejściowe 2 20 14 2" xfId="9616"/>
    <cellStyle name="Dane wejściowe 2 20 14 3" xfId="9617"/>
    <cellStyle name="Dane wejściowe 2 20 14 4" xfId="9618"/>
    <cellStyle name="Dane wejściowe 2 20 15" xfId="9619"/>
    <cellStyle name="Dane wejściowe 2 20 15 2" xfId="9620"/>
    <cellStyle name="Dane wejściowe 2 20 15 3" xfId="9621"/>
    <cellStyle name="Dane wejściowe 2 20 15 4" xfId="9622"/>
    <cellStyle name="Dane wejściowe 2 20 16" xfId="9623"/>
    <cellStyle name="Dane wejściowe 2 20 16 2" xfId="9624"/>
    <cellStyle name="Dane wejściowe 2 20 16 3" xfId="9625"/>
    <cellStyle name="Dane wejściowe 2 20 16 4" xfId="9626"/>
    <cellStyle name="Dane wejściowe 2 20 17" xfId="9627"/>
    <cellStyle name="Dane wejściowe 2 20 17 2" xfId="9628"/>
    <cellStyle name="Dane wejściowe 2 20 17 3" xfId="9629"/>
    <cellStyle name="Dane wejściowe 2 20 17 4" xfId="9630"/>
    <cellStyle name="Dane wejściowe 2 20 18" xfId="9631"/>
    <cellStyle name="Dane wejściowe 2 20 18 2" xfId="9632"/>
    <cellStyle name="Dane wejściowe 2 20 18 3" xfId="9633"/>
    <cellStyle name="Dane wejściowe 2 20 18 4" xfId="9634"/>
    <cellStyle name="Dane wejściowe 2 20 19" xfId="9635"/>
    <cellStyle name="Dane wejściowe 2 20 19 2" xfId="9636"/>
    <cellStyle name="Dane wejściowe 2 20 19 3" xfId="9637"/>
    <cellStyle name="Dane wejściowe 2 20 19 4" xfId="9638"/>
    <cellStyle name="Dane wejściowe 2 20 2" xfId="9639"/>
    <cellStyle name="Dane wejściowe 2 20 2 2" xfId="9640"/>
    <cellStyle name="Dane wejściowe 2 20 2 3" xfId="9641"/>
    <cellStyle name="Dane wejściowe 2 20 2 4" xfId="9642"/>
    <cellStyle name="Dane wejściowe 2 20 20" xfId="9643"/>
    <cellStyle name="Dane wejściowe 2 20 20 2" xfId="9644"/>
    <cellStyle name="Dane wejściowe 2 20 20 3" xfId="9645"/>
    <cellStyle name="Dane wejściowe 2 20 20 4" xfId="9646"/>
    <cellStyle name="Dane wejściowe 2 20 21" xfId="9647"/>
    <cellStyle name="Dane wejściowe 2 20 21 2" xfId="9648"/>
    <cellStyle name="Dane wejściowe 2 20 21 3" xfId="9649"/>
    <cellStyle name="Dane wejściowe 2 20 22" xfId="9650"/>
    <cellStyle name="Dane wejściowe 2 20 22 2" xfId="9651"/>
    <cellStyle name="Dane wejściowe 2 20 22 3" xfId="9652"/>
    <cellStyle name="Dane wejściowe 2 20 23" xfId="9653"/>
    <cellStyle name="Dane wejściowe 2 20 23 2" xfId="9654"/>
    <cellStyle name="Dane wejściowe 2 20 23 3" xfId="9655"/>
    <cellStyle name="Dane wejściowe 2 20 24" xfId="9656"/>
    <cellStyle name="Dane wejściowe 2 20 24 2" xfId="9657"/>
    <cellStyle name="Dane wejściowe 2 20 24 3" xfId="9658"/>
    <cellStyle name="Dane wejściowe 2 20 25" xfId="9659"/>
    <cellStyle name="Dane wejściowe 2 20 25 2" xfId="9660"/>
    <cellStyle name="Dane wejściowe 2 20 25 3" xfId="9661"/>
    <cellStyle name="Dane wejściowe 2 20 26" xfId="9662"/>
    <cellStyle name="Dane wejściowe 2 20 26 2" xfId="9663"/>
    <cellStyle name="Dane wejściowe 2 20 26 3" xfId="9664"/>
    <cellStyle name="Dane wejściowe 2 20 27" xfId="9665"/>
    <cellStyle name="Dane wejściowe 2 20 27 2" xfId="9666"/>
    <cellStyle name="Dane wejściowe 2 20 27 3" xfId="9667"/>
    <cellStyle name="Dane wejściowe 2 20 28" xfId="9668"/>
    <cellStyle name="Dane wejściowe 2 20 28 2" xfId="9669"/>
    <cellStyle name="Dane wejściowe 2 20 28 3" xfId="9670"/>
    <cellStyle name="Dane wejściowe 2 20 29" xfId="9671"/>
    <cellStyle name="Dane wejściowe 2 20 29 2" xfId="9672"/>
    <cellStyle name="Dane wejściowe 2 20 29 3" xfId="9673"/>
    <cellStyle name="Dane wejściowe 2 20 3" xfId="9674"/>
    <cellStyle name="Dane wejściowe 2 20 3 2" xfId="9675"/>
    <cellStyle name="Dane wejściowe 2 20 3 3" xfId="9676"/>
    <cellStyle name="Dane wejściowe 2 20 3 4" xfId="9677"/>
    <cellStyle name="Dane wejściowe 2 20 30" xfId="9678"/>
    <cellStyle name="Dane wejściowe 2 20 30 2" xfId="9679"/>
    <cellStyle name="Dane wejściowe 2 20 30 3" xfId="9680"/>
    <cellStyle name="Dane wejściowe 2 20 31" xfId="9681"/>
    <cellStyle name="Dane wejściowe 2 20 31 2" xfId="9682"/>
    <cellStyle name="Dane wejściowe 2 20 31 3" xfId="9683"/>
    <cellStyle name="Dane wejściowe 2 20 32" xfId="9684"/>
    <cellStyle name="Dane wejściowe 2 20 32 2" xfId="9685"/>
    <cellStyle name="Dane wejściowe 2 20 32 3" xfId="9686"/>
    <cellStyle name="Dane wejściowe 2 20 33" xfId="9687"/>
    <cellStyle name="Dane wejściowe 2 20 33 2" xfId="9688"/>
    <cellStyle name="Dane wejściowe 2 20 33 3" xfId="9689"/>
    <cellStyle name="Dane wejściowe 2 20 34" xfId="9690"/>
    <cellStyle name="Dane wejściowe 2 20 34 2" xfId="9691"/>
    <cellStyle name="Dane wejściowe 2 20 34 3" xfId="9692"/>
    <cellStyle name="Dane wejściowe 2 20 35" xfId="9693"/>
    <cellStyle name="Dane wejściowe 2 20 35 2" xfId="9694"/>
    <cellStyle name="Dane wejściowe 2 20 35 3" xfId="9695"/>
    <cellStyle name="Dane wejściowe 2 20 36" xfId="9696"/>
    <cellStyle name="Dane wejściowe 2 20 36 2" xfId="9697"/>
    <cellStyle name="Dane wejściowe 2 20 36 3" xfId="9698"/>
    <cellStyle name="Dane wejściowe 2 20 37" xfId="9699"/>
    <cellStyle name="Dane wejściowe 2 20 37 2" xfId="9700"/>
    <cellStyle name="Dane wejściowe 2 20 37 3" xfId="9701"/>
    <cellStyle name="Dane wejściowe 2 20 38" xfId="9702"/>
    <cellStyle name="Dane wejściowe 2 20 38 2" xfId="9703"/>
    <cellStyle name="Dane wejściowe 2 20 38 3" xfId="9704"/>
    <cellStyle name="Dane wejściowe 2 20 39" xfId="9705"/>
    <cellStyle name="Dane wejściowe 2 20 39 2" xfId="9706"/>
    <cellStyle name="Dane wejściowe 2 20 39 3" xfId="9707"/>
    <cellStyle name="Dane wejściowe 2 20 4" xfId="9708"/>
    <cellStyle name="Dane wejściowe 2 20 4 2" xfId="9709"/>
    <cellStyle name="Dane wejściowe 2 20 4 3" xfId="9710"/>
    <cellStyle name="Dane wejściowe 2 20 4 4" xfId="9711"/>
    <cellStyle name="Dane wejściowe 2 20 40" xfId="9712"/>
    <cellStyle name="Dane wejściowe 2 20 40 2" xfId="9713"/>
    <cellStyle name="Dane wejściowe 2 20 40 3" xfId="9714"/>
    <cellStyle name="Dane wejściowe 2 20 41" xfId="9715"/>
    <cellStyle name="Dane wejściowe 2 20 41 2" xfId="9716"/>
    <cellStyle name="Dane wejściowe 2 20 41 3" xfId="9717"/>
    <cellStyle name="Dane wejściowe 2 20 42" xfId="9718"/>
    <cellStyle name="Dane wejściowe 2 20 42 2" xfId="9719"/>
    <cellStyle name="Dane wejściowe 2 20 42 3" xfId="9720"/>
    <cellStyle name="Dane wejściowe 2 20 43" xfId="9721"/>
    <cellStyle name="Dane wejściowe 2 20 43 2" xfId="9722"/>
    <cellStyle name="Dane wejściowe 2 20 43 3" xfId="9723"/>
    <cellStyle name="Dane wejściowe 2 20 44" xfId="9724"/>
    <cellStyle name="Dane wejściowe 2 20 44 2" xfId="9725"/>
    <cellStyle name="Dane wejściowe 2 20 44 3" xfId="9726"/>
    <cellStyle name="Dane wejściowe 2 20 45" xfId="9727"/>
    <cellStyle name="Dane wejściowe 2 20 45 2" xfId="9728"/>
    <cellStyle name="Dane wejściowe 2 20 45 3" xfId="9729"/>
    <cellStyle name="Dane wejściowe 2 20 46" xfId="9730"/>
    <cellStyle name="Dane wejściowe 2 20 46 2" xfId="9731"/>
    <cellStyle name="Dane wejściowe 2 20 46 3" xfId="9732"/>
    <cellStyle name="Dane wejściowe 2 20 47" xfId="9733"/>
    <cellStyle name="Dane wejściowe 2 20 47 2" xfId="9734"/>
    <cellStyle name="Dane wejściowe 2 20 47 3" xfId="9735"/>
    <cellStyle name="Dane wejściowe 2 20 48" xfId="9736"/>
    <cellStyle name="Dane wejściowe 2 20 48 2" xfId="9737"/>
    <cellStyle name="Dane wejściowe 2 20 48 3" xfId="9738"/>
    <cellStyle name="Dane wejściowe 2 20 49" xfId="9739"/>
    <cellStyle name="Dane wejściowe 2 20 49 2" xfId="9740"/>
    <cellStyle name="Dane wejściowe 2 20 49 3" xfId="9741"/>
    <cellStyle name="Dane wejściowe 2 20 5" xfId="9742"/>
    <cellStyle name="Dane wejściowe 2 20 5 2" xfId="9743"/>
    <cellStyle name="Dane wejściowe 2 20 5 3" xfId="9744"/>
    <cellStyle name="Dane wejściowe 2 20 5 4" xfId="9745"/>
    <cellStyle name="Dane wejściowe 2 20 50" xfId="9746"/>
    <cellStyle name="Dane wejściowe 2 20 50 2" xfId="9747"/>
    <cellStyle name="Dane wejściowe 2 20 50 3" xfId="9748"/>
    <cellStyle name="Dane wejściowe 2 20 51" xfId="9749"/>
    <cellStyle name="Dane wejściowe 2 20 51 2" xfId="9750"/>
    <cellStyle name="Dane wejściowe 2 20 51 3" xfId="9751"/>
    <cellStyle name="Dane wejściowe 2 20 52" xfId="9752"/>
    <cellStyle name="Dane wejściowe 2 20 52 2" xfId="9753"/>
    <cellStyle name="Dane wejściowe 2 20 52 3" xfId="9754"/>
    <cellStyle name="Dane wejściowe 2 20 53" xfId="9755"/>
    <cellStyle name="Dane wejściowe 2 20 53 2" xfId="9756"/>
    <cellStyle name="Dane wejściowe 2 20 53 3" xfId="9757"/>
    <cellStyle name="Dane wejściowe 2 20 54" xfId="9758"/>
    <cellStyle name="Dane wejściowe 2 20 54 2" xfId="9759"/>
    <cellStyle name="Dane wejściowe 2 20 54 3" xfId="9760"/>
    <cellStyle name="Dane wejściowe 2 20 55" xfId="9761"/>
    <cellStyle name="Dane wejściowe 2 20 55 2" xfId="9762"/>
    <cellStyle name="Dane wejściowe 2 20 55 3" xfId="9763"/>
    <cellStyle name="Dane wejściowe 2 20 56" xfId="9764"/>
    <cellStyle name="Dane wejściowe 2 20 56 2" xfId="9765"/>
    <cellStyle name="Dane wejściowe 2 20 56 3" xfId="9766"/>
    <cellStyle name="Dane wejściowe 2 20 57" xfId="9767"/>
    <cellStyle name="Dane wejściowe 2 20 58" xfId="9768"/>
    <cellStyle name="Dane wejściowe 2 20 6" xfId="9769"/>
    <cellStyle name="Dane wejściowe 2 20 6 2" xfId="9770"/>
    <cellStyle name="Dane wejściowe 2 20 6 3" xfId="9771"/>
    <cellStyle name="Dane wejściowe 2 20 6 4" xfId="9772"/>
    <cellStyle name="Dane wejściowe 2 20 7" xfId="9773"/>
    <cellStyle name="Dane wejściowe 2 20 7 2" xfId="9774"/>
    <cellStyle name="Dane wejściowe 2 20 7 3" xfId="9775"/>
    <cellStyle name="Dane wejściowe 2 20 7 4" xfId="9776"/>
    <cellStyle name="Dane wejściowe 2 20 8" xfId="9777"/>
    <cellStyle name="Dane wejściowe 2 20 8 2" xfId="9778"/>
    <cellStyle name="Dane wejściowe 2 20 8 3" xfId="9779"/>
    <cellStyle name="Dane wejściowe 2 20 8 4" xfId="9780"/>
    <cellStyle name="Dane wejściowe 2 20 9" xfId="9781"/>
    <cellStyle name="Dane wejściowe 2 20 9 2" xfId="9782"/>
    <cellStyle name="Dane wejściowe 2 20 9 3" xfId="9783"/>
    <cellStyle name="Dane wejściowe 2 20 9 4" xfId="9784"/>
    <cellStyle name="Dane wejściowe 2 21" xfId="9785"/>
    <cellStyle name="Dane wejściowe 2 21 10" xfId="9786"/>
    <cellStyle name="Dane wejściowe 2 21 10 2" xfId="9787"/>
    <cellStyle name="Dane wejściowe 2 21 10 3" xfId="9788"/>
    <cellStyle name="Dane wejściowe 2 21 10 4" xfId="9789"/>
    <cellStyle name="Dane wejściowe 2 21 11" xfId="9790"/>
    <cellStyle name="Dane wejściowe 2 21 11 2" xfId="9791"/>
    <cellStyle name="Dane wejściowe 2 21 11 3" xfId="9792"/>
    <cellStyle name="Dane wejściowe 2 21 11 4" xfId="9793"/>
    <cellStyle name="Dane wejściowe 2 21 12" xfId="9794"/>
    <cellStyle name="Dane wejściowe 2 21 12 2" xfId="9795"/>
    <cellStyle name="Dane wejściowe 2 21 12 3" xfId="9796"/>
    <cellStyle name="Dane wejściowe 2 21 12 4" xfId="9797"/>
    <cellStyle name="Dane wejściowe 2 21 13" xfId="9798"/>
    <cellStyle name="Dane wejściowe 2 21 13 2" xfId="9799"/>
    <cellStyle name="Dane wejściowe 2 21 13 3" xfId="9800"/>
    <cellStyle name="Dane wejściowe 2 21 13 4" xfId="9801"/>
    <cellStyle name="Dane wejściowe 2 21 14" xfId="9802"/>
    <cellStyle name="Dane wejściowe 2 21 14 2" xfId="9803"/>
    <cellStyle name="Dane wejściowe 2 21 14 3" xfId="9804"/>
    <cellStyle name="Dane wejściowe 2 21 14 4" xfId="9805"/>
    <cellStyle name="Dane wejściowe 2 21 15" xfId="9806"/>
    <cellStyle name="Dane wejściowe 2 21 15 2" xfId="9807"/>
    <cellStyle name="Dane wejściowe 2 21 15 3" xfId="9808"/>
    <cellStyle name="Dane wejściowe 2 21 15 4" xfId="9809"/>
    <cellStyle name="Dane wejściowe 2 21 16" xfId="9810"/>
    <cellStyle name="Dane wejściowe 2 21 16 2" xfId="9811"/>
    <cellStyle name="Dane wejściowe 2 21 16 3" xfId="9812"/>
    <cellStyle name="Dane wejściowe 2 21 16 4" xfId="9813"/>
    <cellStyle name="Dane wejściowe 2 21 17" xfId="9814"/>
    <cellStyle name="Dane wejściowe 2 21 17 2" xfId="9815"/>
    <cellStyle name="Dane wejściowe 2 21 17 3" xfId="9816"/>
    <cellStyle name="Dane wejściowe 2 21 17 4" xfId="9817"/>
    <cellStyle name="Dane wejściowe 2 21 18" xfId="9818"/>
    <cellStyle name="Dane wejściowe 2 21 18 2" xfId="9819"/>
    <cellStyle name="Dane wejściowe 2 21 18 3" xfId="9820"/>
    <cellStyle name="Dane wejściowe 2 21 18 4" xfId="9821"/>
    <cellStyle name="Dane wejściowe 2 21 19" xfId="9822"/>
    <cellStyle name="Dane wejściowe 2 21 19 2" xfId="9823"/>
    <cellStyle name="Dane wejściowe 2 21 19 3" xfId="9824"/>
    <cellStyle name="Dane wejściowe 2 21 19 4" xfId="9825"/>
    <cellStyle name="Dane wejściowe 2 21 2" xfId="9826"/>
    <cellStyle name="Dane wejściowe 2 21 2 2" xfId="9827"/>
    <cellStyle name="Dane wejściowe 2 21 2 3" xfId="9828"/>
    <cellStyle name="Dane wejściowe 2 21 2 4" xfId="9829"/>
    <cellStyle name="Dane wejściowe 2 21 20" xfId="9830"/>
    <cellStyle name="Dane wejściowe 2 21 20 2" xfId="9831"/>
    <cellStyle name="Dane wejściowe 2 21 20 3" xfId="9832"/>
    <cellStyle name="Dane wejściowe 2 21 20 4" xfId="9833"/>
    <cellStyle name="Dane wejściowe 2 21 21" xfId="9834"/>
    <cellStyle name="Dane wejściowe 2 21 21 2" xfId="9835"/>
    <cellStyle name="Dane wejściowe 2 21 21 3" xfId="9836"/>
    <cellStyle name="Dane wejściowe 2 21 22" xfId="9837"/>
    <cellStyle name="Dane wejściowe 2 21 22 2" xfId="9838"/>
    <cellStyle name="Dane wejściowe 2 21 22 3" xfId="9839"/>
    <cellStyle name="Dane wejściowe 2 21 23" xfId="9840"/>
    <cellStyle name="Dane wejściowe 2 21 23 2" xfId="9841"/>
    <cellStyle name="Dane wejściowe 2 21 23 3" xfId="9842"/>
    <cellStyle name="Dane wejściowe 2 21 24" xfId="9843"/>
    <cellStyle name="Dane wejściowe 2 21 24 2" xfId="9844"/>
    <cellStyle name="Dane wejściowe 2 21 24 3" xfId="9845"/>
    <cellStyle name="Dane wejściowe 2 21 25" xfId="9846"/>
    <cellStyle name="Dane wejściowe 2 21 25 2" xfId="9847"/>
    <cellStyle name="Dane wejściowe 2 21 25 3" xfId="9848"/>
    <cellStyle name="Dane wejściowe 2 21 26" xfId="9849"/>
    <cellStyle name="Dane wejściowe 2 21 26 2" xfId="9850"/>
    <cellStyle name="Dane wejściowe 2 21 26 3" xfId="9851"/>
    <cellStyle name="Dane wejściowe 2 21 27" xfId="9852"/>
    <cellStyle name="Dane wejściowe 2 21 27 2" xfId="9853"/>
    <cellStyle name="Dane wejściowe 2 21 27 3" xfId="9854"/>
    <cellStyle name="Dane wejściowe 2 21 28" xfId="9855"/>
    <cellStyle name="Dane wejściowe 2 21 28 2" xfId="9856"/>
    <cellStyle name="Dane wejściowe 2 21 28 3" xfId="9857"/>
    <cellStyle name="Dane wejściowe 2 21 29" xfId="9858"/>
    <cellStyle name="Dane wejściowe 2 21 29 2" xfId="9859"/>
    <cellStyle name="Dane wejściowe 2 21 29 3" xfId="9860"/>
    <cellStyle name="Dane wejściowe 2 21 3" xfId="9861"/>
    <cellStyle name="Dane wejściowe 2 21 3 2" xfId="9862"/>
    <cellStyle name="Dane wejściowe 2 21 3 3" xfId="9863"/>
    <cellStyle name="Dane wejściowe 2 21 3 4" xfId="9864"/>
    <cellStyle name="Dane wejściowe 2 21 30" xfId="9865"/>
    <cellStyle name="Dane wejściowe 2 21 30 2" xfId="9866"/>
    <cellStyle name="Dane wejściowe 2 21 30 3" xfId="9867"/>
    <cellStyle name="Dane wejściowe 2 21 31" xfId="9868"/>
    <cellStyle name="Dane wejściowe 2 21 31 2" xfId="9869"/>
    <cellStyle name="Dane wejściowe 2 21 31 3" xfId="9870"/>
    <cellStyle name="Dane wejściowe 2 21 32" xfId="9871"/>
    <cellStyle name="Dane wejściowe 2 21 32 2" xfId="9872"/>
    <cellStyle name="Dane wejściowe 2 21 32 3" xfId="9873"/>
    <cellStyle name="Dane wejściowe 2 21 33" xfId="9874"/>
    <cellStyle name="Dane wejściowe 2 21 33 2" xfId="9875"/>
    <cellStyle name="Dane wejściowe 2 21 33 3" xfId="9876"/>
    <cellStyle name="Dane wejściowe 2 21 34" xfId="9877"/>
    <cellStyle name="Dane wejściowe 2 21 34 2" xfId="9878"/>
    <cellStyle name="Dane wejściowe 2 21 34 3" xfId="9879"/>
    <cellStyle name="Dane wejściowe 2 21 35" xfId="9880"/>
    <cellStyle name="Dane wejściowe 2 21 35 2" xfId="9881"/>
    <cellStyle name="Dane wejściowe 2 21 35 3" xfId="9882"/>
    <cellStyle name="Dane wejściowe 2 21 36" xfId="9883"/>
    <cellStyle name="Dane wejściowe 2 21 36 2" xfId="9884"/>
    <cellStyle name="Dane wejściowe 2 21 36 3" xfId="9885"/>
    <cellStyle name="Dane wejściowe 2 21 37" xfId="9886"/>
    <cellStyle name="Dane wejściowe 2 21 37 2" xfId="9887"/>
    <cellStyle name="Dane wejściowe 2 21 37 3" xfId="9888"/>
    <cellStyle name="Dane wejściowe 2 21 38" xfId="9889"/>
    <cellStyle name="Dane wejściowe 2 21 38 2" xfId="9890"/>
    <cellStyle name="Dane wejściowe 2 21 38 3" xfId="9891"/>
    <cellStyle name="Dane wejściowe 2 21 39" xfId="9892"/>
    <cellStyle name="Dane wejściowe 2 21 39 2" xfId="9893"/>
    <cellStyle name="Dane wejściowe 2 21 39 3" xfId="9894"/>
    <cellStyle name="Dane wejściowe 2 21 4" xfId="9895"/>
    <cellStyle name="Dane wejściowe 2 21 4 2" xfId="9896"/>
    <cellStyle name="Dane wejściowe 2 21 4 3" xfId="9897"/>
    <cellStyle name="Dane wejściowe 2 21 4 4" xfId="9898"/>
    <cellStyle name="Dane wejściowe 2 21 40" xfId="9899"/>
    <cellStyle name="Dane wejściowe 2 21 40 2" xfId="9900"/>
    <cellStyle name="Dane wejściowe 2 21 40 3" xfId="9901"/>
    <cellStyle name="Dane wejściowe 2 21 41" xfId="9902"/>
    <cellStyle name="Dane wejściowe 2 21 41 2" xfId="9903"/>
    <cellStyle name="Dane wejściowe 2 21 41 3" xfId="9904"/>
    <cellStyle name="Dane wejściowe 2 21 42" xfId="9905"/>
    <cellStyle name="Dane wejściowe 2 21 42 2" xfId="9906"/>
    <cellStyle name="Dane wejściowe 2 21 42 3" xfId="9907"/>
    <cellStyle name="Dane wejściowe 2 21 43" xfId="9908"/>
    <cellStyle name="Dane wejściowe 2 21 43 2" xfId="9909"/>
    <cellStyle name="Dane wejściowe 2 21 43 3" xfId="9910"/>
    <cellStyle name="Dane wejściowe 2 21 44" xfId="9911"/>
    <cellStyle name="Dane wejściowe 2 21 44 2" xfId="9912"/>
    <cellStyle name="Dane wejściowe 2 21 44 3" xfId="9913"/>
    <cellStyle name="Dane wejściowe 2 21 45" xfId="9914"/>
    <cellStyle name="Dane wejściowe 2 21 45 2" xfId="9915"/>
    <cellStyle name="Dane wejściowe 2 21 45 3" xfId="9916"/>
    <cellStyle name="Dane wejściowe 2 21 46" xfId="9917"/>
    <cellStyle name="Dane wejściowe 2 21 46 2" xfId="9918"/>
    <cellStyle name="Dane wejściowe 2 21 46 3" xfId="9919"/>
    <cellStyle name="Dane wejściowe 2 21 47" xfId="9920"/>
    <cellStyle name="Dane wejściowe 2 21 47 2" xfId="9921"/>
    <cellStyle name="Dane wejściowe 2 21 47 3" xfId="9922"/>
    <cellStyle name="Dane wejściowe 2 21 48" xfId="9923"/>
    <cellStyle name="Dane wejściowe 2 21 48 2" xfId="9924"/>
    <cellStyle name="Dane wejściowe 2 21 48 3" xfId="9925"/>
    <cellStyle name="Dane wejściowe 2 21 49" xfId="9926"/>
    <cellStyle name="Dane wejściowe 2 21 49 2" xfId="9927"/>
    <cellStyle name="Dane wejściowe 2 21 49 3" xfId="9928"/>
    <cellStyle name="Dane wejściowe 2 21 5" xfId="9929"/>
    <cellStyle name="Dane wejściowe 2 21 5 2" xfId="9930"/>
    <cellStyle name="Dane wejściowe 2 21 5 3" xfId="9931"/>
    <cellStyle name="Dane wejściowe 2 21 5 4" xfId="9932"/>
    <cellStyle name="Dane wejściowe 2 21 50" xfId="9933"/>
    <cellStyle name="Dane wejściowe 2 21 50 2" xfId="9934"/>
    <cellStyle name="Dane wejściowe 2 21 50 3" xfId="9935"/>
    <cellStyle name="Dane wejściowe 2 21 51" xfId="9936"/>
    <cellStyle name="Dane wejściowe 2 21 51 2" xfId="9937"/>
    <cellStyle name="Dane wejściowe 2 21 51 3" xfId="9938"/>
    <cellStyle name="Dane wejściowe 2 21 52" xfId="9939"/>
    <cellStyle name="Dane wejściowe 2 21 52 2" xfId="9940"/>
    <cellStyle name="Dane wejściowe 2 21 52 3" xfId="9941"/>
    <cellStyle name="Dane wejściowe 2 21 53" xfId="9942"/>
    <cellStyle name="Dane wejściowe 2 21 53 2" xfId="9943"/>
    <cellStyle name="Dane wejściowe 2 21 53 3" xfId="9944"/>
    <cellStyle name="Dane wejściowe 2 21 54" xfId="9945"/>
    <cellStyle name="Dane wejściowe 2 21 54 2" xfId="9946"/>
    <cellStyle name="Dane wejściowe 2 21 54 3" xfId="9947"/>
    <cellStyle name="Dane wejściowe 2 21 55" xfId="9948"/>
    <cellStyle name="Dane wejściowe 2 21 55 2" xfId="9949"/>
    <cellStyle name="Dane wejściowe 2 21 55 3" xfId="9950"/>
    <cellStyle name="Dane wejściowe 2 21 56" xfId="9951"/>
    <cellStyle name="Dane wejściowe 2 21 56 2" xfId="9952"/>
    <cellStyle name="Dane wejściowe 2 21 56 3" xfId="9953"/>
    <cellStyle name="Dane wejściowe 2 21 57" xfId="9954"/>
    <cellStyle name="Dane wejściowe 2 21 58" xfId="9955"/>
    <cellStyle name="Dane wejściowe 2 21 6" xfId="9956"/>
    <cellStyle name="Dane wejściowe 2 21 6 2" xfId="9957"/>
    <cellStyle name="Dane wejściowe 2 21 6 3" xfId="9958"/>
    <cellStyle name="Dane wejściowe 2 21 6 4" xfId="9959"/>
    <cellStyle name="Dane wejściowe 2 21 7" xfId="9960"/>
    <cellStyle name="Dane wejściowe 2 21 7 2" xfId="9961"/>
    <cellStyle name="Dane wejściowe 2 21 7 3" xfId="9962"/>
    <cellStyle name="Dane wejściowe 2 21 7 4" xfId="9963"/>
    <cellStyle name="Dane wejściowe 2 21 8" xfId="9964"/>
    <cellStyle name="Dane wejściowe 2 21 8 2" xfId="9965"/>
    <cellStyle name="Dane wejściowe 2 21 8 3" xfId="9966"/>
    <cellStyle name="Dane wejściowe 2 21 8 4" xfId="9967"/>
    <cellStyle name="Dane wejściowe 2 21 9" xfId="9968"/>
    <cellStyle name="Dane wejściowe 2 21 9 2" xfId="9969"/>
    <cellStyle name="Dane wejściowe 2 21 9 3" xfId="9970"/>
    <cellStyle name="Dane wejściowe 2 21 9 4" xfId="9971"/>
    <cellStyle name="Dane wejściowe 2 22" xfId="9972"/>
    <cellStyle name="Dane wejściowe 2 22 10" xfId="9973"/>
    <cellStyle name="Dane wejściowe 2 22 10 2" xfId="9974"/>
    <cellStyle name="Dane wejściowe 2 22 10 3" xfId="9975"/>
    <cellStyle name="Dane wejściowe 2 22 10 4" xfId="9976"/>
    <cellStyle name="Dane wejściowe 2 22 11" xfId="9977"/>
    <cellStyle name="Dane wejściowe 2 22 11 2" xfId="9978"/>
    <cellStyle name="Dane wejściowe 2 22 11 3" xfId="9979"/>
    <cellStyle name="Dane wejściowe 2 22 11 4" xfId="9980"/>
    <cellStyle name="Dane wejściowe 2 22 12" xfId="9981"/>
    <cellStyle name="Dane wejściowe 2 22 12 2" xfId="9982"/>
    <cellStyle name="Dane wejściowe 2 22 12 3" xfId="9983"/>
    <cellStyle name="Dane wejściowe 2 22 12 4" xfId="9984"/>
    <cellStyle name="Dane wejściowe 2 22 13" xfId="9985"/>
    <cellStyle name="Dane wejściowe 2 22 13 2" xfId="9986"/>
    <cellStyle name="Dane wejściowe 2 22 13 3" xfId="9987"/>
    <cellStyle name="Dane wejściowe 2 22 13 4" xfId="9988"/>
    <cellStyle name="Dane wejściowe 2 22 14" xfId="9989"/>
    <cellStyle name="Dane wejściowe 2 22 14 2" xfId="9990"/>
    <cellStyle name="Dane wejściowe 2 22 14 3" xfId="9991"/>
    <cellStyle name="Dane wejściowe 2 22 14 4" xfId="9992"/>
    <cellStyle name="Dane wejściowe 2 22 15" xfId="9993"/>
    <cellStyle name="Dane wejściowe 2 22 15 2" xfId="9994"/>
    <cellStyle name="Dane wejściowe 2 22 15 3" xfId="9995"/>
    <cellStyle name="Dane wejściowe 2 22 15 4" xfId="9996"/>
    <cellStyle name="Dane wejściowe 2 22 16" xfId="9997"/>
    <cellStyle name="Dane wejściowe 2 22 16 2" xfId="9998"/>
    <cellStyle name="Dane wejściowe 2 22 16 3" xfId="9999"/>
    <cellStyle name="Dane wejściowe 2 22 16 4" xfId="10000"/>
    <cellStyle name="Dane wejściowe 2 22 17" xfId="10001"/>
    <cellStyle name="Dane wejściowe 2 22 17 2" xfId="10002"/>
    <cellStyle name="Dane wejściowe 2 22 17 3" xfId="10003"/>
    <cellStyle name="Dane wejściowe 2 22 17 4" xfId="10004"/>
    <cellStyle name="Dane wejściowe 2 22 18" xfId="10005"/>
    <cellStyle name="Dane wejściowe 2 22 18 2" xfId="10006"/>
    <cellStyle name="Dane wejściowe 2 22 18 3" xfId="10007"/>
    <cellStyle name="Dane wejściowe 2 22 18 4" xfId="10008"/>
    <cellStyle name="Dane wejściowe 2 22 19" xfId="10009"/>
    <cellStyle name="Dane wejściowe 2 22 19 2" xfId="10010"/>
    <cellStyle name="Dane wejściowe 2 22 19 3" xfId="10011"/>
    <cellStyle name="Dane wejściowe 2 22 19 4" xfId="10012"/>
    <cellStyle name="Dane wejściowe 2 22 2" xfId="10013"/>
    <cellStyle name="Dane wejściowe 2 22 2 2" xfId="10014"/>
    <cellStyle name="Dane wejściowe 2 22 2 3" xfId="10015"/>
    <cellStyle name="Dane wejściowe 2 22 2 4" xfId="10016"/>
    <cellStyle name="Dane wejściowe 2 22 20" xfId="10017"/>
    <cellStyle name="Dane wejściowe 2 22 20 2" xfId="10018"/>
    <cellStyle name="Dane wejściowe 2 22 20 3" xfId="10019"/>
    <cellStyle name="Dane wejściowe 2 22 20 4" xfId="10020"/>
    <cellStyle name="Dane wejściowe 2 22 21" xfId="10021"/>
    <cellStyle name="Dane wejściowe 2 22 21 2" xfId="10022"/>
    <cellStyle name="Dane wejściowe 2 22 21 3" xfId="10023"/>
    <cellStyle name="Dane wejściowe 2 22 22" xfId="10024"/>
    <cellStyle name="Dane wejściowe 2 22 22 2" xfId="10025"/>
    <cellStyle name="Dane wejściowe 2 22 22 3" xfId="10026"/>
    <cellStyle name="Dane wejściowe 2 22 23" xfId="10027"/>
    <cellStyle name="Dane wejściowe 2 22 23 2" xfId="10028"/>
    <cellStyle name="Dane wejściowe 2 22 23 3" xfId="10029"/>
    <cellStyle name="Dane wejściowe 2 22 24" xfId="10030"/>
    <cellStyle name="Dane wejściowe 2 22 24 2" xfId="10031"/>
    <cellStyle name="Dane wejściowe 2 22 24 3" xfId="10032"/>
    <cellStyle name="Dane wejściowe 2 22 25" xfId="10033"/>
    <cellStyle name="Dane wejściowe 2 22 25 2" xfId="10034"/>
    <cellStyle name="Dane wejściowe 2 22 25 3" xfId="10035"/>
    <cellStyle name="Dane wejściowe 2 22 26" xfId="10036"/>
    <cellStyle name="Dane wejściowe 2 22 26 2" xfId="10037"/>
    <cellStyle name="Dane wejściowe 2 22 26 3" xfId="10038"/>
    <cellStyle name="Dane wejściowe 2 22 27" xfId="10039"/>
    <cellStyle name="Dane wejściowe 2 22 27 2" xfId="10040"/>
    <cellStyle name="Dane wejściowe 2 22 27 3" xfId="10041"/>
    <cellStyle name="Dane wejściowe 2 22 28" xfId="10042"/>
    <cellStyle name="Dane wejściowe 2 22 28 2" xfId="10043"/>
    <cellStyle name="Dane wejściowe 2 22 28 3" xfId="10044"/>
    <cellStyle name="Dane wejściowe 2 22 29" xfId="10045"/>
    <cellStyle name="Dane wejściowe 2 22 29 2" xfId="10046"/>
    <cellStyle name="Dane wejściowe 2 22 29 3" xfId="10047"/>
    <cellStyle name="Dane wejściowe 2 22 3" xfId="10048"/>
    <cellStyle name="Dane wejściowe 2 22 3 2" xfId="10049"/>
    <cellStyle name="Dane wejściowe 2 22 3 3" xfId="10050"/>
    <cellStyle name="Dane wejściowe 2 22 3 4" xfId="10051"/>
    <cellStyle name="Dane wejściowe 2 22 30" xfId="10052"/>
    <cellStyle name="Dane wejściowe 2 22 30 2" xfId="10053"/>
    <cellStyle name="Dane wejściowe 2 22 30 3" xfId="10054"/>
    <cellStyle name="Dane wejściowe 2 22 31" xfId="10055"/>
    <cellStyle name="Dane wejściowe 2 22 31 2" xfId="10056"/>
    <cellStyle name="Dane wejściowe 2 22 31 3" xfId="10057"/>
    <cellStyle name="Dane wejściowe 2 22 32" xfId="10058"/>
    <cellStyle name="Dane wejściowe 2 22 32 2" xfId="10059"/>
    <cellStyle name="Dane wejściowe 2 22 32 3" xfId="10060"/>
    <cellStyle name="Dane wejściowe 2 22 33" xfId="10061"/>
    <cellStyle name="Dane wejściowe 2 22 33 2" xfId="10062"/>
    <cellStyle name="Dane wejściowe 2 22 33 3" xfId="10063"/>
    <cellStyle name="Dane wejściowe 2 22 34" xfId="10064"/>
    <cellStyle name="Dane wejściowe 2 22 34 2" xfId="10065"/>
    <cellStyle name="Dane wejściowe 2 22 34 3" xfId="10066"/>
    <cellStyle name="Dane wejściowe 2 22 35" xfId="10067"/>
    <cellStyle name="Dane wejściowe 2 22 35 2" xfId="10068"/>
    <cellStyle name="Dane wejściowe 2 22 35 3" xfId="10069"/>
    <cellStyle name="Dane wejściowe 2 22 36" xfId="10070"/>
    <cellStyle name="Dane wejściowe 2 22 36 2" xfId="10071"/>
    <cellStyle name="Dane wejściowe 2 22 36 3" xfId="10072"/>
    <cellStyle name="Dane wejściowe 2 22 37" xfId="10073"/>
    <cellStyle name="Dane wejściowe 2 22 37 2" xfId="10074"/>
    <cellStyle name="Dane wejściowe 2 22 37 3" xfId="10075"/>
    <cellStyle name="Dane wejściowe 2 22 38" xfId="10076"/>
    <cellStyle name="Dane wejściowe 2 22 38 2" xfId="10077"/>
    <cellStyle name="Dane wejściowe 2 22 38 3" xfId="10078"/>
    <cellStyle name="Dane wejściowe 2 22 39" xfId="10079"/>
    <cellStyle name="Dane wejściowe 2 22 39 2" xfId="10080"/>
    <cellStyle name="Dane wejściowe 2 22 39 3" xfId="10081"/>
    <cellStyle name="Dane wejściowe 2 22 4" xfId="10082"/>
    <cellStyle name="Dane wejściowe 2 22 4 2" xfId="10083"/>
    <cellStyle name="Dane wejściowe 2 22 4 3" xfId="10084"/>
    <cellStyle name="Dane wejściowe 2 22 4 4" xfId="10085"/>
    <cellStyle name="Dane wejściowe 2 22 40" xfId="10086"/>
    <cellStyle name="Dane wejściowe 2 22 40 2" xfId="10087"/>
    <cellStyle name="Dane wejściowe 2 22 40 3" xfId="10088"/>
    <cellStyle name="Dane wejściowe 2 22 41" xfId="10089"/>
    <cellStyle name="Dane wejściowe 2 22 41 2" xfId="10090"/>
    <cellStyle name="Dane wejściowe 2 22 41 3" xfId="10091"/>
    <cellStyle name="Dane wejściowe 2 22 42" xfId="10092"/>
    <cellStyle name="Dane wejściowe 2 22 42 2" xfId="10093"/>
    <cellStyle name="Dane wejściowe 2 22 42 3" xfId="10094"/>
    <cellStyle name="Dane wejściowe 2 22 43" xfId="10095"/>
    <cellStyle name="Dane wejściowe 2 22 43 2" xfId="10096"/>
    <cellStyle name="Dane wejściowe 2 22 43 3" xfId="10097"/>
    <cellStyle name="Dane wejściowe 2 22 44" xfId="10098"/>
    <cellStyle name="Dane wejściowe 2 22 44 2" xfId="10099"/>
    <cellStyle name="Dane wejściowe 2 22 44 3" xfId="10100"/>
    <cellStyle name="Dane wejściowe 2 22 45" xfId="10101"/>
    <cellStyle name="Dane wejściowe 2 22 45 2" xfId="10102"/>
    <cellStyle name="Dane wejściowe 2 22 45 3" xfId="10103"/>
    <cellStyle name="Dane wejściowe 2 22 46" xfId="10104"/>
    <cellStyle name="Dane wejściowe 2 22 46 2" xfId="10105"/>
    <cellStyle name="Dane wejściowe 2 22 46 3" xfId="10106"/>
    <cellStyle name="Dane wejściowe 2 22 47" xfId="10107"/>
    <cellStyle name="Dane wejściowe 2 22 47 2" xfId="10108"/>
    <cellStyle name="Dane wejściowe 2 22 47 3" xfId="10109"/>
    <cellStyle name="Dane wejściowe 2 22 48" xfId="10110"/>
    <cellStyle name="Dane wejściowe 2 22 48 2" xfId="10111"/>
    <cellStyle name="Dane wejściowe 2 22 48 3" xfId="10112"/>
    <cellStyle name="Dane wejściowe 2 22 49" xfId="10113"/>
    <cellStyle name="Dane wejściowe 2 22 49 2" xfId="10114"/>
    <cellStyle name="Dane wejściowe 2 22 49 3" xfId="10115"/>
    <cellStyle name="Dane wejściowe 2 22 5" xfId="10116"/>
    <cellStyle name="Dane wejściowe 2 22 5 2" xfId="10117"/>
    <cellStyle name="Dane wejściowe 2 22 5 3" xfId="10118"/>
    <cellStyle name="Dane wejściowe 2 22 5 4" xfId="10119"/>
    <cellStyle name="Dane wejściowe 2 22 50" xfId="10120"/>
    <cellStyle name="Dane wejściowe 2 22 50 2" xfId="10121"/>
    <cellStyle name="Dane wejściowe 2 22 50 3" xfId="10122"/>
    <cellStyle name="Dane wejściowe 2 22 51" xfId="10123"/>
    <cellStyle name="Dane wejściowe 2 22 51 2" xfId="10124"/>
    <cellStyle name="Dane wejściowe 2 22 51 3" xfId="10125"/>
    <cellStyle name="Dane wejściowe 2 22 52" xfId="10126"/>
    <cellStyle name="Dane wejściowe 2 22 52 2" xfId="10127"/>
    <cellStyle name="Dane wejściowe 2 22 52 3" xfId="10128"/>
    <cellStyle name="Dane wejściowe 2 22 53" xfId="10129"/>
    <cellStyle name="Dane wejściowe 2 22 53 2" xfId="10130"/>
    <cellStyle name="Dane wejściowe 2 22 53 3" xfId="10131"/>
    <cellStyle name="Dane wejściowe 2 22 54" xfId="10132"/>
    <cellStyle name="Dane wejściowe 2 22 54 2" xfId="10133"/>
    <cellStyle name="Dane wejściowe 2 22 54 3" xfId="10134"/>
    <cellStyle name="Dane wejściowe 2 22 55" xfId="10135"/>
    <cellStyle name="Dane wejściowe 2 22 55 2" xfId="10136"/>
    <cellStyle name="Dane wejściowe 2 22 55 3" xfId="10137"/>
    <cellStyle name="Dane wejściowe 2 22 56" xfId="10138"/>
    <cellStyle name="Dane wejściowe 2 22 56 2" xfId="10139"/>
    <cellStyle name="Dane wejściowe 2 22 56 3" xfId="10140"/>
    <cellStyle name="Dane wejściowe 2 22 57" xfId="10141"/>
    <cellStyle name="Dane wejściowe 2 22 58" xfId="10142"/>
    <cellStyle name="Dane wejściowe 2 22 6" xfId="10143"/>
    <cellStyle name="Dane wejściowe 2 22 6 2" xfId="10144"/>
    <cellStyle name="Dane wejściowe 2 22 6 3" xfId="10145"/>
    <cellStyle name="Dane wejściowe 2 22 6 4" xfId="10146"/>
    <cellStyle name="Dane wejściowe 2 22 7" xfId="10147"/>
    <cellStyle name="Dane wejściowe 2 22 7 2" xfId="10148"/>
    <cellStyle name="Dane wejściowe 2 22 7 3" xfId="10149"/>
    <cellStyle name="Dane wejściowe 2 22 7 4" xfId="10150"/>
    <cellStyle name="Dane wejściowe 2 22 8" xfId="10151"/>
    <cellStyle name="Dane wejściowe 2 22 8 2" xfId="10152"/>
    <cellStyle name="Dane wejściowe 2 22 8 3" xfId="10153"/>
    <cellStyle name="Dane wejściowe 2 22 8 4" xfId="10154"/>
    <cellStyle name="Dane wejściowe 2 22 9" xfId="10155"/>
    <cellStyle name="Dane wejściowe 2 22 9 2" xfId="10156"/>
    <cellStyle name="Dane wejściowe 2 22 9 3" xfId="10157"/>
    <cellStyle name="Dane wejściowe 2 22 9 4" xfId="10158"/>
    <cellStyle name="Dane wejściowe 2 23" xfId="10159"/>
    <cellStyle name="Dane wejściowe 2 23 10" xfId="10160"/>
    <cellStyle name="Dane wejściowe 2 23 10 2" xfId="10161"/>
    <cellStyle name="Dane wejściowe 2 23 10 3" xfId="10162"/>
    <cellStyle name="Dane wejściowe 2 23 10 4" xfId="10163"/>
    <cellStyle name="Dane wejściowe 2 23 11" xfId="10164"/>
    <cellStyle name="Dane wejściowe 2 23 11 2" xfId="10165"/>
    <cellStyle name="Dane wejściowe 2 23 11 3" xfId="10166"/>
    <cellStyle name="Dane wejściowe 2 23 11 4" xfId="10167"/>
    <cellStyle name="Dane wejściowe 2 23 12" xfId="10168"/>
    <cellStyle name="Dane wejściowe 2 23 12 2" xfId="10169"/>
    <cellStyle name="Dane wejściowe 2 23 12 3" xfId="10170"/>
    <cellStyle name="Dane wejściowe 2 23 12 4" xfId="10171"/>
    <cellStyle name="Dane wejściowe 2 23 13" xfId="10172"/>
    <cellStyle name="Dane wejściowe 2 23 13 2" xfId="10173"/>
    <cellStyle name="Dane wejściowe 2 23 13 3" xfId="10174"/>
    <cellStyle name="Dane wejściowe 2 23 13 4" xfId="10175"/>
    <cellStyle name="Dane wejściowe 2 23 14" xfId="10176"/>
    <cellStyle name="Dane wejściowe 2 23 14 2" xfId="10177"/>
    <cellStyle name="Dane wejściowe 2 23 14 3" xfId="10178"/>
    <cellStyle name="Dane wejściowe 2 23 14 4" xfId="10179"/>
    <cellStyle name="Dane wejściowe 2 23 15" xfId="10180"/>
    <cellStyle name="Dane wejściowe 2 23 15 2" xfId="10181"/>
    <cellStyle name="Dane wejściowe 2 23 15 3" xfId="10182"/>
    <cellStyle name="Dane wejściowe 2 23 15 4" xfId="10183"/>
    <cellStyle name="Dane wejściowe 2 23 16" xfId="10184"/>
    <cellStyle name="Dane wejściowe 2 23 16 2" xfId="10185"/>
    <cellStyle name="Dane wejściowe 2 23 16 3" xfId="10186"/>
    <cellStyle name="Dane wejściowe 2 23 16 4" xfId="10187"/>
    <cellStyle name="Dane wejściowe 2 23 17" xfId="10188"/>
    <cellStyle name="Dane wejściowe 2 23 17 2" xfId="10189"/>
    <cellStyle name="Dane wejściowe 2 23 17 3" xfId="10190"/>
    <cellStyle name="Dane wejściowe 2 23 17 4" xfId="10191"/>
    <cellStyle name="Dane wejściowe 2 23 18" xfId="10192"/>
    <cellStyle name="Dane wejściowe 2 23 18 2" xfId="10193"/>
    <cellStyle name="Dane wejściowe 2 23 18 3" xfId="10194"/>
    <cellStyle name="Dane wejściowe 2 23 18 4" xfId="10195"/>
    <cellStyle name="Dane wejściowe 2 23 19" xfId="10196"/>
    <cellStyle name="Dane wejściowe 2 23 19 2" xfId="10197"/>
    <cellStyle name="Dane wejściowe 2 23 19 3" xfId="10198"/>
    <cellStyle name="Dane wejściowe 2 23 19 4" xfId="10199"/>
    <cellStyle name="Dane wejściowe 2 23 2" xfId="10200"/>
    <cellStyle name="Dane wejściowe 2 23 2 2" xfId="10201"/>
    <cellStyle name="Dane wejściowe 2 23 2 3" xfId="10202"/>
    <cellStyle name="Dane wejściowe 2 23 2 4" xfId="10203"/>
    <cellStyle name="Dane wejściowe 2 23 20" xfId="10204"/>
    <cellStyle name="Dane wejściowe 2 23 20 2" xfId="10205"/>
    <cellStyle name="Dane wejściowe 2 23 20 3" xfId="10206"/>
    <cellStyle name="Dane wejściowe 2 23 20 4" xfId="10207"/>
    <cellStyle name="Dane wejściowe 2 23 21" xfId="10208"/>
    <cellStyle name="Dane wejściowe 2 23 21 2" xfId="10209"/>
    <cellStyle name="Dane wejściowe 2 23 21 3" xfId="10210"/>
    <cellStyle name="Dane wejściowe 2 23 22" xfId="10211"/>
    <cellStyle name="Dane wejściowe 2 23 22 2" xfId="10212"/>
    <cellStyle name="Dane wejściowe 2 23 22 3" xfId="10213"/>
    <cellStyle name="Dane wejściowe 2 23 23" xfId="10214"/>
    <cellStyle name="Dane wejściowe 2 23 23 2" xfId="10215"/>
    <cellStyle name="Dane wejściowe 2 23 23 3" xfId="10216"/>
    <cellStyle name="Dane wejściowe 2 23 24" xfId="10217"/>
    <cellStyle name="Dane wejściowe 2 23 24 2" xfId="10218"/>
    <cellStyle name="Dane wejściowe 2 23 24 3" xfId="10219"/>
    <cellStyle name="Dane wejściowe 2 23 25" xfId="10220"/>
    <cellStyle name="Dane wejściowe 2 23 25 2" xfId="10221"/>
    <cellStyle name="Dane wejściowe 2 23 25 3" xfId="10222"/>
    <cellStyle name="Dane wejściowe 2 23 26" xfId="10223"/>
    <cellStyle name="Dane wejściowe 2 23 26 2" xfId="10224"/>
    <cellStyle name="Dane wejściowe 2 23 26 3" xfId="10225"/>
    <cellStyle name="Dane wejściowe 2 23 27" xfId="10226"/>
    <cellStyle name="Dane wejściowe 2 23 27 2" xfId="10227"/>
    <cellStyle name="Dane wejściowe 2 23 27 3" xfId="10228"/>
    <cellStyle name="Dane wejściowe 2 23 28" xfId="10229"/>
    <cellStyle name="Dane wejściowe 2 23 28 2" xfId="10230"/>
    <cellStyle name="Dane wejściowe 2 23 28 3" xfId="10231"/>
    <cellStyle name="Dane wejściowe 2 23 29" xfId="10232"/>
    <cellStyle name="Dane wejściowe 2 23 29 2" xfId="10233"/>
    <cellStyle name="Dane wejściowe 2 23 29 3" xfId="10234"/>
    <cellStyle name="Dane wejściowe 2 23 3" xfId="10235"/>
    <cellStyle name="Dane wejściowe 2 23 3 2" xfId="10236"/>
    <cellStyle name="Dane wejściowe 2 23 3 3" xfId="10237"/>
    <cellStyle name="Dane wejściowe 2 23 3 4" xfId="10238"/>
    <cellStyle name="Dane wejściowe 2 23 30" xfId="10239"/>
    <cellStyle name="Dane wejściowe 2 23 30 2" xfId="10240"/>
    <cellStyle name="Dane wejściowe 2 23 30 3" xfId="10241"/>
    <cellStyle name="Dane wejściowe 2 23 31" xfId="10242"/>
    <cellStyle name="Dane wejściowe 2 23 31 2" xfId="10243"/>
    <cellStyle name="Dane wejściowe 2 23 31 3" xfId="10244"/>
    <cellStyle name="Dane wejściowe 2 23 32" xfId="10245"/>
    <cellStyle name="Dane wejściowe 2 23 32 2" xfId="10246"/>
    <cellStyle name="Dane wejściowe 2 23 32 3" xfId="10247"/>
    <cellStyle name="Dane wejściowe 2 23 33" xfId="10248"/>
    <cellStyle name="Dane wejściowe 2 23 33 2" xfId="10249"/>
    <cellStyle name="Dane wejściowe 2 23 33 3" xfId="10250"/>
    <cellStyle name="Dane wejściowe 2 23 34" xfId="10251"/>
    <cellStyle name="Dane wejściowe 2 23 34 2" xfId="10252"/>
    <cellStyle name="Dane wejściowe 2 23 34 3" xfId="10253"/>
    <cellStyle name="Dane wejściowe 2 23 35" xfId="10254"/>
    <cellStyle name="Dane wejściowe 2 23 35 2" xfId="10255"/>
    <cellStyle name="Dane wejściowe 2 23 35 3" xfId="10256"/>
    <cellStyle name="Dane wejściowe 2 23 36" xfId="10257"/>
    <cellStyle name="Dane wejściowe 2 23 36 2" xfId="10258"/>
    <cellStyle name="Dane wejściowe 2 23 36 3" xfId="10259"/>
    <cellStyle name="Dane wejściowe 2 23 37" xfId="10260"/>
    <cellStyle name="Dane wejściowe 2 23 37 2" xfId="10261"/>
    <cellStyle name="Dane wejściowe 2 23 37 3" xfId="10262"/>
    <cellStyle name="Dane wejściowe 2 23 38" xfId="10263"/>
    <cellStyle name="Dane wejściowe 2 23 38 2" xfId="10264"/>
    <cellStyle name="Dane wejściowe 2 23 38 3" xfId="10265"/>
    <cellStyle name="Dane wejściowe 2 23 39" xfId="10266"/>
    <cellStyle name="Dane wejściowe 2 23 39 2" xfId="10267"/>
    <cellStyle name="Dane wejściowe 2 23 39 3" xfId="10268"/>
    <cellStyle name="Dane wejściowe 2 23 4" xfId="10269"/>
    <cellStyle name="Dane wejściowe 2 23 4 2" xfId="10270"/>
    <cellStyle name="Dane wejściowe 2 23 4 3" xfId="10271"/>
    <cellStyle name="Dane wejściowe 2 23 4 4" xfId="10272"/>
    <cellStyle name="Dane wejściowe 2 23 40" xfId="10273"/>
    <cellStyle name="Dane wejściowe 2 23 40 2" xfId="10274"/>
    <cellStyle name="Dane wejściowe 2 23 40 3" xfId="10275"/>
    <cellStyle name="Dane wejściowe 2 23 41" xfId="10276"/>
    <cellStyle name="Dane wejściowe 2 23 41 2" xfId="10277"/>
    <cellStyle name="Dane wejściowe 2 23 41 3" xfId="10278"/>
    <cellStyle name="Dane wejściowe 2 23 42" xfId="10279"/>
    <cellStyle name="Dane wejściowe 2 23 42 2" xfId="10280"/>
    <cellStyle name="Dane wejściowe 2 23 42 3" xfId="10281"/>
    <cellStyle name="Dane wejściowe 2 23 43" xfId="10282"/>
    <cellStyle name="Dane wejściowe 2 23 43 2" xfId="10283"/>
    <cellStyle name="Dane wejściowe 2 23 43 3" xfId="10284"/>
    <cellStyle name="Dane wejściowe 2 23 44" xfId="10285"/>
    <cellStyle name="Dane wejściowe 2 23 44 2" xfId="10286"/>
    <cellStyle name="Dane wejściowe 2 23 44 3" xfId="10287"/>
    <cellStyle name="Dane wejściowe 2 23 45" xfId="10288"/>
    <cellStyle name="Dane wejściowe 2 23 45 2" xfId="10289"/>
    <cellStyle name="Dane wejściowe 2 23 45 3" xfId="10290"/>
    <cellStyle name="Dane wejściowe 2 23 46" xfId="10291"/>
    <cellStyle name="Dane wejściowe 2 23 46 2" xfId="10292"/>
    <cellStyle name="Dane wejściowe 2 23 46 3" xfId="10293"/>
    <cellStyle name="Dane wejściowe 2 23 47" xfId="10294"/>
    <cellStyle name="Dane wejściowe 2 23 47 2" xfId="10295"/>
    <cellStyle name="Dane wejściowe 2 23 47 3" xfId="10296"/>
    <cellStyle name="Dane wejściowe 2 23 48" xfId="10297"/>
    <cellStyle name="Dane wejściowe 2 23 48 2" xfId="10298"/>
    <cellStyle name="Dane wejściowe 2 23 48 3" xfId="10299"/>
    <cellStyle name="Dane wejściowe 2 23 49" xfId="10300"/>
    <cellStyle name="Dane wejściowe 2 23 49 2" xfId="10301"/>
    <cellStyle name="Dane wejściowe 2 23 49 3" xfId="10302"/>
    <cellStyle name="Dane wejściowe 2 23 5" xfId="10303"/>
    <cellStyle name="Dane wejściowe 2 23 5 2" xfId="10304"/>
    <cellStyle name="Dane wejściowe 2 23 5 3" xfId="10305"/>
    <cellStyle name="Dane wejściowe 2 23 5 4" xfId="10306"/>
    <cellStyle name="Dane wejściowe 2 23 50" xfId="10307"/>
    <cellStyle name="Dane wejściowe 2 23 50 2" xfId="10308"/>
    <cellStyle name="Dane wejściowe 2 23 50 3" xfId="10309"/>
    <cellStyle name="Dane wejściowe 2 23 51" xfId="10310"/>
    <cellStyle name="Dane wejściowe 2 23 51 2" xfId="10311"/>
    <cellStyle name="Dane wejściowe 2 23 51 3" xfId="10312"/>
    <cellStyle name="Dane wejściowe 2 23 52" xfId="10313"/>
    <cellStyle name="Dane wejściowe 2 23 52 2" xfId="10314"/>
    <cellStyle name="Dane wejściowe 2 23 52 3" xfId="10315"/>
    <cellStyle name="Dane wejściowe 2 23 53" xfId="10316"/>
    <cellStyle name="Dane wejściowe 2 23 53 2" xfId="10317"/>
    <cellStyle name="Dane wejściowe 2 23 53 3" xfId="10318"/>
    <cellStyle name="Dane wejściowe 2 23 54" xfId="10319"/>
    <cellStyle name="Dane wejściowe 2 23 54 2" xfId="10320"/>
    <cellStyle name="Dane wejściowe 2 23 54 3" xfId="10321"/>
    <cellStyle name="Dane wejściowe 2 23 55" xfId="10322"/>
    <cellStyle name="Dane wejściowe 2 23 55 2" xfId="10323"/>
    <cellStyle name="Dane wejściowe 2 23 55 3" xfId="10324"/>
    <cellStyle name="Dane wejściowe 2 23 56" xfId="10325"/>
    <cellStyle name="Dane wejściowe 2 23 56 2" xfId="10326"/>
    <cellStyle name="Dane wejściowe 2 23 56 3" xfId="10327"/>
    <cellStyle name="Dane wejściowe 2 23 57" xfId="10328"/>
    <cellStyle name="Dane wejściowe 2 23 58" xfId="10329"/>
    <cellStyle name="Dane wejściowe 2 23 6" xfId="10330"/>
    <cellStyle name="Dane wejściowe 2 23 6 2" xfId="10331"/>
    <cellStyle name="Dane wejściowe 2 23 6 3" xfId="10332"/>
    <cellStyle name="Dane wejściowe 2 23 6 4" xfId="10333"/>
    <cellStyle name="Dane wejściowe 2 23 7" xfId="10334"/>
    <cellStyle name="Dane wejściowe 2 23 7 2" xfId="10335"/>
    <cellStyle name="Dane wejściowe 2 23 7 3" xfId="10336"/>
    <cellStyle name="Dane wejściowe 2 23 7 4" xfId="10337"/>
    <cellStyle name="Dane wejściowe 2 23 8" xfId="10338"/>
    <cellStyle name="Dane wejściowe 2 23 8 2" xfId="10339"/>
    <cellStyle name="Dane wejściowe 2 23 8 3" xfId="10340"/>
    <cellStyle name="Dane wejściowe 2 23 8 4" xfId="10341"/>
    <cellStyle name="Dane wejściowe 2 23 9" xfId="10342"/>
    <cellStyle name="Dane wejściowe 2 23 9 2" xfId="10343"/>
    <cellStyle name="Dane wejściowe 2 23 9 3" xfId="10344"/>
    <cellStyle name="Dane wejściowe 2 23 9 4" xfId="10345"/>
    <cellStyle name="Dane wejściowe 2 24" xfId="10346"/>
    <cellStyle name="Dane wejściowe 2 24 10" xfId="10347"/>
    <cellStyle name="Dane wejściowe 2 24 10 2" xfId="10348"/>
    <cellStyle name="Dane wejściowe 2 24 10 3" xfId="10349"/>
    <cellStyle name="Dane wejściowe 2 24 10 4" xfId="10350"/>
    <cellStyle name="Dane wejściowe 2 24 11" xfId="10351"/>
    <cellStyle name="Dane wejściowe 2 24 11 2" xfId="10352"/>
    <cellStyle name="Dane wejściowe 2 24 11 3" xfId="10353"/>
    <cellStyle name="Dane wejściowe 2 24 11 4" xfId="10354"/>
    <cellStyle name="Dane wejściowe 2 24 12" xfId="10355"/>
    <cellStyle name="Dane wejściowe 2 24 12 2" xfId="10356"/>
    <cellStyle name="Dane wejściowe 2 24 12 3" xfId="10357"/>
    <cellStyle name="Dane wejściowe 2 24 12 4" xfId="10358"/>
    <cellStyle name="Dane wejściowe 2 24 13" xfId="10359"/>
    <cellStyle name="Dane wejściowe 2 24 13 2" xfId="10360"/>
    <cellStyle name="Dane wejściowe 2 24 13 3" xfId="10361"/>
    <cellStyle name="Dane wejściowe 2 24 13 4" xfId="10362"/>
    <cellStyle name="Dane wejściowe 2 24 14" xfId="10363"/>
    <cellStyle name="Dane wejściowe 2 24 14 2" xfId="10364"/>
    <cellStyle name="Dane wejściowe 2 24 14 3" xfId="10365"/>
    <cellStyle name="Dane wejściowe 2 24 14 4" xfId="10366"/>
    <cellStyle name="Dane wejściowe 2 24 15" xfId="10367"/>
    <cellStyle name="Dane wejściowe 2 24 15 2" xfId="10368"/>
    <cellStyle name="Dane wejściowe 2 24 15 3" xfId="10369"/>
    <cellStyle name="Dane wejściowe 2 24 15 4" xfId="10370"/>
    <cellStyle name="Dane wejściowe 2 24 16" xfId="10371"/>
    <cellStyle name="Dane wejściowe 2 24 16 2" xfId="10372"/>
    <cellStyle name="Dane wejściowe 2 24 16 3" xfId="10373"/>
    <cellStyle name="Dane wejściowe 2 24 16 4" xfId="10374"/>
    <cellStyle name="Dane wejściowe 2 24 17" xfId="10375"/>
    <cellStyle name="Dane wejściowe 2 24 17 2" xfId="10376"/>
    <cellStyle name="Dane wejściowe 2 24 17 3" xfId="10377"/>
    <cellStyle name="Dane wejściowe 2 24 17 4" xfId="10378"/>
    <cellStyle name="Dane wejściowe 2 24 18" xfId="10379"/>
    <cellStyle name="Dane wejściowe 2 24 18 2" xfId="10380"/>
    <cellStyle name="Dane wejściowe 2 24 18 3" xfId="10381"/>
    <cellStyle name="Dane wejściowe 2 24 18 4" xfId="10382"/>
    <cellStyle name="Dane wejściowe 2 24 19" xfId="10383"/>
    <cellStyle name="Dane wejściowe 2 24 19 2" xfId="10384"/>
    <cellStyle name="Dane wejściowe 2 24 19 3" xfId="10385"/>
    <cellStyle name="Dane wejściowe 2 24 19 4" xfId="10386"/>
    <cellStyle name="Dane wejściowe 2 24 2" xfId="10387"/>
    <cellStyle name="Dane wejściowe 2 24 2 2" xfId="10388"/>
    <cellStyle name="Dane wejściowe 2 24 2 3" xfId="10389"/>
    <cellStyle name="Dane wejściowe 2 24 2 4" xfId="10390"/>
    <cellStyle name="Dane wejściowe 2 24 20" xfId="10391"/>
    <cellStyle name="Dane wejściowe 2 24 20 2" xfId="10392"/>
    <cellStyle name="Dane wejściowe 2 24 20 3" xfId="10393"/>
    <cellStyle name="Dane wejściowe 2 24 20 4" xfId="10394"/>
    <cellStyle name="Dane wejściowe 2 24 21" xfId="10395"/>
    <cellStyle name="Dane wejściowe 2 24 21 2" xfId="10396"/>
    <cellStyle name="Dane wejściowe 2 24 21 3" xfId="10397"/>
    <cellStyle name="Dane wejściowe 2 24 22" xfId="10398"/>
    <cellStyle name="Dane wejściowe 2 24 22 2" xfId="10399"/>
    <cellStyle name="Dane wejściowe 2 24 22 3" xfId="10400"/>
    <cellStyle name="Dane wejściowe 2 24 23" xfId="10401"/>
    <cellStyle name="Dane wejściowe 2 24 23 2" xfId="10402"/>
    <cellStyle name="Dane wejściowe 2 24 23 3" xfId="10403"/>
    <cellStyle name="Dane wejściowe 2 24 24" xfId="10404"/>
    <cellStyle name="Dane wejściowe 2 24 24 2" xfId="10405"/>
    <cellStyle name="Dane wejściowe 2 24 24 3" xfId="10406"/>
    <cellStyle name="Dane wejściowe 2 24 25" xfId="10407"/>
    <cellStyle name="Dane wejściowe 2 24 25 2" xfId="10408"/>
    <cellStyle name="Dane wejściowe 2 24 25 3" xfId="10409"/>
    <cellStyle name="Dane wejściowe 2 24 26" xfId="10410"/>
    <cellStyle name="Dane wejściowe 2 24 26 2" xfId="10411"/>
    <cellStyle name="Dane wejściowe 2 24 26 3" xfId="10412"/>
    <cellStyle name="Dane wejściowe 2 24 27" xfId="10413"/>
    <cellStyle name="Dane wejściowe 2 24 27 2" xfId="10414"/>
    <cellStyle name="Dane wejściowe 2 24 27 3" xfId="10415"/>
    <cellStyle name="Dane wejściowe 2 24 28" xfId="10416"/>
    <cellStyle name="Dane wejściowe 2 24 28 2" xfId="10417"/>
    <cellStyle name="Dane wejściowe 2 24 28 3" xfId="10418"/>
    <cellStyle name="Dane wejściowe 2 24 29" xfId="10419"/>
    <cellStyle name="Dane wejściowe 2 24 29 2" xfId="10420"/>
    <cellStyle name="Dane wejściowe 2 24 29 3" xfId="10421"/>
    <cellStyle name="Dane wejściowe 2 24 3" xfId="10422"/>
    <cellStyle name="Dane wejściowe 2 24 3 2" xfId="10423"/>
    <cellStyle name="Dane wejściowe 2 24 3 3" xfId="10424"/>
    <cellStyle name="Dane wejściowe 2 24 3 4" xfId="10425"/>
    <cellStyle name="Dane wejściowe 2 24 30" xfId="10426"/>
    <cellStyle name="Dane wejściowe 2 24 30 2" xfId="10427"/>
    <cellStyle name="Dane wejściowe 2 24 30 3" xfId="10428"/>
    <cellStyle name="Dane wejściowe 2 24 31" xfId="10429"/>
    <cellStyle name="Dane wejściowe 2 24 31 2" xfId="10430"/>
    <cellStyle name="Dane wejściowe 2 24 31 3" xfId="10431"/>
    <cellStyle name="Dane wejściowe 2 24 32" xfId="10432"/>
    <cellStyle name="Dane wejściowe 2 24 32 2" xfId="10433"/>
    <cellStyle name="Dane wejściowe 2 24 32 3" xfId="10434"/>
    <cellStyle name="Dane wejściowe 2 24 33" xfId="10435"/>
    <cellStyle name="Dane wejściowe 2 24 33 2" xfId="10436"/>
    <cellStyle name="Dane wejściowe 2 24 33 3" xfId="10437"/>
    <cellStyle name="Dane wejściowe 2 24 34" xfId="10438"/>
    <cellStyle name="Dane wejściowe 2 24 34 2" xfId="10439"/>
    <cellStyle name="Dane wejściowe 2 24 34 3" xfId="10440"/>
    <cellStyle name="Dane wejściowe 2 24 35" xfId="10441"/>
    <cellStyle name="Dane wejściowe 2 24 35 2" xfId="10442"/>
    <cellStyle name="Dane wejściowe 2 24 35 3" xfId="10443"/>
    <cellStyle name="Dane wejściowe 2 24 36" xfId="10444"/>
    <cellStyle name="Dane wejściowe 2 24 36 2" xfId="10445"/>
    <cellStyle name="Dane wejściowe 2 24 36 3" xfId="10446"/>
    <cellStyle name="Dane wejściowe 2 24 37" xfId="10447"/>
    <cellStyle name="Dane wejściowe 2 24 37 2" xfId="10448"/>
    <cellStyle name="Dane wejściowe 2 24 37 3" xfId="10449"/>
    <cellStyle name="Dane wejściowe 2 24 38" xfId="10450"/>
    <cellStyle name="Dane wejściowe 2 24 38 2" xfId="10451"/>
    <cellStyle name="Dane wejściowe 2 24 38 3" xfId="10452"/>
    <cellStyle name="Dane wejściowe 2 24 39" xfId="10453"/>
    <cellStyle name="Dane wejściowe 2 24 39 2" xfId="10454"/>
    <cellStyle name="Dane wejściowe 2 24 39 3" xfId="10455"/>
    <cellStyle name="Dane wejściowe 2 24 4" xfId="10456"/>
    <cellStyle name="Dane wejściowe 2 24 4 2" xfId="10457"/>
    <cellStyle name="Dane wejściowe 2 24 4 3" xfId="10458"/>
    <cellStyle name="Dane wejściowe 2 24 4 4" xfId="10459"/>
    <cellStyle name="Dane wejściowe 2 24 40" xfId="10460"/>
    <cellStyle name="Dane wejściowe 2 24 40 2" xfId="10461"/>
    <cellStyle name="Dane wejściowe 2 24 40 3" xfId="10462"/>
    <cellStyle name="Dane wejściowe 2 24 41" xfId="10463"/>
    <cellStyle name="Dane wejściowe 2 24 41 2" xfId="10464"/>
    <cellStyle name="Dane wejściowe 2 24 41 3" xfId="10465"/>
    <cellStyle name="Dane wejściowe 2 24 42" xfId="10466"/>
    <cellStyle name="Dane wejściowe 2 24 42 2" xfId="10467"/>
    <cellStyle name="Dane wejściowe 2 24 42 3" xfId="10468"/>
    <cellStyle name="Dane wejściowe 2 24 43" xfId="10469"/>
    <cellStyle name="Dane wejściowe 2 24 43 2" xfId="10470"/>
    <cellStyle name="Dane wejściowe 2 24 43 3" xfId="10471"/>
    <cellStyle name="Dane wejściowe 2 24 44" xfId="10472"/>
    <cellStyle name="Dane wejściowe 2 24 44 2" xfId="10473"/>
    <cellStyle name="Dane wejściowe 2 24 44 3" xfId="10474"/>
    <cellStyle name="Dane wejściowe 2 24 45" xfId="10475"/>
    <cellStyle name="Dane wejściowe 2 24 45 2" xfId="10476"/>
    <cellStyle name="Dane wejściowe 2 24 45 3" xfId="10477"/>
    <cellStyle name="Dane wejściowe 2 24 46" xfId="10478"/>
    <cellStyle name="Dane wejściowe 2 24 46 2" xfId="10479"/>
    <cellStyle name="Dane wejściowe 2 24 46 3" xfId="10480"/>
    <cellStyle name="Dane wejściowe 2 24 47" xfId="10481"/>
    <cellStyle name="Dane wejściowe 2 24 47 2" xfId="10482"/>
    <cellStyle name="Dane wejściowe 2 24 47 3" xfId="10483"/>
    <cellStyle name="Dane wejściowe 2 24 48" xfId="10484"/>
    <cellStyle name="Dane wejściowe 2 24 48 2" xfId="10485"/>
    <cellStyle name="Dane wejściowe 2 24 48 3" xfId="10486"/>
    <cellStyle name="Dane wejściowe 2 24 49" xfId="10487"/>
    <cellStyle name="Dane wejściowe 2 24 49 2" xfId="10488"/>
    <cellStyle name="Dane wejściowe 2 24 49 3" xfId="10489"/>
    <cellStyle name="Dane wejściowe 2 24 5" xfId="10490"/>
    <cellStyle name="Dane wejściowe 2 24 5 2" xfId="10491"/>
    <cellStyle name="Dane wejściowe 2 24 5 3" xfId="10492"/>
    <cellStyle name="Dane wejściowe 2 24 5 4" xfId="10493"/>
    <cellStyle name="Dane wejściowe 2 24 50" xfId="10494"/>
    <cellStyle name="Dane wejściowe 2 24 50 2" xfId="10495"/>
    <cellStyle name="Dane wejściowe 2 24 50 3" xfId="10496"/>
    <cellStyle name="Dane wejściowe 2 24 51" xfId="10497"/>
    <cellStyle name="Dane wejściowe 2 24 51 2" xfId="10498"/>
    <cellStyle name="Dane wejściowe 2 24 51 3" xfId="10499"/>
    <cellStyle name="Dane wejściowe 2 24 52" xfId="10500"/>
    <cellStyle name="Dane wejściowe 2 24 52 2" xfId="10501"/>
    <cellStyle name="Dane wejściowe 2 24 52 3" xfId="10502"/>
    <cellStyle name="Dane wejściowe 2 24 53" xfId="10503"/>
    <cellStyle name="Dane wejściowe 2 24 53 2" xfId="10504"/>
    <cellStyle name="Dane wejściowe 2 24 53 3" xfId="10505"/>
    <cellStyle name="Dane wejściowe 2 24 54" xfId="10506"/>
    <cellStyle name="Dane wejściowe 2 24 54 2" xfId="10507"/>
    <cellStyle name="Dane wejściowe 2 24 54 3" xfId="10508"/>
    <cellStyle name="Dane wejściowe 2 24 55" xfId="10509"/>
    <cellStyle name="Dane wejściowe 2 24 55 2" xfId="10510"/>
    <cellStyle name="Dane wejściowe 2 24 55 3" xfId="10511"/>
    <cellStyle name="Dane wejściowe 2 24 56" xfId="10512"/>
    <cellStyle name="Dane wejściowe 2 24 56 2" xfId="10513"/>
    <cellStyle name="Dane wejściowe 2 24 56 3" xfId="10514"/>
    <cellStyle name="Dane wejściowe 2 24 57" xfId="10515"/>
    <cellStyle name="Dane wejściowe 2 24 58" xfId="10516"/>
    <cellStyle name="Dane wejściowe 2 24 6" xfId="10517"/>
    <cellStyle name="Dane wejściowe 2 24 6 2" xfId="10518"/>
    <cellStyle name="Dane wejściowe 2 24 6 3" xfId="10519"/>
    <cellStyle name="Dane wejściowe 2 24 6 4" xfId="10520"/>
    <cellStyle name="Dane wejściowe 2 24 7" xfId="10521"/>
    <cellStyle name="Dane wejściowe 2 24 7 2" xfId="10522"/>
    <cellStyle name="Dane wejściowe 2 24 7 3" xfId="10523"/>
    <cellStyle name="Dane wejściowe 2 24 7 4" xfId="10524"/>
    <cellStyle name="Dane wejściowe 2 24 8" xfId="10525"/>
    <cellStyle name="Dane wejściowe 2 24 8 2" xfId="10526"/>
    <cellStyle name="Dane wejściowe 2 24 8 3" xfId="10527"/>
    <cellStyle name="Dane wejściowe 2 24 8 4" xfId="10528"/>
    <cellStyle name="Dane wejściowe 2 24 9" xfId="10529"/>
    <cellStyle name="Dane wejściowe 2 24 9 2" xfId="10530"/>
    <cellStyle name="Dane wejściowe 2 24 9 3" xfId="10531"/>
    <cellStyle name="Dane wejściowe 2 24 9 4" xfId="10532"/>
    <cellStyle name="Dane wejściowe 2 25" xfId="10533"/>
    <cellStyle name="Dane wejściowe 2 25 10" xfId="10534"/>
    <cellStyle name="Dane wejściowe 2 25 10 2" xfId="10535"/>
    <cellStyle name="Dane wejściowe 2 25 10 3" xfId="10536"/>
    <cellStyle name="Dane wejściowe 2 25 10 4" xfId="10537"/>
    <cellStyle name="Dane wejściowe 2 25 11" xfId="10538"/>
    <cellStyle name="Dane wejściowe 2 25 11 2" xfId="10539"/>
    <cellStyle name="Dane wejściowe 2 25 11 3" xfId="10540"/>
    <cellStyle name="Dane wejściowe 2 25 11 4" xfId="10541"/>
    <cellStyle name="Dane wejściowe 2 25 12" xfId="10542"/>
    <cellStyle name="Dane wejściowe 2 25 12 2" xfId="10543"/>
    <cellStyle name="Dane wejściowe 2 25 12 3" xfId="10544"/>
    <cellStyle name="Dane wejściowe 2 25 12 4" xfId="10545"/>
    <cellStyle name="Dane wejściowe 2 25 13" xfId="10546"/>
    <cellStyle name="Dane wejściowe 2 25 13 2" xfId="10547"/>
    <cellStyle name="Dane wejściowe 2 25 13 3" xfId="10548"/>
    <cellStyle name="Dane wejściowe 2 25 13 4" xfId="10549"/>
    <cellStyle name="Dane wejściowe 2 25 14" xfId="10550"/>
    <cellStyle name="Dane wejściowe 2 25 14 2" xfId="10551"/>
    <cellStyle name="Dane wejściowe 2 25 14 3" xfId="10552"/>
    <cellStyle name="Dane wejściowe 2 25 14 4" xfId="10553"/>
    <cellStyle name="Dane wejściowe 2 25 15" xfId="10554"/>
    <cellStyle name="Dane wejściowe 2 25 15 2" xfId="10555"/>
    <cellStyle name="Dane wejściowe 2 25 15 3" xfId="10556"/>
    <cellStyle name="Dane wejściowe 2 25 15 4" xfId="10557"/>
    <cellStyle name="Dane wejściowe 2 25 16" xfId="10558"/>
    <cellStyle name="Dane wejściowe 2 25 16 2" xfId="10559"/>
    <cellStyle name="Dane wejściowe 2 25 16 3" xfId="10560"/>
    <cellStyle name="Dane wejściowe 2 25 16 4" xfId="10561"/>
    <cellStyle name="Dane wejściowe 2 25 17" xfId="10562"/>
    <cellStyle name="Dane wejściowe 2 25 17 2" xfId="10563"/>
    <cellStyle name="Dane wejściowe 2 25 17 3" xfId="10564"/>
    <cellStyle name="Dane wejściowe 2 25 17 4" xfId="10565"/>
    <cellStyle name="Dane wejściowe 2 25 18" xfId="10566"/>
    <cellStyle name="Dane wejściowe 2 25 18 2" xfId="10567"/>
    <cellStyle name="Dane wejściowe 2 25 18 3" xfId="10568"/>
    <cellStyle name="Dane wejściowe 2 25 18 4" xfId="10569"/>
    <cellStyle name="Dane wejściowe 2 25 19" xfId="10570"/>
    <cellStyle name="Dane wejściowe 2 25 19 2" xfId="10571"/>
    <cellStyle name="Dane wejściowe 2 25 19 3" xfId="10572"/>
    <cellStyle name="Dane wejściowe 2 25 19 4" xfId="10573"/>
    <cellStyle name="Dane wejściowe 2 25 2" xfId="10574"/>
    <cellStyle name="Dane wejściowe 2 25 2 2" xfId="10575"/>
    <cellStyle name="Dane wejściowe 2 25 2 3" xfId="10576"/>
    <cellStyle name="Dane wejściowe 2 25 2 4" xfId="10577"/>
    <cellStyle name="Dane wejściowe 2 25 20" xfId="10578"/>
    <cellStyle name="Dane wejściowe 2 25 20 2" xfId="10579"/>
    <cellStyle name="Dane wejściowe 2 25 20 3" xfId="10580"/>
    <cellStyle name="Dane wejściowe 2 25 20 4" xfId="10581"/>
    <cellStyle name="Dane wejściowe 2 25 21" xfId="10582"/>
    <cellStyle name="Dane wejściowe 2 25 21 2" xfId="10583"/>
    <cellStyle name="Dane wejściowe 2 25 21 3" xfId="10584"/>
    <cellStyle name="Dane wejściowe 2 25 22" xfId="10585"/>
    <cellStyle name="Dane wejściowe 2 25 22 2" xfId="10586"/>
    <cellStyle name="Dane wejściowe 2 25 22 3" xfId="10587"/>
    <cellStyle name="Dane wejściowe 2 25 23" xfId="10588"/>
    <cellStyle name="Dane wejściowe 2 25 23 2" xfId="10589"/>
    <cellStyle name="Dane wejściowe 2 25 23 3" xfId="10590"/>
    <cellStyle name="Dane wejściowe 2 25 24" xfId="10591"/>
    <cellStyle name="Dane wejściowe 2 25 24 2" xfId="10592"/>
    <cellStyle name="Dane wejściowe 2 25 24 3" xfId="10593"/>
    <cellStyle name="Dane wejściowe 2 25 25" xfId="10594"/>
    <cellStyle name="Dane wejściowe 2 25 25 2" xfId="10595"/>
    <cellStyle name="Dane wejściowe 2 25 25 3" xfId="10596"/>
    <cellStyle name="Dane wejściowe 2 25 26" xfId="10597"/>
    <cellStyle name="Dane wejściowe 2 25 26 2" xfId="10598"/>
    <cellStyle name="Dane wejściowe 2 25 26 3" xfId="10599"/>
    <cellStyle name="Dane wejściowe 2 25 27" xfId="10600"/>
    <cellStyle name="Dane wejściowe 2 25 27 2" xfId="10601"/>
    <cellStyle name="Dane wejściowe 2 25 27 3" xfId="10602"/>
    <cellStyle name="Dane wejściowe 2 25 28" xfId="10603"/>
    <cellStyle name="Dane wejściowe 2 25 28 2" xfId="10604"/>
    <cellStyle name="Dane wejściowe 2 25 28 3" xfId="10605"/>
    <cellStyle name="Dane wejściowe 2 25 29" xfId="10606"/>
    <cellStyle name="Dane wejściowe 2 25 29 2" xfId="10607"/>
    <cellStyle name="Dane wejściowe 2 25 29 3" xfId="10608"/>
    <cellStyle name="Dane wejściowe 2 25 3" xfId="10609"/>
    <cellStyle name="Dane wejściowe 2 25 3 2" xfId="10610"/>
    <cellStyle name="Dane wejściowe 2 25 3 3" xfId="10611"/>
    <cellStyle name="Dane wejściowe 2 25 3 4" xfId="10612"/>
    <cellStyle name="Dane wejściowe 2 25 30" xfId="10613"/>
    <cellStyle name="Dane wejściowe 2 25 30 2" xfId="10614"/>
    <cellStyle name="Dane wejściowe 2 25 30 3" xfId="10615"/>
    <cellStyle name="Dane wejściowe 2 25 31" xfId="10616"/>
    <cellStyle name="Dane wejściowe 2 25 31 2" xfId="10617"/>
    <cellStyle name="Dane wejściowe 2 25 31 3" xfId="10618"/>
    <cellStyle name="Dane wejściowe 2 25 32" xfId="10619"/>
    <cellStyle name="Dane wejściowe 2 25 32 2" xfId="10620"/>
    <cellStyle name="Dane wejściowe 2 25 32 3" xfId="10621"/>
    <cellStyle name="Dane wejściowe 2 25 33" xfId="10622"/>
    <cellStyle name="Dane wejściowe 2 25 33 2" xfId="10623"/>
    <cellStyle name="Dane wejściowe 2 25 33 3" xfId="10624"/>
    <cellStyle name="Dane wejściowe 2 25 34" xfId="10625"/>
    <cellStyle name="Dane wejściowe 2 25 34 2" xfId="10626"/>
    <cellStyle name="Dane wejściowe 2 25 34 3" xfId="10627"/>
    <cellStyle name="Dane wejściowe 2 25 35" xfId="10628"/>
    <cellStyle name="Dane wejściowe 2 25 35 2" xfId="10629"/>
    <cellStyle name="Dane wejściowe 2 25 35 3" xfId="10630"/>
    <cellStyle name="Dane wejściowe 2 25 36" xfId="10631"/>
    <cellStyle name="Dane wejściowe 2 25 36 2" xfId="10632"/>
    <cellStyle name="Dane wejściowe 2 25 36 3" xfId="10633"/>
    <cellStyle name="Dane wejściowe 2 25 37" xfId="10634"/>
    <cellStyle name="Dane wejściowe 2 25 37 2" xfId="10635"/>
    <cellStyle name="Dane wejściowe 2 25 37 3" xfId="10636"/>
    <cellStyle name="Dane wejściowe 2 25 38" xfId="10637"/>
    <cellStyle name="Dane wejściowe 2 25 38 2" xfId="10638"/>
    <cellStyle name="Dane wejściowe 2 25 38 3" xfId="10639"/>
    <cellStyle name="Dane wejściowe 2 25 39" xfId="10640"/>
    <cellStyle name="Dane wejściowe 2 25 39 2" xfId="10641"/>
    <cellStyle name="Dane wejściowe 2 25 39 3" xfId="10642"/>
    <cellStyle name="Dane wejściowe 2 25 4" xfId="10643"/>
    <cellStyle name="Dane wejściowe 2 25 4 2" xfId="10644"/>
    <cellStyle name="Dane wejściowe 2 25 4 3" xfId="10645"/>
    <cellStyle name="Dane wejściowe 2 25 4 4" xfId="10646"/>
    <cellStyle name="Dane wejściowe 2 25 40" xfId="10647"/>
    <cellStyle name="Dane wejściowe 2 25 40 2" xfId="10648"/>
    <cellStyle name="Dane wejściowe 2 25 40 3" xfId="10649"/>
    <cellStyle name="Dane wejściowe 2 25 41" xfId="10650"/>
    <cellStyle name="Dane wejściowe 2 25 41 2" xfId="10651"/>
    <cellStyle name="Dane wejściowe 2 25 41 3" xfId="10652"/>
    <cellStyle name="Dane wejściowe 2 25 42" xfId="10653"/>
    <cellStyle name="Dane wejściowe 2 25 42 2" xfId="10654"/>
    <cellStyle name="Dane wejściowe 2 25 42 3" xfId="10655"/>
    <cellStyle name="Dane wejściowe 2 25 43" xfId="10656"/>
    <cellStyle name="Dane wejściowe 2 25 43 2" xfId="10657"/>
    <cellStyle name="Dane wejściowe 2 25 43 3" xfId="10658"/>
    <cellStyle name="Dane wejściowe 2 25 44" xfId="10659"/>
    <cellStyle name="Dane wejściowe 2 25 44 2" xfId="10660"/>
    <cellStyle name="Dane wejściowe 2 25 44 3" xfId="10661"/>
    <cellStyle name="Dane wejściowe 2 25 45" xfId="10662"/>
    <cellStyle name="Dane wejściowe 2 25 45 2" xfId="10663"/>
    <cellStyle name="Dane wejściowe 2 25 45 3" xfId="10664"/>
    <cellStyle name="Dane wejściowe 2 25 46" xfId="10665"/>
    <cellStyle name="Dane wejściowe 2 25 46 2" xfId="10666"/>
    <cellStyle name="Dane wejściowe 2 25 46 3" xfId="10667"/>
    <cellStyle name="Dane wejściowe 2 25 47" xfId="10668"/>
    <cellStyle name="Dane wejściowe 2 25 47 2" xfId="10669"/>
    <cellStyle name="Dane wejściowe 2 25 47 3" xfId="10670"/>
    <cellStyle name="Dane wejściowe 2 25 48" xfId="10671"/>
    <cellStyle name="Dane wejściowe 2 25 48 2" xfId="10672"/>
    <cellStyle name="Dane wejściowe 2 25 48 3" xfId="10673"/>
    <cellStyle name="Dane wejściowe 2 25 49" xfId="10674"/>
    <cellStyle name="Dane wejściowe 2 25 49 2" xfId="10675"/>
    <cellStyle name="Dane wejściowe 2 25 49 3" xfId="10676"/>
    <cellStyle name="Dane wejściowe 2 25 5" xfId="10677"/>
    <cellStyle name="Dane wejściowe 2 25 5 2" xfId="10678"/>
    <cellStyle name="Dane wejściowe 2 25 5 3" xfId="10679"/>
    <cellStyle name="Dane wejściowe 2 25 5 4" xfId="10680"/>
    <cellStyle name="Dane wejściowe 2 25 50" xfId="10681"/>
    <cellStyle name="Dane wejściowe 2 25 50 2" xfId="10682"/>
    <cellStyle name="Dane wejściowe 2 25 50 3" xfId="10683"/>
    <cellStyle name="Dane wejściowe 2 25 51" xfId="10684"/>
    <cellStyle name="Dane wejściowe 2 25 51 2" xfId="10685"/>
    <cellStyle name="Dane wejściowe 2 25 51 3" xfId="10686"/>
    <cellStyle name="Dane wejściowe 2 25 52" xfId="10687"/>
    <cellStyle name="Dane wejściowe 2 25 52 2" xfId="10688"/>
    <cellStyle name="Dane wejściowe 2 25 52 3" xfId="10689"/>
    <cellStyle name="Dane wejściowe 2 25 53" xfId="10690"/>
    <cellStyle name="Dane wejściowe 2 25 53 2" xfId="10691"/>
    <cellStyle name="Dane wejściowe 2 25 53 3" xfId="10692"/>
    <cellStyle name="Dane wejściowe 2 25 54" xfId="10693"/>
    <cellStyle name="Dane wejściowe 2 25 54 2" xfId="10694"/>
    <cellStyle name="Dane wejściowe 2 25 54 3" xfId="10695"/>
    <cellStyle name="Dane wejściowe 2 25 55" xfId="10696"/>
    <cellStyle name="Dane wejściowe 2 25 55 2" xfId="10697"/>
    <cellStyle name="Dane wejściowe 2 25 55 3" xfId="10698"/>
    <cellStyle name="Dane wejściowe 2 25 56" xfId="10699"/>
    <cellStyle name="Dane wejściowe 2 25 56 2" xfId="10700"/>
    <cellStyle name="Dane wejściowe 2 25 56 3" xfId="10701"/>
    <cellStyle name="Dane wejściowe 2 25 57" xfId="10702"/>
    <cellStyle name="Dane wejściowe 2 25 58" xfId="10703"/>
    <cellStyle name="Dane wejściowe 2 25 6" xfId="10704"/>
    <cellStyle name="Dane wejściowe 2 25 6 2" xfId="10705"/>
    <cellStyle name="Dane wejściowe 2 25 6 3" xfId="10706"/>
    <cellStyle name="Dane wejściowe 2 25 6 4" xfId="10707"/>
    <cellStyle name="Dane wejściowe 2 25 7" xfId="10708"/>
    <cellStyle name="Dane wejściowe 2 25 7 2" xfId="10709"/>
    <cellStyle name="Dane wejściowe 2 25 7 3" xfId="10710"/>
    <cellStyle name="Dane wejściowe 2 25 7 4" xfId="10711"/>
    <cellStyle name="Dane wejściowe 2 25 8" xfId="10712"/>
    <cellStyle name="Dane wejściowe 2 25 8 2" xfId="10713"/>
    <cellStyle name="Dane wejściowe 2 25 8 3" xfId="10714"/>
    <cellStyle name="Dane wejściowe 2 25 8 4" xfId="10715"/>
    <cellStyle name="Dane wejściowe 2 25 9" xfId="10716"/>
    <cellStyle name="Dane wejściowe 2 25 9 2" xfId="10717"/>
    <cellStyle name="Dane wejściowe 2 25 9 3" xfId="10718"/>
    <cellStyle name="Dane wejściowe 2 25 9 4" xfId="10719"/>
    <cellStyle name="Dane wejściowe 2 26" xfId="10720"/>
    <cellStyle name="Dane wejściowe 2 26 10" xfId="10721"/>
    <cellStyle name="Dane wejściowe 2 26 10 2" xfId="10722"/>
    <cellStyle name="Dane wejściowe 2 26 10 3" xfId="10723"/>
    <cellStyle name="Dane wejściowe 2 26 10 4" xfId="10724"/>
    <cellStyle name="Dane wejściowe 2 26 11" xfId="10725"/>
    <cellStyle name="Dane wejściowe 2 26 11 2" xfId="10726"/>
    <cellStyle name="Dane wejściowe 2 26 11 3" xfId="10727"/>
    <cellStyle name="Dane wejściowe 2 26 11 4" xfId="10728"/>
    <cellStyle name="Dane wejściowe 2 26 12" xfId="10729"/>
    <cellStyle name="Dane wejściowe 2 26 12 2" xfId="10730"/>
    <cellStyle name="Dane wejściowe 2 26 12 3" xfId="10731"/>
    <cellStyle name="Dane wejściowe 2 26 12 4" xfId="10732"/>
    <cellStyle name="Dane wejściowe 2 26 13" xfId="10733"/>
    <cellStyle name="Dane wejściowe 2 26 13 2" xfId="10734"/>
    <cellStyle name="Dane wejściowe 2 26 13 3" xfId="10735"/>
    <cellStyle name="Dane wejściowe 2 26 13 4" xfId="10736"/>
    <cellStyle name="Dane wejściowe 2 26 14" xfId="10737"/>
    <cellStyle name="Dane wejściowe 2 26 14 2" xfId="10738"/>
    <cellStyle name="Dane wejściowe 2 26 14 3" xfId="10739"/>
    <cellStyle name="Dane wejściowe 2 26 14 4" xfId="10740"/>
    <cellStyle name="Dane wejściowe 2 26 15" xfId="10741"/>
    <cellStyle name="Dane wejściowe 2 26 15 2" xfId="10742"/>
    <cellStyle name="Dane wejściowe 2 26 15 3" xfId="10743"/>
    <cellStyle name="Dane wejściowe 2 26 15 4" xfId="10744"/>
    <cellStyle name="Dane wejściowe 2 26 16" xfId="10745"/>
    <cellStyle name="Dane wejściowe 2 26 16 2" xfId="10746"/>
    <cellStyle name="Dane wejściowe 2 26 16 3" xfId="10747"/>
    <cellStyle name="Dane wejściowe 2 26 16 4" xfId="10748"/>
    <cellStyle name="Dane wejściowe 2 26 17" xfId="10749"/>
    <cellStyle name="Dane wejściowe 2 26 17 2" xfId="10750"/>
    <cellStyle name="Dane wejściowe 2 26 17 3" xfId="10751"/>
    <cellStyle name="Dane wejściowe 2 26 17 4" xfId="10752"/>
    <cellStyle name="Dane wejściowe 2 26 18" xfId="10753"/>
    <cellStyle name="Dane wejściowe 2 26 18 2" xfId="10754"/>
    <cellStyle name="Dane wejściowe 2 26 18 3" xfId="10755"/>
    <cellStyle name="Dane wejściowe 2 26 18 4" xfId="10756"/>
    <cellStyle name="Dane wejściowe 2 26 19" xfId="10757"/>
    <cellStyle name="Dane wejściowe 2 26 19 2" xfId="10758"/>
    <cellStyle name="Dane wejściowe 2 26 19 3" xfId="10759"/>
    <cellStyle name="Dane wejściowe 2 26 19 4" xfId="10760"/>
    <cellStyle name="Dane wejściowe 2 26 2" xfId="10761"/>
    <cellStyle name="Dane wejściowe 2 26 2 2" xfId="10762"/>
    <cellStyle name="Dane wejściowe 2 26 2 3" xfId="10763"/>
    <cellStyle name="Dane wejściowe 2 26 2 4" xfId="10764"/>
    <cellStyle name="Dane wejściowe 2 26 20" xfId="10765"/>
    <cellStyle name="Dane wejściowe 2 26 20 2" xfId="10766"/>
    <cellStyle name="Dane wejściowe 2 26 20 3" xfId="10767"/>
    <cellStyle name="Dane wejściowe 2 26 20 4" xfId="10768"/>
    <cellStyle name="Dane wejściowe 2 26 21" xfId="10769"/>
    <cellStyle name="Dane wejściowe 2 26 21 2" xfId="10770"/>
    <cellStyle name="Dane wejściowe 2 26 21 3" xfId="10771"/>
    <cellStyle name="Dane wejściowe 2 26 22" xfId="10772"/>
    <cellStyle name="Dane wejściowe 2 26 22 2" xfId="10773"/>
    <cellStyle name="Dane wejściowe 2 26 22 3" xfId="10774"/>
    <cellStyle name="Dane wejściowe 2 26 23" xfId="10775"/>
    <cellStyle name="Dane wejściowe 2 26 23 2" xfId="10776"/>
    <cellStyle name="Dane wejściowe 2 26 23 3" xfId="10777"/>
    <cellStyle name="Dane wejściowe 2 26 24" xfId="10778"/>
    <cellStyle name="Dane wejściowe 2 26 24 2" xfId="10779"/>
    <cellStyle name="Dane wejściowe 2 26 24 3" xfId="10780"/>
    <cellStyle name="Dane wejściowe 2 26 25" xfId="10781"/>
    <cellStyle name="Dane wejściowe 2 26 25 2" xfId="10782"/>
    <cellStyle name="Dane wejściowe 2 26 25 3" xfId="10783"/>
    <cellStyle name="Dane wejściowe 2 26 26" xfId="10784"/>
    <cellStyle name="Dane wejściowe 2 26 26 2" xfId="10785"/>
    <cellStyle name="Dane wejściowe 2 26 26 3" xfId="10786"/>
    <cellStyle name="Dane wejściowe 2 26 27" xfId="10787"/>
    <cellStyle name="Dane wejściowe 2 26 27 2" xfId="10788"/>
    <cellStyle name="Dane wejściowe 2 26 27 3" xfId="10789"/>
    <cellStyle name="Dane wejściowe 2 26 28" xfId="10790"/>
    <cellStyle name="Dane wejściowe 2 26 28 2" xfId="10791"/>
    <cellStyle name="Dane wejściowe 2 26 28 3" xfId="10792"/>
    <cellStyle name="Dane wejściowe 2 26 29" xfId="10793"/>
    <cellStyle name="Dane wejściowe 2 26 29 2" xfId="10794"/>
    <cellStyle name="Dane wejściowe 2 26 29 3" xfId="10795"/>
    <cellStyle name="Dane wejściowe 2 26 3" xfId="10796"/>
    <cellStyle name="Dane wejściowe 2 26 3 2" xfId="10797"/>
    <cellStyle name="Dane wejściowe 2 26 3 3" xfId="10798"/>
    <cellStyle name="Dane wejściowe 2 26 3 4" xfId="10799"/>
    <cellStyle name="Dane wejściowe 2 26 30" xfId="10800"/>
    <cellStyle name="Dane wejściowe 2 26 30 2" xfId="10801"/>
    <cellStyle name="Dane wejściowe 2 26 30 3" xfId="10802"/>
    <cellStyle name="Dane wejściowe 2 26 31" xfId="10803"/>
    <cellStyle name="Dane wejściowe 2 26 31 2" xfId="10804"/>
    <cellStyle name="Dane wejściowe 2 26 31 3" xfId="10805"/>
    <cellStyle name="Dane wejściowe 2 26 32" xfId="10806"/>
    <cellStyle name="Dane wejściowe 2 26 32 2" xfId="10807"/>
    <cellStyle name="Dane wejściowe 2 26 32 3" xfId="10808"/>
    <cellStyle name="Dane wejściowe 2 26 33" xfId="10809"/>
    <cellStyle name="Dane wejściowe 2 26 33 2" xfId="10810"/>
    <cellStyle name="Dane wejściowe 2 26 33 3" xfId="10811"/>
    <cellStyle name="Dane wejściowe 2 26 34" xfId="10812"/>
    <cellStyle name="Dane wejściowe 2 26 34 2" xfId="10813"/>
    <cellStyle name="Dane wejściowe 2 26 34 3" xfId="10814"/>
    <cellStyle name="Dane wejściowe 2 26 35" xfId="10815"/>
    <cellStyle name="Dane wejściowe 2 26 35 2" xfId="10816"/>
    <cellStyle name="Dane wejściowe 2 26 35 3" xfId="10817"/>
    <cellStyle name="Dane wejściowe 2 26 36" xfId="10818"/>
    <cellStyle name="Dane wejściowe 2 26 36 2" xfId="10819"/>
    <cellStyle name="Dane wejściowe 2 26 36 3" xfId="10820"/>
    <cellStyle name="Dane wejściowe 2 26 37" xfId="10821"/>
    <cellStyle name="Dane wejściowe 2 26 37 2" xfId="10822"/>
    <cellStyle name="Dane wejściowe 2 26 37 3" xfId="10823"/>
    <cellStyle name="Dane wejściowe 2 26 38" xfId="10824"/>
    <cellStyle name="Dane wejściowe 2 26 38 2" xfId="10825"/>
    <cellStyle name="Dane wejściowe 2 26 38 3" xfId="10826"/>
    <cellStyle name="Dane wejściowe 2 26 39" xfId="10827"/>
    <cellStyle name="Dane wejściowe 2 26 39 2" xfId="10828"/>
    <cellStyle name="Dane wejściowe 2 26 39 3" xfId="10829"/>
    <cellStyle name="Dane wejściowe 2 26 4" xfId="10830"/>
    <cellStyle name="Dane wejściowe 2 26 4 2" xfId="10831"/>
    <cellStyle name="Dane wejściowe 2 26 4 3" xfId="10832"/>
    <cellStyle name="Dane wejściowe 2 26 4 4" xfId="10833"/>
    <cellStyle name="Dane wejściowe 2 26 40" xfId="10834"/>
    <cellStyle name="Dane wejściowe 2 26 40 2" xfId="10835"/>
    <cellStyle name="Dane wejściowe 2 26 40 3" xfId="10836"/>
    <cellStyle name="Dane wejściowe 2 26 41" xfId="10837"/>
    <cellStyle name="Dane wejściowe 2 26 41 2" xfId="10838"/>
    <cellStyle name="Dane wejściowe 2 26 41 3" xfId="10839"/>
    <cellStyle name="Dane wejściowe 2 26 42" xfId="10840"/>
    <cellStyle name="Dane wejściowe 2 26 42 2" xfId="10841"/>
    <cellStyle name="Dane wejściowe 2 26 42 3" xfId="10842"/>
    <cellStyle name="Dane wejściowe 2 26 43" xfId="10843"/>
    <cellStyle name="Dane wejściowe 2 26 43 2" xfId="10844"/>
    <cellStyle name="Dane wejściowe 2 26 43 3" xfId="10845"/>
    <cellStyle name="Dane wejściowe 2 26 44" xfId="10846"/>
    <cellStyle name="Dane wejściowe 2 26 44 2" xfId="10847"/>
    <cellStyle name="Dane wejściowe 2 26 44 3" xfId="10848"/>
    <cellStyle name="Dane wejściowe 2 26 45" xfId="10849"/>
    <cellStyle name="Dane wejściowe 2 26 45 2" xfId="10850"/>
    <cellStyle name="Dane wejściowe 2 26 45 3" xfId="10851"/>
    <cellStyle name="Dane wejściowe 2 26 46" xfId="10852"/>
    <cellStyle name="Dane wejściowe 2 26 46 2" xfId="10853"/>
    <cellStyle name="Dane wejściowe 2 26 46 3" xfId="10854"/>
    <cellStyle name="Dane wejściowe 2 26 47" xfId="10855"/>
    <cellStyle name="Dane wejściowe 2 26 47 2" xfId="10856"/>
    <cellStyle name="Dane wejściowe 2 26 47 3" xfId="10857"/>
    <cellStyle name="Dane wejściowe 2 26 48" xfId="10858"/>
    <cellStyle name="Dane wejściowe 2 26 48 2" xfId="10859"/>
    <cellStyle name="Dane wejściowe 2 26 48 3" xfId="10860"/>
    <cellStyle name="Dane wejściowe 2 26 49" xfId="10861"/>
    <cellStyle name="Dane wejściowe 2 26 49 2" xfId="10862"/>
    <cellStyle name="Dane wejściowe 2 26 49 3" xfId="10863"/>
    <cellStyle name="Dane wejściowe 2 26 5" xfId="10864"/>
    <cellStyle name="Dane wejściowe 2 26 5 2" xfId="10865"/>
    <cellStyle name="Dane wejściowe 2 26 5 3" xfId="10866"/>
    <cellStyle name="Dane wejściowe 2 26 5 4" xfId="10867"/>
    <cellStyle name="Dane wejściowe 2 26 50" xfId="10868"/>
    <cellStyle name="Dane wejściowe 2 26 50 2" xfId="10869"/>
    <cellStyle name="Dane wejściowe 2 26 50 3" xfId="10870"/>
    <cellStyle name="Dane wejściowe 2 26 51" xfId="10871"/>
    <cellStyle name="Dane wejściowe 2 26 51 2" xfId="10872"/>
    <cellStyle name="Dane wejściowe 2 26 51 3" xfId="10873"/>
    <cellStyle name="Dane wejściowe 2 26 52" xfId="10874"/>
    <cellStyle name="Dane wejściowe 2 26 52 2" xfId="10875"/>
    <cellStyle name="Dane wejściowe 2 26 52 3" xfId="10876"/>
    <cellStyle name="Dane wejściowe 2 26 53" xfId="10877"/>
    <cellStyle name="Dane wejściowe 2 26 53 2" xfId="10878"/>
    <cellStyle name="Dane wejściowe 2 26 53 3" xfId="10879"/>
    <cellStyle name="Dane wejściowe 2 26 54" xfId="10880"/>
    <cellStyle name="Dane wejściowe 2 26 54 2" xfId="10881"/>
    <cellStyle name="Dane wejściowe 2 26 54 3" xfId="10882"/>
    <cellStyle name="Dane wejściowe 2 26 55" xfId="10883"/>
    <cellStyle name="Dane wejściowe 2 26 55 2" xfId="10884"/>
    <cellStyle name="Dane wejściowe 2 26 55 3" xfId="10885"/>
    <cellStyle name="Dane wejściowe 2 26 56" xfId="10886"/>
    <cellStyle name="Dane wejściowe 2 26 56 2" xfId="10887"/>
    <cellStyle name="Dane wejściowe 2 26 56 3" xfId="10888"/>
    <cellStyle name="Dane wejściowe 2 26 57" xfId="10889"/>
    <cellStyle name="Dane wejściowe 2 26 58" xfId="10890"/>
    <cellStyle name="Dane wejściowe 2 26 6" xfId="10891"/>
    <cellStyle name="Dane wejściowe 2 26 6 2" xfId="10892"/>
    <cellStyle name="Dane wejściowe 2 26 6 3" xfId="10893"/>
    <cellStyle name="Dane wejściowe 2 26 6 4" xfId="10894"/>
    <cellStyle name="Dane wejściowe 2 26 7" xfId="10895"/>
    <cellStyle name="Dane wejściowe 2 26 7 2" xfId="10896"/>
    <cellStyle name="Dane wejściowe 2 26 7 3" xfId="10897"/>
    <cellStyle name="Dane wejściowe 2 26 7 4" xfId="10898"/>
    <cellStyle name="Dane wejściowe 2 26 8" xfId="10899"/>
    <cellStyle name="Dane wejściowe 2 26 8 2" xfId="10900"/>
    <cellStyle name="Dane wejściowe 2 26 8 3" xfId="10901"/>
    <cellStyle name="Dane wejściowe 2 26 8 4" xfId="10902"/>
    <cellStyle name="Dane wejściowe 2 26 9" xfId="10903"/>
    <cellStyle name="Dane wejściowe 2 26 9 2" xfId="10904"/>
    <cellStyle name="Dane wejściowe 2 26 9 3" xfId="10905"/>
    <cellStyle name="Dane wejściowe 2 26 9 4" xfId="10906"/>
    <cellStyle name="Dane wejściowe 2 27" xfId="10907"/>
    <cellStyle name="Dane wejściowe 2 27 10" xfId="10908"/>
    <cellStyle name="Dane wejściowe 2 27 10 2" xfId="10909"/>
    <cellStyle name="Dane wejściowe 2 27 10 3" xfId="10910"/>
    <cellStyle name="Dane wejściowe 2 27 10 4" xfId="10911"/>
    <cellStyle name="Dane wejściowe 2 27 11" xfId="10912"/>
    <cellStyle name="Dane wejściowe 2 27 11 2" xfId="10913"/>
    <cellStyle name="Dane wejściowe 2 27 11 3" xfId="10914"/>
    <cellStyle name="Dane wejściowe 2 27 11 4" xfId="10915"/>
    <cellStyle name="Dane wejściowe 2 27 12" xfId="10916"/>
    <cellStyle name="Dane wejściowe 2 27 12 2" xfId="10917"/>
    <cellStyle name="Dane wejściowe 2 27 12 3" xfId="10918"/>
    <cellStyle name="Dane wejściowe 2 27 12 4" xfId="10919"/>
    <cellStyle name="Dane wejściowe 2 27 13" xfId="10920"/>
    <cellStyle name="Dane wejściowe 2 27 13 2" xfId="10921"/>
    <cellStyle name="Dane wejściowe 2 27 13 3" xfId="10922"/>
    <cellStyle name="Dane wejściowe 2 27 13 4" xfId="10923"/>
    <cellStyle name="Dane wejściowe 2 27 14" xfId="10924"/>
    <cellStyle name="Dane wejściowe 2 27 14 2" xfId="10925"/>
    <cellStyle name="Dane wejściowe 2 27 14 3" xfId="10926"/>
    <cellStyle name="Dane wejściowe 2 27 14 4" xfId="10927"/>
    <cellStyle name="Dane wejściowe 2 27 15" xfId="10928"/>
    <cellStyle name="Dane wejściowe 2 27 15 2" xfId="10929"/>
    <cellStyle name="Dane wejściowe 2 27 15 3" xfId="10930"/>
    <cellStyle name="Dane wejściowe 2 27 15 4" xfId="10931"/>
    <cellStyle name="Dane wejściowe 2 27 16" xfId="10932"/>
    <cellStyle name="Dane wejściowe 2 27 16 2" xfId="10933"/>
    <cellStyle name="Dane wejściowe 2 27 16 3" xfId="10934"/>
    <cellStyle name="Dane wejściowe 2 27 16 4" xfId="10935"/>
    <cellStyle name="Dane wejściowe 2 27 17" xfId="10936"/>
    <cellStyle name="Dane wejściowe 2 27 17 2" xfId="10937"/>
    <cellStyle name="Dane wejściowe 2 27 17 3" xfId="10938"/>
    <cellStyle name="Dane wejściowe 2 27 17 4" xfId="10939"/>
    <cellStyle name="Dane wejściowe 2 27 18" xfId="10940"/>
    <cellStyle name="Dane wejściowe 2 27 18 2" xfId="10941"/>
    <cellStyle name="Dane wejściowe 2 27 18 3" xfId="10942"/>
    <cellStyle name="Dane wejściowe 2 27 18 4" xfId="10943"/>
    <cellStyle name="Dane wejściowe 2 27 19" xfId="10944"/>
    <cellStyle name="Dane wejściowe 2 27 19 2" xfId="10945"/>
    <cellStyle name="Dane wejściowe 2 27 19 3" xfId="10946"/>
    <cellStyle name="Dane wejściowe 2 27 19 4" xfId="10947"/>
    <cellStyle name="Dane wejściowe 2 27 2" xfId="10948"/>
    <cellStyle name="Dane wejściowe 2 27 2 2" xfId="10949"/>
    <cellStyle name="Dane wejściowe 2 27 2 3" xfId="10950"/>
    <cellStyle name="Dane wejściowe 2 27 2 4" xfId="10951"/>
    <cellStyle name="Dane wejściowe 2 27 20" xfId="10952"/>
    <cellStyle name="Dane wejściowe 2 27 20 2" xfId="10953"/>
    <cellStyle name="Dane wejściowe 2 27 20 3" xfId="10954"/>
    <cellStyle name="Dane wejściowe 2 27 20 4" xfId="10955"/>
    <cellStyle name="Dane wejściowe 2 27 21" xfId="10956"/>
    <cellStyle name="Dane wejściowe 2 27 21 2" xfId="10957"/>
    <cellStyle name="Dane wejściowe 2 27 21 3" xfId="10958"/>
    <cellStyle name="Dane wejściowe 2 27 22" xfId="10959"/>
    <cellStyle name="Dane wejściowe 2 27 22 2" xfId="10960"/>
    <cellStyle name="Dane wejściowe 2 27 22 3" xfId="10961"/>
    <cellStyle name="Dane wejściowe 2 27 23" xfId="10962"/>
    <cellStyle name="Dane wejściowe 2 27 23 2" xfId="10963"/>
    <cellStyle name="Dane wejściowe 2 27 23 3" xfId="10964"/>
    <cellStyle name="Dane wejściowe 2 27 24" xfId="10965"/>
    <cellStyle name="Dane wejściowe 2 27 24 2" xfId="10966"/>
    <cellStyle name="Dane wejściowe 2 27 24 3" xfId="10967"/>
    <cellStyle name="Dane wejściowe 2 27 25" xfId="10968"/>
    <cellStyle name="Dane wejściowe 2 27 25 2" xfId="10969"/>
    <cellStyle name="Dane wejściowe 2 27 25 3" xfId="10970"/>
    <cellStyle name="Dane wejściowe 2 27 26" xfId="10971"/>
    <cellStyle name="Dane wejściowe 2 27 26 2" xfId="10972"/>
    <cellStyle name="Dane wejściowe 2 27 26 3" xfId="10973"/>
    <cellStyle name="Dane wejściowe 2 27 27" xfId="10974"/>
    <cellStyle name="Dane wejściowe 2 27 27 2" xfId="10975"/>
    <cellStyle name="Dane wejściowe 2 27 27 3" xfId="10976"/>
    <cellStyle name="Dane wejściowe 2 27 28" xfId="10977"/>
    <cellStyle name="Dane wejściowe 2 27 28 2" xfId="10978"/>
    <cellStyle name="Dane wejściowe 2 27 28 3" xfId="10979"/>
    <cellStyle name="Dane wejściowe 2 27 29" xfId="10980"/>
    <cellStyle name="Dane wejściowe 2 27 29 2" xfId="10981"/>
    <cellStyle name="Dane wejściowe 2 27 29 3" xfId="10982"/>
    <cellStyle name="Dane wejściowe 2 27 3" xfId="10983"/>
    <cellStyle name="Dane wejściowe 2 27 3 2" xfId="10984"/>
    <cellStyle name="Dane wejściowe 2 27 3 3" xfId="10985"/>
    <cellStyle name="Dane wejściowe 2 27 3 4" xfId="10986"/>
    <cellStyle name="Dane wejściowe 2 27 30" xfId="10987"/>
    <cellStyle name="Dane wejściowe 2 27 30 2" xfId="10988"/>
    <cellStyle name="Dane wejściowe 2 27 30 3" xfId="10989"/>
    <cellStyle name="Dane wejściowe 2 27 31" xfId="10990"/>
    <cellStyle name="Dane wejściowe 2 27 31 2" xfId="10991"/>
    <cellStyle name="Dane wejściowe 2 27 31 3" xfId="10992"/>
    <cellStyle name="Dane wejściowe 2 27 32" xfId="10993"/>
    <cellStyle name="Dane wejściowe 2 27 32 2" xfId="10994"/>
    <cellStyle name="Dane wejściowe 2 27 32 3" xfId="10995"/>
    <cellStyle name="Dane wejściowe 2 27 33" xfId="10996"/>
    <cellStyle name="Dane wejściowe 2 27 33 2" xfId="10997"/>
    <cellStyle name="Dane wejściowe 2 27 33 3" xfId="10998"/>
    <cellStyle name="Dane wejściowe 2 27 34" xfId="10999"/>
    <cellStyle name="Dane wejściowe 2 27 34 2" xfId="11000"/>
    <cellStyle name="Dane wejściowe 2 27 34 3" xfId="11001"/>
    <cellStyle name="Dane wejściowe 2 27 35" xfId="11002"/>
    <cellStyle name="Dane wejściowe 2 27 35 2" xfId="11003"/>
    <cellStyle name="Dane wejściowe 2 27 35 3" xfId="11004"/>
    <cellStyle name="Dane wejściowe 2 27 36" xfId="11005"/>
    <cellStyle name="Dane wejściowe 2 27 36 2" xfId="11006"/>
    <cellStyle name="Dane wejściowe 2 27 36 3" xfId="11007"/>
    <cellStyle name="Dane wejściowe 2 27 37" xfId="11008"/>
    <cellStyle name="Dane wejściowe 2 27 37 2" xfId="11009"/>
    <cellStyle name="Dane wejściowe 2 27 37 3" xfId="11010"/>
    <cellStyle name="Dane wejściowe 2 27 38" xfId="11011"/>
    <cellStyle name="Dane wejściowe 2 27 38 2" xfId="11012"/>
    <cellStyle name="Dane wejściowe 2 27 38 3" xfId="11013"/>
    <cellStyle name="Dane wejściowe 2 27 39" xfId="11014"/>
    <cellStyle name="Dane wejściowe 2 27 39 2" xfId="11015"/>
    <cellStyle name="Dane wejściowe 2 27 39 3" xfId="11016"/>
    <cellStyle name="Dane wejściowe 2 27 4" xfId="11017"/>
    <cellStyle name="Dane wejściowe 2 27 4 2" xfId="11018"/>
    <cellStyle name="Dane wejściowe 2 27 4 3" xfId="11019"/>
    <cellStyle name="Dane wejściowe 2 27 4 4" xfId="11020"/>
    <cellStyle name="Dane wejściowe 2 27 40" xfId="11021"/>
    <cellStyle name="Dane wejściowe 2 27 40 2" xfId="11022"/>
    <cellStyle name="Dane wejściowe 2 27 40 3" xfId="11023"/>
    <cellStyle name="Dane wejściowe 2 27 41" xfId="11024"/>
    <cellStyle name="Dane wejściowe 2 27 41 2" xfId="11025"/>
    <cellStyle name="Dane wejściowe 2 27 41 3" xfId="11026"/>
    <cellStyle name="Dane wejściowe 2 27 42" xfId="11027"/>
    <cellStyle name="Dane wejściowe 2 27 42 2" xfId="11028"/>
    <cellStyle name="Dane wejściowe 2 27 42 3" xfId="11029"/>
    <cellStyle name="Dane wejściowe 2 27 43" xfId="11030"/>
    <cellStyle name="Dane wejściowe 2 27 43 2" xfId="11031"/>
    <cellStyle name="Dane wejściowe 2 27 43 3" xfId="11032"/>
    <cellStyle name="Dane wejściowe 2 27 44" xfId="11033"/>
    <cellStyle name="Dane wejściowe 2 27 44 2" xfId="11034"/>
    <cellStyle name="Dane wejściowe 2 27 44 3" xfId="11035"/>
    <cellStyle name="Dane wejściowe 2 27 45" xfId="11036"/>
    <cellStyle name="Dane wejściowe 2 27 45 2" xfId="11037"/>
    <cellStyle name="Dane wejściowe 2 27 45 3" xfId="11038"/>
    <cellStyle name="Dane wejściowe 2 27 46" xfId="11039"/>
    <cellStyle name="Dane wejściowe 2 27 46 2" xfId="11040"/>
    <cellStyle name="Dane wejściowe 2 27 46 3" xfId="11041"/>
    <cellStyle name="Dane wejściowe 2 27 47" xfId="11042"/>
    <cellStyle name="Dane wejściowe 2 27 47 2" xfId="11043"/>
    <cellStyle name="Dane wejściowe 2 27 47 3" xfId="11044"/>
    <cellStyle name="Dane wejściowe 2 27 48" xfId="11045"/>
    <cellStyle name="Dane wejściowe 2 27 48 2" xfId="11046"/>
    <cellStyle name="Dane wejściowe 2 27 48 3" xfId="11047"/>
    <cellStyle name="Dane wejściowe 2 27 49" xfId="11048"/>
    <cellStyle name="Dane wejściowe 2 27 49 2" xfId="11049"/>
    <cellStyle name="Dane wejściowe 2 27 49 3" xfId="11050"/>
    <cellStyle name="Dane wejściowe 2 27 5" xfId="11051"/>
    <cellStyle name="Dane wejściowe 2 27 5 2" xfId="11052"/>
    <cellStyle name="Dane wejściowe 2 27 5 3" xfId="11053"/>
    <cellStyle name="Dane wejściowe 2 27 5 4" xfId="11054"/>
    <cellStyle name="Dane wejściowe 2 27 50" xfId="11055"/>
    <cellStyle name="Dane wejściowe 2 27 50 2" xfId="11056"/>
    <cellStyle name="Dane wejściowe 2 27 50 3" xfId="11057"/>
    <cellStyle name="Dane wejściowe 2 27 51" xfId="11058"/>
    <cellStyle name="Dane wejściowe 2 27 51 2" xfId="11059"/>
    <cellStyle name="Dane wejściowe 2 27 51 3" xfId="11060"/>
    <cellStyle name="Dane wejściowe 2 27 52" xfId="11061"/>
    <cellStyle name="Dane wejściowe 2 27 52 2" xfId="11062"/>
    <cellStyle name="Dane wejściowe 2 27 52 3" xfId="11063"/>
    <cellStyle name="Dane wejściowe 2 27 53" xfId="11064"/>
    <cellStyle name="Dane wejściowe 2 27 53 2" xfId="11065"/>
    <cellStyle name="Dane wejściowe 2 27 53 3" xfId="11066"/>
    <cellStyle name="Dane wejściowe 2 27 54" xfId="11067"/>
    <cellStyle name="Dane wejściowe 2 27 54 2" xfId="11068"/>
    <cellStyle name="Dane wejściowe 2 27 54 3" xfId="11069"/>
    <cellStyle name="Dane wejściowe 2 27 55" xfId="11070"/>
    <cellStyle name="Dane wejściowe 2 27 55 2" xfId="11071"/>
    <cellStyle name="Dane wejściowe 2 27 55 3" xfId="11072"/>
    <cellStyle name="Dane wejściowe 2 27 56" xfId="11073"/>
    <cellStyle name="Dane wejściowe 2 27 56 2" xfId="11074"/>
    <cellStyle name="Dane wejściowe 2 27 56 3" xfId="11075"/>
    <cellStyle name="Dane wejściowe 2 27 57" xfId="11076"/>
    <cellStyle name="Dane wejściowe 2 27 58" xfId="11077"/>
    <cellStyle name="Dane wejściowe 2 27 6" xfId="11078"/>
    <cellStyle name="Dane wejściowe 2 27 6 2" xfId="11079"/>
    <cellStyle name="Dane wejściowe 2 27 6 3" xfId="11080"/>
    <cellStyle name="Dane wejściowe 2 27 6 4" xfId="11081"/>
    <cellStyle name="Dane wejściowe 2 27 7" xfId="11082"/>
    <cellStyle name="Dane wejściowe 2 27 7 2" xfId="11083"/>
    <cellStyle name="Dane wejściowe 2 27 7 3" xfId="11084"/>
    <cellStyle name="Dane wejściowe 2 27 7 4" xfId="11085"/>
    <cellStyle name="Dane wejściowe 2 27 8" xfId="11086"/>
    <cellStyle name="Dane wejściowe 2 27 8 2" xfId="11087"/>
    <cellStyle name="Dane wejściowe 2 27 8 3" xfId="11088"/>
    <cellStyle name="Dane wejściowe 2 27 8 4" xfId="11089"/>
    <cellStyle name="Dane wejściowe 2 27 9" xfId="11090"/>
    <cellStyle name="Dane wejściowe 2 27 9 2" xfId="11091"/>
    <cellStyle name="Dane wejściowe 2 27 9 3" xfId="11092"/>
    <cellStyle name="Dane wejściowe 2 27 9 4" xfId="11093"/>
    <cellStyle name="Dane wejściowe 2 28" xfId="11094"/>
    <cellStyle name="Dane wejściowe 2 28 10" xfId="11095"/>
    <cellStyle name="Dane wejściowe 2 28 10 2" xfId="11096"/>
    <cellStyle name="Dane wejściowe 2 28 10 3" xfId="11097"/>
    <cellStyle name="Dane wejściowe 2 28 10 4" xfId="11098"/>
    <cellStyle name="Dane wejściowe 2 28 11" xfId="11099"/>
    <cellStyle name="Dane wejściowe 2 28 11 2" xfId="11100"/>
    <cellStyle name="Dane wejściowe 2 28 11 3" xfId="11101"/>
    <cellStyle name="Dane wejściowe 2 28 11 4" xfId="11102"/>
    <cellStyle name="Dane wejściowe 2 28 12" xfId="11103"/>
    <cellStyle name="Dane wejściowe 2 28 12 2" xfId="11104"/>
    <cellStyle name="Dane wejściowe 2 28 12 3" xfId="11105"/>
    <cellStyle name="Dane wejściowe 2 28 12 4" xfId="11106"/>
    <cellStyle name="Dane wejściowe 2 28 13" xfId="11107"/>
    <cellStyle name="Dane wejściowe 2 28 13 2" xfId="11108"/>
    <cellStyle name="Dane wejściowe 2 28 13 3" xfId="11109"/>
    <cellStyle name="Dane wejściowe 2 28 13 4" xfId="11110"/>
    <cellStyle name="Dane wejściowe 2 28 14" xfId="11111"/>
    <cellStyle name="Dane wejściowe 2 28 14 2" xfId="11112"/>
    <cellStyle name="Dane wejściowe 2 28 14 3" xfId="11113"/>
    <cellStyle name="Dane wejściowe 2 28 14 4" xfId="11114"/>
    <cellStyle name="Dane wejściowe 2 28 15" xfId="11115"/>
    <cellStyle name="Dane wejściowe 2 28 15 2" xfId="11116"/>
    <cellStyle name="Dane wejściowe 2 28 15 3" xfId="11117"/>
    <cellStyle name="Dane wejściowe 2 28 15 4" xfId="11118"/>
    <cellStyle name="Dane wejściowe 2 28 16" xfId="11119"/>
    <cellStyle name="Dane wejściowe 2 28 16 2" xfId="11120"/>
    <cellStyle name="Dane wejściowe 2 28 16 3" xfId="11121"/>
    <cellStyle name="Dane wejściowe 2 28 16 4" xfId="11122"/>
    <cellStyle name="Dane wejściowe 2 28 17" xfId="11123"/>
    <cellStyle name="Dane wejściowe 2 28 17 2" xfId="11124"/>
    <cellStyle name="Dane wejściowe 2 28 17 3" xfId="11125"/>
    <cellStyle name="Dane wejściowe 2 28 17 4" xfId="11126"/>
    <cellStyle name="Dane wejściowe 2 28 18" xfId="11127"/>
    <cellStyle name="Dane wejściowe 2 28 18 2" xfId="11128"/>
    <cellStyle name="Dane wejściowe 2 28 18 3" xfId="11129"/>
    <cellStyle name="Dane wejściowe 2 28 18 4" xfId="11130"/>
    <cellStyle name="Dane wejściowe 2 28 19" xfId="11131"/>
    <cellStyle name="Dane wejściowe 2 28 19 2" xfId="11132"/>
    <cellStyle name="Dane wejściowe 2 28 19 3" xfId="11133"/>
    <cellStyle name="Dane wejściowe 2 28 19 4" xfId="11134"/>
    <cellStyle name="Dane wejściowe 2 28 2" xfId="11135"/>
    <cellStyle name="Dane wejściowe 2 28 2 2" xfId="11136"/>
    <cellStyle name="Dane wejściowe 2 28 2 3" xfId="11137"/>
    <cellStyle name="Dane wejściowe 2 28 2 4" xfId="11138"/>
    <cellStyle name="Dane wejściowe 2 28 20" xfId="11139"/>
    <cellStyle name="Dane wejściowe 2 28 20 2" xfId="11140"/>
    <cellStyle name="Dane wejściowe 2 28 20 3" xfId="11141"/>
    <cellStyle name="Dane wejściowe 2 28 20 4" xfId="11142"/>
    <cellStyle name="Dane wejściowe 2 28 21" xfId="11143"/>
    <cellStyle name="Dane wejściowe 2 28 21 2" xfId="11144"/>
    <cellStyle name="Dane wejściowe 2 28 21 3" xfId="11145"/>
    <cellStyle name="Dane wejściowe 2 28 22" xfId="11146"/>
    <cellStyle name="Dane wejściowe 2 28 22 2" xfId="11147"/>
    <cellStyle name="Dane wejściowe 2 28 22 3" xfId="11148"/>
    <cellStyle name="Dane wejściowe 2 28 23" xfId="11149"/>
    <cellStyle name="Dane wejściowe 2 28 23 2" xfId="11150"/>
    <cellStyle name="Dane wejściowe 2 28 23 3" xfId="11151"/>
    <cellStyle name="Dane wejściowe 2 28 24" xfId="11152"/>
    <cellStyle name="Dane wejściowe 2 28 24 2" xfId="11153"/>
    <cellStyle name="Dane wejściowe 2 28 24 3" xfId="11154"/>
    <cellStyle name="Dane wejściowe 2 28 25" xfId="11155"/>
    <cellStyle name="Dane wejściowe 2 28 25 2" xfId="11156"/>
    <cellStyle name="Dane wejściowe 2 28 25 3" xfId="11157"/>
    <cellStyle name="Dane wejściowe 2 28 26" xfId="11158"/>
    <cellStyle name="Dane wejściowe 2 28 26 2" xfId="11159"/>
    <cellStyle name="Dane wejściowe 2 28 26 3" xfId="11160"/>
    <cellStyle name="Dane wejściowe 2 28 27" xfId="11161"/>
    <cellStyle name="Dane wejściowe 2 28 27 2" xfId="11162"/>
    <cellStyle name="Dane wejściowe 2 28 27 3" xfId="11163"/>
    <cellStyle name="Dane wejściowe 2 28 28" xfId="11164"/>
    <cellStyle name="Dane wejściowe 2 28 28 2" xfId="11165"/>
    <cellStyle name="Dane wejściowe 2 28 28 3" xfId="11166"/>
    <cellStyle name="Dane wejściowe 2 28 29" xfId="11167"/>
    <cellStyle name="Dane wejściowe 2 28 29 2" xfId="11168"/>
    <cellStyle name="Dane wejściowe 2 28 29 3" xfId="11169"/>
    <cellStyle name="Dane wejściowe 2 28 3" xfId="11170"/>
    <cellStyle name="Dane wejściowe 2 28 3 2" xfId="11171"/>
    <cellStyle name="Dane wejściowe 2 28 3 3" xfId="11172"/>
    <cellStyle name="Dane wejściowe 2 28 3 4" xfId="11173"/>
    <cellStyle name="Dane wejściowe 2 28 30" xfId="11174"/>
    <cellStyle name="Dane wejściowe 2 28 30 2" xfId="11175"/>
    <cellStyle name="Dane wejściowe 2 28 30 3" xfId="11176"/>
    <cellStyle name="Dane wejściowe 2 28 31" xfId="11177"/>
    <cellStyle name="Dane wejściowe 2 28 31 2" xfId="11178"/>
    <cellStyle name="Dane wejściowe 2 28 31 3" xfId="11179"/>
    <cellStyle name="Dane wejściowe 2 28 32" xfId="11180"/>
    <cellStyle name="Dane wejściowe 2 28 32 2" xfId="11181"/>
    <cellStyle name="Dane wejściowe 2 28 32 3" xfId="11182"/>
    <cellStyle name="Dane wejściowe 2 28 33" xfId="11183"/>
    <cellStyle name="Dane wejściowe 2 28 33 2" xfId="11184"/>
    <cellStyle name="Dane wejściowe 2 28 33 3" xfId="11185"/>
    <cellStyle name="Dane wejściowe 2 28 34" xfId="11186"/>
    <cellStyle name="Dane wejściowe 2 28 34 2" xfId="11187"/>
    <cellStyle name="Dane wejściowe 2 28 34 3" xfId="11188"/>
    <cellStyle name="Dane wejściowe 2 28 35" xfId="11189"/>
    <cellStyle name="Dane wejściowe 2 28 35 2" xfId="11190"/>
    <cellStyle name="Dane wejściowe 2 28 35 3" xfId="11191"/>
    <cellStyle name="Dane wejściowe 2 28 36" xfId="11192"/>
    <cellStyle name="Dane wejściowe 2 28 36 2" xfId="11193"/>
    <cellStyle name="Dane wejściowe 2 28 36 3" xfId="11194"/>
    <cellStyle name="Dane wejściowe 2 28 37" xfId="11195"/>
    <cellStyle name="Dane wejściowe 2 28 37 2" xfId="11196"/>
    <cellStyle name="Dane wejściowe 2 28 37 3" xfId="11197"/>
    <cellStyle name="Dane wejściowe 2 28 38" xfId="11198"/>
    <cellStyle name="Dane wejściowe 2 28 38 2" xfId="11199"/>
    <cellStyle name="Dane wejściowe 2 28 38 3" xfId="11200"/>
    <cellStyle name="Dane wejściowe 2 28 39" xfId="11201"/>
    <cellStyle name="Dane wejściowe 2 28 39 2" xfId="11202"/>
    <cellStyle name="Dane wejściowe 2 28 39 3" xfId="11203"/>
    <cellStyle name="Dane wejściowe 2 28 4" xfId="11204"/>
    <cellStyle name="Dane wejściowe 2 28 4 2" xfId="11205"/>
    <cellStyle name="Dane wejściowe 2 28 4 3" xfId="11206"/>
    <cellStyle name="Dane wejściowe 2 28 4 4" xfId="11207"/>
    <cellStyle name="Dane wejściowe 2 28 40" xfId="11208"/>
    <cellStyle name="Dane wejściowe 2 28 40 2" xfId="11209"/>
    <cellStyle name="Dane wejściowe 2 28 40 3" xfId="11210"/>
    <cellStyle name="Dane wejściowe 2 28 41" xfId="11211"/>
    <cellStyle name="Dane wejściowe 2 28 41 2" xfId="11212"/>
    <cellStyle name="Dane wejściowe 2 28 41 3" xfId="11213"/>
    <cellStyle name="Dane wejściowe 2 28 42" xfId="11214"/>
    <cellStyle name="Dane wejściowe 2 28 42 2" xfId="11215"/>
    <cellStyle name="Dane wejściowe 2 28 42 3" xfId="11216"/>
    <cellStyle name="Dane wejściowe 2 28 43" xfId="11217"/>
    <cellStyle name="Dane wejściowe 2 28 43 2" xfId="11218"/>
    <cellStyle name="Dane wejściowe 2 28 43 3" xfId="11219"/>
    <cellStyle name="Dane wejściowe 2 28 44" xfId="11220"/>
    <cellStyle name="Dane wejściowe 2 28 44 2" xfId="11221"/>
    <cellStyle name="Dane wejściowe 2 28 44 3" xfId="11222"/>
    <cellStyle name="Dane wejściowe 2 28 45" xfId="11223"/>
    <cellStyle name="Dane wejściowe 2 28 45 2" xfId="11224"/>
    <cellStyle name="Dane wejściowe 2 28 45 3" xfId="11225"/>
    <cellStyle name="Dane wejściowe 2 28 46" xfId="11226"/>
    <cellStyle name="Dane wejściowe 2 28 46 2" xfId="11227"/>
    <cellStyle name="Dane wejściowe 2 28 46 3" xfId="11228"/>
    <cellStyle name="Dane wejściowe 2 28 47" xfId="11229"/>
    <cellStyle name="Dane wejściowe 2 28 47 2" xfId="11230"/>
    <cellStyle name="Dane wejściowe 2 28 47 3" xfId="11231"/>
    <cellStyle name="Dane wejściowe 2 28 48" xfId="11232"/>
    <cellStyle name="Dane wejściowe 2 28 48 2" xfId="11233"/>
    <cellStyle name="Dane wejściowe 2 28 48 3" xfId="11234"/>
    <cellStyle name="Dane wejściowe 2 28 49" xfId="11235"/>
    <cellStyle name="Dane wejściowe 2 28 49 2" xfId="11236"/>
    <cellStyle name="Dane wejściowe 2 28 49 3" xfId="11237"/>
    <cellStyle name="Dane wejściowe 2 28 5" xfId="11238"/>
    <cellStyle name="Dane wejściowe 2 28 5 2" xfId="11239"/>
    <cellStyle name="Dane wejściowe 2 28 5 3" xfId="11240"/>
    <cellStyle name="Dane wejściowe 2 28 5 4" xfId="11241"/>
    <cellStyle name="Dane wejściowe 2 28 50" xfId="11242"/>
    <cellStyle name="Dane wejściowe 2 28 50 2" xfId="11243"/>
    <cellStyle name="Dane wejściowe 2 28 50 3" xfId="11244"/>
    <cellStyle name="Dane wejściowe 2 28 51" xfId="11245"/>
    <cellStyle name="Dane wejściowe 2 28 51 2" xfId="11246"/>
    <cellStyle name="Dane wejściowe 2 28 51 3" xfId="11247"/>
    <cellStyle name="Dane wejściowe 2 28 52" xfId="11248"/>
    <cellStyle name="Dane wejściowe 2 28 52 2" xfId="11249"/>
    <cellStyle name="Dane wejściowe 2 28 52 3" xfId="11250"/>
    <cellStyle name="Dane wejściowe 2 28 53" xfId="11251"/>
    <cellStyle name="Dane wejściowe 2 28 53 2" xfId="11252"/>
    <cellStyle name="Dane wejściowe 2 28 53 3" xfId="11253"/>
    <cellStyle name="Dane wejściowe 2 28 54" xfId="11254"/>
    <cellStyle name="Dane wejściowe 2 28 54 2" xfId="11255"/>
    <cellStyle name="Dane wejściowe 2 28 54 3" xfId="11256"/>
    <cellStyle name="Dane wejściowe 2 28 55" xfId="11257"/>
    <cellStyle name="Dane wejściowe 2 28 55 2" xfId="11258"/>
    <cellStyle name="Dane wejściowe 2 28 55 3" xfId="11259"/>
    <cellStyle name="Dane wejściowe 2 28 56" xfId="11260"/>
    <cellStyle name="Dane wejściowe 2 28 56 2" xfId="11261"/>
    <cellStyle name="Dane wejściowe 2 28 56 3" xfId="11262"/>
    <cellStyle name="Dane wejściowe 2 28 57" xfId="11263"/>
    <cellStyle name="Dane wejściowe 2 28 58" xfId="11264"/>
    <cellStyle name="Dane wejściowe 2 28 6" xfId="11265"/>
    <cellStyle name="Dane wejściowe 2 28 6 2" xfId="11266"/>
    <cellStyle name="Dane wejściowe 2 28 6 3" xfId="11267"/>
    <cellStyle name="Dane wejściowe 2 28 6 4" xfId="11268"/>
    <cellStyle name="Dane wejściowe 2 28 7" xfId="11269"/>
    <cellStyle name="Dane wejściowe 2 28 7 2" xfId="11270"/>
    <cellStyle name="Dane wejściowe 2 28 7 3" xfId="11271"/>
    <cellStyle name="Dane wejściowe 2 28 7 4" xfId="11272"/>
    <cellStyle name="Dane wejściowe 2 28 8" xfId="11273"/>
    <cellStyle name="Dane wejściowe 2 28 8 2" xfId="11274"/>
    <cellStyle name="Dane wejściowe 2 28 8 3" xfId="11275"/>
    <cellStyle name="Dane wejściowe 2 28 8 4" xfId="11276"/>
    <cellStyle name="Dane wejściowe 2 28 9" xfId="11277"/>
    <cellStyle name="Dane wejściowe 2 28 9 2" xfId="11278"/>
    <cellStyle name="Dane wejściowe 2 28 9 3" xfId="11279"/>
    <cellStyle name="Dane wejściowe 2 28 9 4" xfId="11280"/>
    <cellStyle name="Dane wejściowe 2 29" xfId="11281"/>
    <cellStyle name="Dane wejściowe 2 29 2" xfId="11282"/>
    <cellStyle name="Dane wejściowe 2 29 3" xfId="11283"/>
    <cellStyle name="Dane wejściowe 2 29 4" xfId="11284"/>
    <cellStyle name="Dane wejściowe 2 3" xfId="11285"/>
    <cellStyle name="Dane wejściowe 2 3 10" xfId="11286"/>
    <cellStyle name="Dane wejściowe 2 3 10 2" xfId="11287"/>
    <cellStyle name="Dane wejściowe 2 3 10 3" xfId="11288"/>
    <cellStyle name="Dane wejściowe 2 3 10 4" xfId="11289"/>
    <cellStyle name="Dane wejściowe 2 3 11" xfId="11290"/>
    <cellStyle name="Dane wejściowe 2 3 11 2" xfId="11291"/>
    <cellStyle name="Dane wejściowe 2 3 11 3" xfId="11292"/>
    <cellStyle name="Dane wejściowe 2 3 11 4" xfId="11293"/>
    <cellStyle name="Dane wejściowe 2 3 12" xfId="11294"/>
    <cellStyle name="Dane wejściowe 2 3 12 2" xfId="11295"/>
    <cellStyle name="Dane wejściowe 2 3 12 3" xfId="11296"/>
    <cellStyle name="Dane wejściowe 2 3 12 4" xfId="11297"/>
    <cellStyle name="Dane wejściowe 2 3 13" xfId="11298"/>
    <cellStyle name="Dane wejściowe 2 3 13 2" xfId="11299"/>
    <cellStyle name="Dane wejściowe 2 3 13 3" xfId="11300"/>
    <cellStyle name="Dane wejściowe 2 3 13 4" xfId="11301"/>
    <cellStyle name="Dane wejściowe 2 3 14" xfId="11302"/>
    <cellStyle name="Dane wejściowe 2 3 14 2" xfId="11303"/>
    <cellStyle name="Dane wejściowe 2 3 14 3" xfId="11304"/>
    <cellStyle name="Dane wejściowe 2 3 14 4" xfId="11305"/>
    <cellStyle name="Dane wejściowe 2 3 15" xfId="11306"/>
    <cellStyle name="Dane wejściowe 2 3 15 2" xfId="11307"/>
    <cellStyle name="Dane wejściowe 2 3 15 3" xfId="11308"/>
    <cellStyle name="Dane wejściowe 2 3 15 4" xfId="11309"/>
    <cellStyle name="Dane wejściowe 2 3 16" xfId="11310"/>
    <cellStyle name="Dane wejściowe 2 3 16 2" xfId="11311"/>
    <cellStyle name="Dane wejściowe 2 3 16 3" xfId="11312"/>
    <cellStyle name="Dane wejściowe 2 3 16 4" xfId="11313"/>
    <cellStyle name="Dane wejściowe 2 3 17" xfId="11314"/>
    <cellStyle name="Dane wejściowe 2 3 17 2" xfId="11315"/>
    <cellStyle name="Dane wejściowe 2 3 17 3" xfId="11316"/>
    <cellStyle name="Dane wejściowe 2 3 17 4" xfId="11317"/>
    <cellStyle name="Dane wejściowe 2 3 18" xfId="11318"/>
    <cellStyle name="Dane wejściowe 2 3 18 2" xfId="11319"/>
    <cellStyle name="Dane wejściowe 2 3 18 3" xfId="11320"/>
    <cellStyle name="Dane wejściowe 2 3 18 4" xfId="11321"/>
    <cellStyle name="Dane wejściowe 2 3 19" xfId="11322"/>
    <cellStyle name="Dane wejściowe 2 3 19 2" xfId="11323"/>
    <cellStyle name="Dane wejściowe 2 3 19 3" xfId="11324"/>
    <cellStyle name="Dane wejściowe 2 3 19 4" xfId="11325"/>
    <cellStyle name="Dane wejściowe 2 3 2" xfId="11326"/>
    <cellStyle name="Dane wejściowe 2 3 2 2" xfId="11327"/>
    <cellStyle name="Dane wejściowe 2 3 2 3" xfId="11328"/>
    <cellStyle name="Dane wejściowe 2 3 2 4" xfId="11329"/>
    <cellStyle name="Dane wejściowe 2 3 20" xfId="11330"/>
    <cellStyle name="Dane wejściowe 2 3 20 2" xfId="11331"/>
    <cellStyle name="Dane wejściowe 2 3 20 3" xfId="11332"/>
    <cellStyle name="Dane wejściowe 2 3 20 4" xfId="11333"/>
    <cellStyle name="Dane wejściowe 2 3 21" xfId="11334"/>
    <cellStyle name="Dane wejściowe 2 3 21 2" xfId="11335"/>
    <cellStyle name="Dane wejściowe 2 3 21 3" xfId="11336"/>
    <cellStyle name="Dane wejściowe 2 3 22" xfId="11337"/>
    <cellStyle name="Dane wejściowe 2 3 22 2" xfId="11338"/>
    <cellStyle name="Dane wejściowe 2 3 22 3" xfId="11339"/>
    <cellStyle name="Dane wejściowe 2 3 23" xfId="11340"/>
    <cellStyle name="Dane wejściowe 2 3 23 2" xfId="11341"/>
    <cellStyle name="Dane wejściowe 2 3 23 3" xfId="11342"/>
    <cellStyle name="Dane wejściowe 2 3 24" xfId="11343"/>
    <cellStyle name="Dane wejściowe 2 3 24 2" xfId="11344"/>
    <cellStyle name="Dane wejściowe 2 3 24 3" xfId="11345"/>
    <cellStyle name="Dane wejściowe 2 3 25" xfId="11346"/>
    <cellStyle name="Dane wejściowe 2 3 25 2" xfId="11347"/>
    <cellStyle name="Dane wejściowe 2 3 25 3" xfId="11348"/>
    <cellStyle name="Dane wejściowe 2 3 26" xfId="11349"/>
    <cellStyle name="Dane wejściowe 2 3 26 2" xfId="11350"/>
    <cellStyle name="Dane wejściowe 2 3 26 3" xfId="11351"/>
    <cellStyle name="Dane wejściowe 2 3 27" xfId="11352"/>
    <cellStyle name="Dane wejściowe 2 3 27 2" xfId="11353"/>
    <cellStyle name="Dane wejściowe 2 3 27 3" xfId="11354"/>
    <cellStyle name="Dane wejściowe 2 3 28" xfId="11355"/>
    <cellStyle name="Dane wejściowe 2 3 28 2" xfId="11356"/>
    <cellStyle name="Dane wejściowe 2 3 28 3" xfId="11357"/>
    <cellStyle name="Dane wejściowe 2 3 29" xfId="11358"/>
    <cellStyle name="Dane wejściowe 2 3 29 2" xfId="11359"/>
    <cellStyle name="Dane wejściowe 2 3 29 3" xfId="11360"/>
    <cellStyle name="Dane wejściowe 2 3 3" xfId="11361"/>
    <cellStyle name="Dane wejściowe 2 3 3 2" xfId="11362"/>
    <cellStyle name="Dane wejściowe 2 3 3 3" xfId="11363"/>
    <cellStyle name="Dane wejściowe 2 3 3 4" xfId="11364"/>
    <cellStyle name="Dane wejściowe 2 3 30" xfId="11365"/>
    <cellStyle name="Dane wejściowe 2 3 30 2" xfId="11366"/>
    <cellStyle name="Dane wejściowe 2 3 30 3" xfId="11367"/>
    <cellStyle name="Dane wejściowe 2 3 31" xfId="11368"/>
    <cellStyle name="Dane wejściowe 2 3 31 2" xfId="11369"/>
    <cellStyle name="Dane wejściowe 2 3 31 3" xfId="11370"/>
    <cellStyle name="Dane wejściowe 2 3 32" xfId="11371"/>
    <cellStyle name="Dane wejściowe 2 3 32 2" xfId="11372"/>
    <cellStyle name="Dane wejściowe 2 3 32 3" xfId="11373"/>
    <cellStyle name="Dane wejściowe 2 3 33" xfId="11374"/>
    <cellStyle name="Dane wejściowe 2 3 33 2" xfId="11375"/>
    <cellStyle name="Dane wejściowe 2 3 33 3" xfId="11376"/>
    <cellStyle name="Dane wejściowe 2 3 34" xfId="11377"/>
    <cellStyle name="Dane wejściowe 2 3 34 2" xfId="11378"/>
    <cellStyle name="Dane wejściowe 2 3 34 3" xfId="11379"/>
    <cellStyle name="Dane wejściowe 2 3 35" xfId="11380"/>
    <cellStyle name="Dane wejściowe 2 3 35 2" xfId="11381"/>
    <cellStyle name="Dane wejściowe 2 3 35 3" xfId="11382"/>
    <cellStyle name="Dane wejściowe 2 3 36" xfId="11383"/>
    <cellStyle name="Dane wejściowe 2 3 36 2" xfId="11384"/>
    <cellStyle name="Dane wejściowe 2 3 36 3" xfId="11385"/>
    <cellStyle name="Dane wejściowe 2 3 37" xfId="11386"/>
    <cellStyle name="Dane wejściowe 2 3 37 2" xfId="11387"/>
    <cellStyle name="Dane wejściowe 2 3 37 3" xfId="11388"/>
    <cellStyle name="Dane wejściowe 2 3 38" xfId="11389"/>
    <cellStyle name="Dane wejściowe 2 3 38 2" xfId="11390"/>
    <cellStyle name="Dane wejściowe 2 3 38 3" xfId="11391"/>
    <cellStyle name="Dane wejściowe 2 3 39" xfId="11392"/>
    <cellStyle name="Dane wejściowe 2 3 39 2" xfId="11393"/>
    <cellStyle name="Dane wejściowe 2 3 39 3" xfId="11394"/>
    <cellStyle name="Dane wejściowe 2 3 4" xfId="11395"/>
    <cellStyle name="Dane wejściowe 2 3 4 2" xfId="11396"/>
    <cellStyle name="Dane wejściowe 2 3 4 3" xfId="11397"/>
    <cellStyle name="Dane wejściowe 2 3 4 4" xfId="11398"/>
    <cellStyle name="Dane wejściowe 2 3 40" xfId="11399"/>
    <cellStyle name="Dane wejściowe 2 3 40 2" xfId="11400"/>
    <cellStyle name="Dane wejściowe 2 3 40 3" xfId="11401"/>
    <cellStyle name="Dane wejściowe 2 3 41" xfId="11402"/>
    <cellStyle name="Dane wejściowe 2 3 41 2" xfId="11403"/>
    <cellStyle name="Dane wejściowe 2 3 41 3" xfId="11404"/>
    <cellStyle name="Dane wejściowe 2 3 42" xfId="11405"/>
    <cellStyle name="Dane wejściowe 2 3 42 2" xfId="11406"/>
    <cellStyle name="Dane wejściowe 2 3 42 3" xfId="11407"/>
    <cellStyle name="Dane wejściowe 2 3 43" xfId="11408"/>
    <cellStyle name="Dane wejściowe 2 3 43 2" xfId="11409"/>
    <cellStyle name="Dane wejściowe 2 3 43 3" xfId="11410"/>
    <cellStyle name="Dane wejściowe 2 3 44" xfId="11411"/>
    <cellStyle name="Dane wejściowe 2 3 44 2" xfId="11412"/>
    <cellStyle name="Dane wejściowe 2 3 44 3" xfId="11413"/>
    <cellStyle name="Dane wejściowe 2 3 45" xfId="11414"/>
    <cellStyle name="Dane wejściowe 2 3 45 2" xfId="11415"/>
    <cellStyle name="Dane wejściowe 2 3 45 3" xfId="11416"/>
    <cellStyle name="Dane wejściowe 2 3 46" xfId="11417"/>
    <cellStyle name="Dane wejściowe 2 3 46 2" xfId="11418"/>
    <cellStyle name="Dane wejściowe 2 3 46 3" xfId="11419"/>
    <cellStyle name="Dane wejściowe 2 3 47" xfId="11420"/>
    <cellStyle name="Dane wejściowe 2 3 47 2" xfId="11421"/>
    <cellStyle name="Dane wejściowe 2 3 47 3" xfId="11422"/>
    <cellStyle name="Dane wejściowe 2 3 48" xfId="11423"/>
    <cellStyle name="Dane wejściowe 2 3 48 2" xfId="11424"/>
    <cellStyle name="Dane wejściowe 2 3 48 3" xfId="11425"/>
    <cellStyle name="Dane wejściowe 2 3 49" xfId="11426"/>
    <cellStyle name="Dane wejściowe 2 3 49 2" xfId="11427"/>
    <cellStyle name="Dane wejściowe 2 3 49 3" xfId="11428"/>
    <cellStyle name="Dane wejściowe 2 3 5" xfId="11429"/>
    <cellStyle name="Dane wejściowe 2 3 5 2" xfId="11430"/>
    <cellStyle name="Dane wejściowe 2 3 5 3" xfId="11431"/>
    <cellStyle name="Dane wejściowe 2 3 5 4" xfId="11432"/>
    <cellStyle name="Dane wejściowe 2 3 50" xfId="11433"/>
    <cellStyle name="Dane wejściowe 2 3 50 2" xfId="11434"/>
    <cellStyle name="Dane wejściowe 2 3 50 3" xfId="11435"/>
    <cellStyle name="Dane wejściowe 2 3 51" xfId="11436"/>
    <cellStyle name="Dane wejściowe 2 3 51 2" xfId="11437"/>
    <cellStyle name="Dane wejściowe 2 3 51 3" xfId="11438"/>
    <cellStyle name="Dane wejściowe 2 3 52" xfId="11439"/>
    <cellStyle name="Dane wejściowe 2 3 52 2" xfId="11440"/>
    <cellStyle name="Dane wejściowe 2 3 52 3" xfId="11441"/>
    <cellStyle name="Dane wejściowe 2 3 53" xfId="11442"/>
    <cellStyle name="Dane wejściowe 2 3 53 2" xfId="11443"/>
    <cellStyle name="Dane wejściowe 2 3 53 3" xfId="11444"/>
    <cellStyle name="Dane wejściowe 2 3 54" xfId="11445"/>
    <cellStyle name="Dane wejściowe 2 3 54 2" xfId="11446"/>
    <cellStyle name="Dane wejściowe 2 3 54 3" xfId="11447"/>
    <cellStyle name="Dane wejściowe 2 3 55" xfId="11448"/>
    <cellStyle name="Dane wejściowe 2 3 55 2" xfId="11449"/>
    <cellStyle name="Dane wejściowe 2 3 55 3" xfId="11450"/>
    <cellStyle name="Dane wejściowe 2 3 56" xfId="11451"/>
    <cellStyle name="Dane wejściowe 2 3 56 2" xfId="11452"/>
    <cellStyle name="Dane wejściowe 2 3 56 3" xfId="11453"/>
    <cellStyle name="Dane wejściowe 2 3 57" xfId="11454"/>
    <cellStyle name="Dane wejściowe 2 3 58" xfId="11455"/>
    <cellStyle name="Dane wejściowe 2 3 6" xfId="11456"/>
    <cellStyle name="Dane wejściowe 2 3 6 2" xfId="11457"/>
    <cellStyle name="Dane wejściowe 2 3 6 3" xfId="11458"/>
    <cellStyle name="Dane wejściowe 2 3 6 4" xfId="11459"/>
    <cellStyle name="Dane wejściowe 2 3 7" xfId="11460"/>
    <cellStyle name="Dane wejściowe 2 3 7 2" xfId="11461"/>
    <cellStyle name="Dane wejściowe 2 3 7 3" xfId="11462"/>
    <cellStyle name="Dane wejściowe 2 3 7 4" xfId="11463"/>
    <cellStyle name="Dane wejściowe 2 3 8" xfId="11464"/>
    <cellStyle name="Dane wejściowe 2 3 8 2" xfId="11465"/>
    <cellStyle name="Dane wejściowe 2 3 8 3" xfId="11466"/>
    <cellStyle name="Dane wejściowe 2 3 8 4" xfId="11467"/>
    <cellStyle name="Dane wejściowe 2 3 9" xfId="11468"/>
    <cellStyle name="Dane wejściowe 2 3 9 2" xfId="11469"/>
    <cellStyle name="Dane wejściowe 2 3 9 3" xfId="11470"/>
    <cellStyle name="Dane wejściowe 2 3 9 4" xfId="11471"/>
    <cellStyle name="Dane wejściowe 2 30" xfId="11472"/>
    <cellStyle name="Dane wejściowe 2 30 2" xfId="11473"/>
    <cellStyle name="Dane wejściowe 2 30 3" xfId="11474"/>
    <cellStyle name="Dane wejściowe 2 30 4" xfId="11475"/>
    <cellStyle name="Dane wejściowe 2 31" xfId="11476"/>
    <cellStyle name="Dane wejściowe 2 31 2" xfId="11477"/>
    <cellStyle name="Dane wejściowe 2 31 3" xfId="11478"/>
    <cellStyle name="Dane wejściowe 2 31 4" xfId="11479"/>
    <cellStyle name="Dane wejściowe 2 32" xfId="11480"/>
    <cellStyle name="Dane wejściowe 2 32 2" xfId="11481"/>
    <cellStyle name="Dane wejściowe 2 32 3" xfId="11482"/>
    <cellStyle name="Dane wejściowe 2 32 4" xfId="11483"/>
    <cellStyle name="Dane wejściowe 2 33" xfId="11484"/>
    <cellStyle name="Dane wejściowe 2 33 2" xfId="11485"/>
    <cellStyle name="Dane wejściowe 2 33 3" xfId="11486"/>
    <cellStyle name="Dane wejściowe 2 33 4" xfId="11487"/>
    <cellStyle name="Dane wejściowe 2 34" xfId="11488"/>
    <cellStyle name="Dane wejściowe 2 34 2" xfId="11489"/>
    <cellStyle name="Dane wejściowe 2 34 3" xfId="11490"/>
    <cellStyle name="Dane wejściowe 2 34 4" xfId="11491"/>
    <cellStyle name="Dane wejściowe 2 35" xfId="11492"/>
    <cellStyle name="Dane wejściowe 2 35 2" xfId="11493"/>
    <cellStyle name="Dane wejściowe 2 35 3" xfId="11494"/>
    <cellStyle name="Dane wejściowe 2 35 4" xfId="11495"/>
    <cellStyle name="Dane wejściowe 2 36" xfId="11496"/>
    <cellStyle name="Dane wejściowe 2 36 2" xfId="11497"/>
    <cellStyle name="Dane wejściowe 2 36 3" xfId="11498"/>
    <cellStyle name="Dane wejściowe 2 36 4" xfId="11499"/>
    <cellStyle name="Dane wejściowe 2 37" xfId="11500"/>
    <cellStyle name="Dane wejściowe 2 37 2" xfId="11501"/>
    <cellStyle name="Dane wejściowe 2 37 3" xfId="11502"/>
    <cellStyle name="Dane wejściowe 2 37 4" xfId="11503"/>
    <cellStyle name="Dane wejściowe 2 38" xfId="11504"/>
    <cellStyle name="Dane wejściowe 2 38 2" xfId="11505"/>
    <cellStyle name="Dane wejściowe 2 38 3" xfId="11506"/>
    <cellStyle name="Dane wejściowe 2 38 4" xfId="11507"/>
    <cellStyle name="Dane wejściowe 2 39" xfId="11508"/>
    <cellStyle name="Dane wejściowe 2 39 2" xfId="11509"/>
    <cellStyle name="Dane wejściowe 2 39 3" xfId="11510"/>
    <cellStyle name="Dane wejściowe 2 39 4" xfId="11511"/>
    <cellStyle name="Dane wejściowe 2 4" xfId="11512"/>
    <cellStyle name="Dane wejściowe 2 4 10" xfId="11513"/>
    <cellStyle name="Dane wejściowe 2 4 10 2" xfId="11514"/>
    <cellStyle name="Dane wejściowe 2 4 10 3" xfId="11515"/>
    <cellStyle name="Dane wejściowe 2 4 10 4" xfId="11516"/>
    <cellStyle name="Dane wejściowe 2 4 11" xfId="11517"/>
    <cellStyle name="Dane wejściowe 2 4 11 2" xfId="11518"/>
    <cellStyle name="Dane wejściowe 2 4 11 3" xfId="11519"/>
    <cellStyle name="Dane wejściowe 2 4 11 4" xfId="11520"/>
    <cellStyle name="Dane wejściowe 2 4 12" xfId="11521"/>
    <cellStyle name="Dane wejściowe 2 4 12 2" xfId="11522"/>
    <cellStyle name="Dane wejściowe 2 4 12 3" xfId="11523"/>
    <cellStyle name="Dane wejściowe 2 4 12 4" xfId="11524"/>
    <cellStyle name="Dane wejściowe 2 4 13" xfId="11525"/>
    <cellStyle name="Dane wejściowe 2 4 13 2" xfId="11526"/>
    <cellStyle name="Dane wejściowe 2 4 13 3" xfId="11527"/>
    <cellStyle name="Dane wejściowe 2 4 13 4" xfId="11528"/>
    <cellStyle name="Dane wejściowe 2 4 14" xfId="11529"/>
    <cellStyle name="Dane wejściowe 2 4 14 2" xfId="11530"/>
    <cellStyle name="Dane wejściowe 2 4 14 3" xfId="11531"/>
    <cellStyle name="Dane wejściowe 2 4 14 4" xfId="11532"/>
    <cellStyle name="Dane wejściowe 2 4 15" xfId="11533"/>
    <cellStyle name="Dane wejściowe 2 4 15 2" xfId="11534"/>
    <cellStyle name="Dane wejściowe 2 4 15 3" xfId="11535"/>
    <cellStyle name="Dane wejściowe 2 4 15 4" xfId="11536"/>
    <cellStyle name="Dane wejściowe 2 4 16" xfId="11537"/>
    <cellStyle name="Dane wejściowe 2 4 16 2" xfId="11538"/>
    <cellStyle name="Dane wejściowe 2 4 16 3" xfId="11539"/>
    <cellStyle name="Dane wejściowe 2 4 16 4" xfId="11540"/>
    <cellStyle name="Dane wejściowe 2 4 17" xfId="11541"/>
    <cellStyle name="Dane wejściowe 2 4 17 2" xfId="11542"/>
    <cellStyle name="Dane wejściowe 2 4 17 3" xfId="11543"/>
    <cellStyle name="Dane wejściowe 2 4 17 4" xfId="11544"/>
    <cellStyle name="Dane wejściowe 2 4 18" xfId="11545"/>
    <cellStyle name="Dane wejściowe 2 4 18 2" xfId="11546"/>
    <cellStyle name="Dane wejściowe 2 4 18 3" xfId="11547"/>
    <cellStyle name="Dane wejściowe 2 4 18 4" xfId="11548"/>
    <cellStyle name="Dane wejściowe 2 4 19" xfId="11549"/>
    <cellStyle name="Dane wejściowe 2 4 19 2" xfId="11550"/>
    <cellStyle name="Dane wejściowe 2 4 19 3" xfId="11551"/>
    <cellStyle name="Dane wejściowe 2 4 19 4" xfId="11552"/>
    <cellStyle name="Dane wejściowe 2 4 2" xfId="11553"/>
    <cellStyle name="Dane wejściowe 2 4 2 2" xfId="11554"/>
    <cellStyle name="Dane wejściowe 2 4 2 3" xfId="11555"/>
    <cellStyle name="Dane wejściowe 2 4 2 4" xfId="11556"/>
    <cellStyle name="Dane wejściowe 2 4 20" xfId="11557"/>
    <cellStyle name="Dane wejściowe 2 4 20 2" xfId="11558"/>
    <cellStyle name="Dane wejściowe 2 4 20 3" xfId="11559"/>
    <cellStyle name="Dane wejściowe 2 4 20 4" xfId="11560"/>
    <cellStyle name="Dane wejściowe 2 4 21" xfId="11561"/>
    <cellStyle name="Dane wejściowe 2 4 21 2" xfId="11562"/>
    <cellStyle name="Dane wejściowe 2 4 21 3" xfId="11563"/>
    <cellStyle name="Dane wejściowe 2 4 22" xfId="11564"/>
    <cellStyle name="Dane wejściowe 2 4 22 2" xfId="11565"/>
    <cellStyle name="Dane wejściowe 2 4 22 3" xfId="11566"/>
    <cellStyle name="Dane wejściowe 2 4 23" xfId="11567"/>
    <cellStyle name="Dane wejściowe 2 4 23 2" xfId="11568"/>
    <cellStyle name="Dane wejściowe 2 4 23 3" xfId="11569"/>
    <cellStyle name="Dane wejściowe 2 4 24" xfId="11570"/>
    <cellStyle name="Dane wejściowe 2 4 24 2" xfId="11571"/>
    <cellStyle name="Dane wejściowe 2 4 24 3" xfId="11572"/>
    <cellStyle name="Dane wejściowe 2 4 25" xfId="11573"/>
    <cellStyle name="Dane wejściowe 2 4 25 2" xfId="11574"/>
    <cellStyle name="Dane wejściowe 2 4 25 3" xfId="11575"/>
    <cellStyle name="Dane wejściowe 2 4 26" xfId="11576"/>
    <cellStyle name="Dane wejściowe 2 4 26 2" xfId="11577"/>
    <cellStyle name="Dane wejściowe 2 4 26 3" xfId="11578"/>
    <cellStyle name="Dane wejściowe 2 4 27" xfId="11579"/>
    <cellStyle name="Dane wejściowe 2 4 27 2" xfId="11580"/>
    <cellStyle name="Dane wejściowe 2 4 27 3" xfId="11581"/>
    <cellStyle name="Dane wejściowe 2 4 28" xfId="11582"/>
    <cellStyle name="Dane wejściowe 2 4 28 2" xfId="11583"/>
    <cellStyle name="Dane wejściowe 2 4 28 3" xfId="11584"/>
    <cellStyle name="Dane wejściowe 2 4 29" xfId="11585"/>
    <cellStyle name="Dane wejściowe 2 4 29 2" xfId="11586"/>
    <cellStyle name="Dane wejściowe 2 4 29 3" xfId="11587"/>
    <cellStyle name="Dane wejściowe 2 4 3" xfId="11588"/>
    <cellStyle name="Dane wejściowe 2 4 3 2" xfId="11589"/>
    <cellStyle name="Dane wejściowe 2 4 3 3" xfId="11590"/>
    <cellStyle name="Dane wejściowe 2 4 3 4" xfId="11591"/>
    <cellStyle name="Dane wejściowe 2 4 30" xfId="11592"/>
    <cellStyle name="Dane wejściowe 2 4 30 2" xfId="11593"/>
    <cellStyle name="Dane wejściowe 2 4 30 3" xfId="11594"/>
    <cellStyle name="Dane wejściowe 2 4 31" xfId="11595"/>
    <cellStyle name="Dane wejściowe 2 4 31 2" xfId="11596"/>
    <cellStyle name="Dane wejściowe 2 4 31 3" xfId="11597"/>
    <cellStyle name="Dane wejściowe 2 4 32" xfId="11598"/>
    <cellStyle name="Dane wejściowe 2 4 32 2" xfId="11599"/>
    <cellStyle name="Dane wejściowe 2 4 32 3" xfId="11600"/>
    <cellStyle name="Dane wejściowe 2 4 33" xfId="11601"/>
    <cellStyle name="Dane wejściowe 2 4 33 2" xfId="11602"/>
    <cellStyle name="Dane wejściowe 2 4 33 3" xfId="11603"/>
    <cellStyle name="Dane wejściowe 2 4 34" xfId="11604"/>
    <cellStyle name="Dane wejściowe 2 4 34 2" xfId="11605"/>
    <cellStyle name="Dane wejściowe 2 4 34 3" xfId="11606"/>
    <cellStyle name="Dane wejściowe 2 4 35" xfId="11607"/>
    <cellStyle name="Dane wejściowe 2 4 35 2" xfId="11608"/>
    <cellStyle name="Dane wejściowe 2 4 35 3" xfId="11609"/>
    <cellStyle name="Dane wejściowe 2 4 36" xfId="11610"/>
    <cellStyle name="Dane wejściowe 2 4 36 2" xfId="11611"/>
    <cellStyle name="Dane wejściowe 2 4 36 3" xfId="11612"/>
    <cellStyle name="Dane wejściowe 2 4 37" xfId="11613"/>
    <cellStyle name="Dane wejściowe 2 4 37 2" xfId="11614"/>
    <cellStyle name="Dane wejściowe 2 4 37 3" xfId="11615"/>
    <cellStyle name="Dane wejściowe 2 4 38" xfId="11616"/>
    <cellStyle name="Dane wejściowe 2 4 38 2" xfId="11617"/>
    <cellStyle name="Dane wejściowe 2 4 38 3" xfId="11618"/>
    <cellStyle name="Dane wejściowe 2 4 39" xfId="11619"/>
    <cellStyle name="Dane wejściowe 2 4 39 2" xfId="11620"/>
    <cellStyle name="Dane wejściowe 2 4 39 3" xfId="11621"/>
    <cellStyle name="Dane wejściowe 2 4 4" xfId="11622"/>
    <cellStyle name="Dane wejściowe 2 4 4 2" xfId="11623"/>
    <cellStyle name="Dane wejściowe 2 4 4 3" xfId="11624"/>
    <cellStyle name="Dane wejściowe 2 4 4 4" xfId="11625"/>
    <cellStyle name="Dane wejściowe 2 4 40" xfId="11626"/>
    <cellStyle name="Dane wejściowe 2 4 40 2" xfId="11627"/>
    <cellStyle name="Dane wejściowe 2 4 40 3" xfId="11628"/>
    <cellStyle name="Dane wejściowe 2 4 41" xfId="11629"/>
    <cellStyle name="Dane wejściowe 2 4 41 2" xfId="11630"/>
    <cellStyle name="Dane wejściowe 2 4 41 3" xfId="11631"/>
    <cellStyle name="Dane wejściowe 2 4 42" xfId="11632"/>
    <cellStyle name="Dane wejściowe 2 4 42 2" xfId="11633"/>
    <cellStyle name="Dane wejściowe 2 4 42 3" xfId="11634"/>
    <cellStyle name="Dane wejściowe 2 4 43" xfId="11635"/>
    <cellStyle name="Dane wejściowe 2 4 43 2" xfId="11636"/>
    <cellStyle name="Dane wejściowe 2 4 43 3" xfId="11637"/>
    <cellStyle name="Dane wejściowe 2 4 44" xfId="11638"/>
    <cellStyle name="Dane wejściowe 2 4 44 2" xfId="11639"/>
    <cellStyle name="Dane wejściowe 2 4 44 3" xfId="11640"/>
    <cellStyle name="Dane wejściowe 2 4 45" xfId="11641"/>
    <cellStyle name="Dane wejściowe 2 4 45 2" xfId="11642"/>
    <cellStyle name="Dane wejściowe 2 4 45 3" xfId="11643"/>
    <cellStyle name="Dane wejściowe 2 4 46" xfId="11644"/>
    <cellStyle name="Dane wejściowe 2 4 46 2" xfId="11645"/>
    <cellStyle name="Dane wejściowe 2 4 46 3" xfId="11646"/>
    <cellStyle name="Dane wejściowe 2 4 47" xfId="11647"/>
    <cellStyle name="Dane wejściowe 2 4 47 2" xfId="11648"/>
    <cellStyle name="Dane wejściowe 2 4 47 3" xfId="11649"/>
    <cellStyle name="Dane wejściowe 2 4 48" xfId="11650"/>
    <cellStyle name="Dane wejściowe 2 4 48 2" xfId="11651"/>
    <cellStyle name="Dane wejściowe 2 4 48 3" xfId="11652"/>
    <cellStyle name="Dane wejściowe 2 4 49" xfId="11653"/>
    <cellStyle name="Dane wejściowe 2 4 49 2" xfId="11654"/>
    <cellStyle name="Dane wejściowe 2 4 49 3" xfId="11655"/>
    <cellStyle name="Dane wejściowe 2 4 5" xfId="11656"/>
    <cellStyle name="Dane wejściowe 2 4 5 2" xfId="11657"/>
    <cellStyle name="Dane wejściowe 2 4 5 3" xfId="11658"/>
    <cellStyle name="Dane wejściowe 2 4 5 4" xfId="11659"/>
    <cellStyle name="Dane wejściowe 2 4 50" xfId="11660"/>
    <cellStyle name="Dane wejściowe 2 4 50 2" xfId="11661"/>
    <cellStyle name="Dane wejściowe 2 4 50 3" xfId="11662"/>
    <cellStyle name="Dane wejściowe 2 4 51" xfId="11663"/>
    <cellStyle name="Dane wejściowe 2 4 51 2" xfId="11664"/>
    <cellStyle name="Dane wejściowe 2 4 51 3" xfId="11665"/>
    <cellStyle name="Dane wejściowe 2 4 52" xfId="11666"/>
    <cellStyle name="Dane wejściowe 2 4 52 2" xfId="11667"/>
    <cellStyle name="Dane wejściowe 2 4 52 3" xfId="11668"/>
    <cellStyle name="Dane wejściowe 2 4 53" xfId="11669"/>
    <cellStyle name="Dane wejściowe 2 4 53 2" xfId="11670"/>
    <cellStyle name="Dane wejściowe 2 4 53 3" xfId="11671"/>
    <cellStyle name="Dane wejściowe 2 4 54" xfId="11672"/>
    <cellStyle name="Dane wejściowe 2 4 54 2" xfId="11673"/>
    <cellStyle name="Dane wejściowe 2 4 54 3" xfId="11674"/>
    <cellStyle name="Dane wejściowe 2 4 55" xfId="11675"/>
    <cellStyle name="Dane wejściowe 2 4 55 2" xfId="11676"/>
    <cellStyle name="Dane wejściowe 2 4 55 3" xfId="11677"/>
    <cellStyle name="Dane wejściowe 2 4 56" xfId="11678"/>
    <cellStyle name="Dane wejściowe 2 4 56 2" xfId="11679"/>
    <cellStyle name="Dane wejściowe 2 4 56 3" xfId="11680"/>
    <cellStyle name="Dane wejściowe 2 4 57" xfId="11681"/>
    <cellStyle name="Dane wejściowe 2 4 58" xfId="11682"/>
    <cellStyle name="Dane wejściowe 2 4 6" xfId="11683"/>
    <cellStyle name="Dane wejściowe 2 4 6 2" xfId="11684"/>
    <cellStyle name="Dane wejściowe 2 4 6 3" xfId="11685"/>
    <cellStyle name="Dane wejściowe 2 4 6 4" xfId="11686"/>
    <cellStyle name="Dane wejściowe 2 4 7" xfId="11687"/>
    <cellStyle name="Dane wejściowe 2 4 7 2" xfId="11688"/>
    <cellStyle name="Dane wejściowe 2 4 7 3" xfId="11689"/>
    <cellStyle name="Dane wejściowe 2 4 7 4" xfId="11690"/>
    <cellStyle name="Dane wejściowe 2 4 8" xfId="11691"/>
    <cellStyle name="Dane wejściowe 2 4 8 2" xfId="11692"/>
    <cellStyle name="Dane wejściowe 2 4 8 3" xfId="11693"/>
    <cellStyle name="Dane wejściowe 2 4 8 4" xfId="11694"/>
    <cellStyle name="Dane wejściowe 2 4 9" xfId="11695"/>
    <cellStyle name="Dane wejściowe 2 4 9 2" xfId="11696"/>
    <cellStyle name="Dane wejściowe 2 4 9 3" xfId="11697"/>
    <cellStyle name="Dane wejściowe 2 4 9 4" xfId="11698"/>
    <cellStyle name="Dane wejściowe 2 40" xfId="11699"/>
    <cellStyle name="Dane wejściowe 2 40 2" xfId="11700"/>
    <cellStyle name="Dane wejściowe 2 40 3" xfId="11701"/>
    <cellStyle name="Dane wejściowe 2 40 4" xfId="11702"/>
    <cellStyle name="Dane wejściowe 2 41" xfId="11703"/>
    <cellStyle name="Dane wejściowe 2 41 2" xfId="11704"/>
    <cellStyle name="Dane wejściowe 2 41 3" xfId="11705"/>
    <cellStyle name="Dane wejściowe 2 41 4" xfId="11706"/>
    <cellStyle name="Dane wejściowe 2 42" xfId="11707"/>
    <cellStyle name="Dane wejściowe 2 42 2" xfId="11708"/>
    <cellStyle name="Dane wejściowe 2 42 3" xfId="11709"/>
    <cellStyle name="Dane wejściowe 2 42 4" xfId="11710"/>
    <cellStyle name="Dane wejściowe 2 43" xfId="11711"/>
    <cellStyle name="Dane wejściowe 2 43 2" xfId="11712"/>
    <cellStyle name="Dane wejściowe 2 43 3" xfId="11713"/>
    <cellStyle name="Dane wejściowe 2 43 4" xfId="11714"/>
    <cellStyle name="Dane wejściowe 2 44" xfId="11715"/>
    <cellStyle name="Dane wejściowe 2 44 2" xfId="11716"/>
    <cellStyle name="Dane wejściowe 2 44 3" xfId="11717"/>
    <cellStyle name="Dane wejściowe 2 44 4" xfId="11718"/>
    <cellStyle name="Dane wejściowe 2 45" xfId="11719"/>
    <cellStyle name="Dane wejściowe 2 45 2" xfId="11720"/>
    <cellStyle name="Dane wejściowe 2 45 3" xfId="11721"/>
    <cellStyle name="Dane wejściowe 2 45 4" xfId="11722"/>
    <cellStyle name="Dane wejściowe 2 46" xfId="11723"/>
    <cellStyle name="Dane wejściowe 2 46 2" xfId="11724"/>
    <cellStyle name="Dane wejściowe 2 46 3" xfId="11725"/>
    <cellStyle name="Dane wejściowe 2 46 4" xfId="11726"/>
    <cellStyle name="Dane wejściowe 2 47" xfId="11727"/>
    <cellStyle name="Dane wejściowe 2 47 2" xfId="11728"/>
    <cellStyle name="Dane wejściowe 2 47 3" xfId="11729"/>
    <cellStyle name="Dane wejściowe 2 47 4" xfId="11730"/>
    <cellStyle name="Dane wejściowe 2 48" xfId="11731"/>
    <cellStyle name="Dane wejściowe 2 48 2" xfId="11732"/>
    <cellStyle name="Dane wejściowe 2 48 3" xfId="11733"/>
    <cellStyle name="Dane wejściowe 2 49" xfId="11734"/>
    <cellStyle name="Dane wejściowe 2 49 2" xfId="11735"/>
    <cellStyle name="Dane wejściowe 2 49 3" xfId="11736"/>
    <cellStyle name="Dane wejściowe 2 5" xfId="11737"/>
    <cellStyle name="Dane wejściowe 2 5 10" xfId="11738"/>
    <cellStyle name="Dane wejściowe 2 5 10 2" xfId="11739"/>
    <cellStyle name="Dane wejściowe 2 5 10 3" xfId="11740"/>
    <cellStyle name="Dane wejściowe 2 5 10 4" xfId="11741"/>
    <cellStyle name="Dane wejściowe 2 5 11" xfId="11742"/>
    <cellStyle name="Dane wejściowe 2 5 11 2" xfId="11743"/>
    <cellStyle name="Dane wejściowe 2 5 11 3" xfId="11744"/>
    <cellStyle name="Dane wejściowe 2 5 11 4" xfId="11745"/>
    <cellStyle name="Dane wejściowe 2 5 12" xfId="11746"/>
    <cellStyle name="Dane wejściowe 2 5 12 2" xfId="11747"/>
    <cellStyle name="Dane wejściowe 2 5 12 3" xfId="11748"/>
    <cellStyle name="Dane wejściowe 2 5 12 4" xfId="11749"/>
    <cellStyle name="Dane wejściowe 2 5 13" xfId="11750"/>
    <cellStyle name="Dane wejściowe 2 5 13 2" xfId="11751"/>
    <cellStyle name="Dane wejściowe 2 5 13 3" xfId="11752"/>
    <cellStyle name="Dane wejściowe 2 5 13 4" xfId="11753"/>
    <cellStyle name="Dane wejściowe 2 5 14" xfId="11754"/>
    <cellStyle name="Dane wejściowe 2 5 14 2" xfId="11755"/>
    <cellStyle name="Dane wejściowe 2 5 14 3" xfId="11756"/>
    <cellStyle name="Dane wejściowe 2 5 14 4" xfId="11757"/>
    <cellStyle name="Dane wejściowe 2 5 15" xfId="11758"/>
    <cellStyle name="Dane wejściowe 2 5 15 2" xfId="11759"/>
    <cellStyle name="Dane wejściowe 2 5 15 3" xfId="11760"/>
    <cellStyle name="Dane wejściowe 2 5 15 4" xfId="11761"/>
    <cellStyle name="Dane wejściowe 2 5 16" xfId="11762"/>
    <cellStyle name="Dane wejściowe 2 5 16 2" xfId="11763"/>
    <cellStyle name="Dane wejściowe 2 5 16 3" xfId="11764"/>
    <cellStyle name="Dane wejściowe 2 5 16 4" xfId="11765"/>
    <cellStyle name="Dane wejściowe 2 5 17" xfId="11766"/>
    <cellStyle name="Dane wejściowe 2 5 17 2" xfId="11767"/>
    <cellStyle name="Dane wejściowe 2 5 17 3" xfId="11768"/>
    <cellStyle name="Dane wejściowe 2 5 17 4" xfId="11769"/>
    <cellStyle name="Dane wejściowe 2 5 18" xfId="11770"/>
    <cellStyle name="Dane wejściowe 2 5 18 2" xfId="11771"/>
    <cellStyle name="Dane wejściowe 2 5 18 3" xfId="11772"/>
    <cellStyle name="Dane wejściowe 2 5 18 4" xfId="11773"/>
    <cellStyle name="Dane wejściowe 2 5 19" xfId="11774"/>
    <cellStyle name="Dane wejściowe 2 5 19 2" xfId="11775"/>
    <cellStyle name="Dane wejściowe 2 5 19 3" xfId="11776"/>
    <cellStyle name="Dane wejściowe 2 5 19 4" xfId="11777"/>
    <cellStyle name="Dane wejściowe 2 5 2" xfId="11778"/>
    <cellStyle name="Dane wejściowe 2 5 2 2" xfId="11779"/>
    <cellStyle name="Dane wejściowe 2 5 2 3" xfId="11780"/>
    <cellStyle name="Dane wejściowe 2 5 2 4" xfId="11781"/>
    <cellStyle name="Dane wejściowe 2 5 20" xfId="11782"/>
    <cellStyle name="Dane wejściowe 2 5 20 2" xfId="11783"/>
    <cellStyle name="Dane wejściowe 2 5 20 3" xfId="11784"/>
    <cellStyle name="Dane wejściowe 2 5 20 4" xfId="11785"/>
    <cellStyle name="Dane wejściowe 2 5 21" xfId="11786"/>
    <cellStyle name="Dane wejściowe 2 5 21 2" xfId="11787"/>
    <cellStyle name="Dane wejściowe 2 5 21 3" xfId="11788"/>
    <cellStyle name="Dane wejściowe 2 5 22" xfId="11789"/>
    <cellStyle name="Dane wejściowe 2 5 22 2" xfId="11790"/>
    <cellStyle name="Dane wejściowe 2 5 22 3" xfId="11791"/>
    <cellStyle name="Dane wejściowe 2 5 23" xfId="11792"/>
    <cellStyle name="Dane wejściowe 2 5 23 2" xfId="11793"/>
    <cellStyle name="Dane wejściowe 2 5 23 3" xfId="11794"/>
    <cellStyle name="Dane wejściowe 2 5 24" xfId="11795"/>
    <cellStyle name="Dane wejściowe 2 5 24 2" xfId="11796"/>
    <cellStyle name="Dane wejściowe 2 5 24 3" xfId="11797"/>
    <cellStyle name="Dane wejściowe 2 5 25" xfId="11798"/>
    <cellStyle name="Dane wejściowe 2 5 25 2" xfId="11799"/>
    <cellStyle name="Dane wejściowe 2 5 25 3" xfId="11800"/>
    <cellStyle name="Dane wejściowe 2 5 26" xfId="11801"/>
    <cellStyle name="Dane wejściowe 2 5 26 2" xfId="11802"/>
    <cellStyle name="Dane wejściowe 2 5 26 3" xfId="11803"/>
    <cellStyle name="Dane wejściowe 2 5 27" xfId="11804"/>
    <cellStyle name="Dane wejściowe 2 5 27 2" xfId="11805"/>
    <cellStyle name="Dane wejściowe 2 5 27 3" xfId="11806"/>
    <cellStyle name="Dane wejściowe 2 5 28" xfId="11807"/>
    <cellStyle name="Dane wejściowe 2 5 28 2" xfId="11808"/>
    <cellStyle name="Dane wejściowe 2 5 28 3" xfId="11809"/>
    <cellStyle name="Dane wejściowe 2 5 29" xfId="11810"/>
    <cellStyle name="Dane wejściowe 2 5 29 2" xfId="11811"/>
    <cellStyle name="Dane wejściowe 2 5 29 3" xfId="11812"/>
    <cellStyle name="Dane wejściowe 2 5 3" xfId="11813"/>
    <cellStyle name="Dane wejściowe 2 5 3 2" xfId="11814"/>
    <cellStyle name="Dane wejściowe 2 5 3 3" xfId="11815"/>
    <cellStyle name="Dane wejściowe 2 5 3 4" xfId="11816"/>
    <cellStyle name="Dane wejściowe 2 5 30" xfId="11817"/>
    <cellStyle name="Dane wejściowe 2 5 30 2" xfId="11818"/>
    <cellStyle name="Dane wejściowe 2 5 30 3" xfId="11819"/>
    <cellStyle name="Dane wejściowe 2 5 31" xfId="11820"/>
    <cellStyle name="Dane wejściowe 2 5 31 2" xfId="11821"/>
    <cellStyle name="Dane wejściowe 2 5 31 3" xfId="11822"/>
    <cellStyle name="Dane wejściowe 2 5 32" xfId="11823"/>
    <cellStyle name="Dane wejściowe 2 5 32 2" xfId="11824"/>
    <cellStyle name="Dane wejściowe 2 5 32 3" xfId="11825"/>
    <cellStyle name="Dane wejściowe 2 5 33" xfId="11826"/>
    <cellStyle name="Dane wejściowe 2 5 33 2" xfId="11827"/>
    <cellStyle name="Dane wejściowe 2 5 33 3" xfId="11828"/>
    <cellStyle name="Dane wejściowe 2 5 34" xfId="11829"/>
    <cellStyle name="Dane wejściowe 2 5 34 2" xfId="11830"/>
    <cellStyle name="Dane wejściowe 2 5 34 3" xfId="11831"/>
    <cellStyle name="Dane wejściowe 2 5 35" xfId="11832"/>
    <cellStyle name="Dane wejściowe 2 5 35 2" xfId="11833"/>
    <cellStyle name="Dane wejściowe 2 5 35 3" xfId="11834"/>
    <cellStyle name="Dane wejściowe 2 5 36" xfId="11835"/>
    <cellStyle name="Dane wejściowe 2 5 36 2" xfId="11836"/>
    <cellStyle name="Dane wejściowe 2 5 36 3" xfId="11837"/>
    <cellStyle name="Dane wejściowe 2 5 37" xfId="11838"/>
    <cellStyle name="Dane wejściowe 2 5 37 2" xfId="11839"/>
    <cellStyle name="Dane wejściowe 2 5 37 3" xfId="11840"/>
    <cellStyle name="Dane wejściowe 2 5 38" xfId="11841"/>
    <cellStyle name="Dane wejściowe 2 5 38 2" xfId="11842"/>
    <cellStyle name="Dane wejściowe 2 5 38 3" xfId="11843"/>
    <cellStyle name="Dane wejściowe 2 5 39" xfId="11844"/>
    <cellStyle name="Dane wejściowe 2 5 39 2" xfId="11845"/>
    <cellStyle name="Dane wejściowe 2 5 39 3" xfId="11846"/>
    <cellStyle name="Dane wejściowe 2 5 4" xfId="11847"/>
    <cellStyle name="Dane wejściowe 2 5 4 2" xfId="11848"/>
    <cellStyle name="Dane wejściowe 2 5 4 3" xfId="11849"/>
    <cellStyle name="Dane wejściowe 2 5 4 4" xfId="11850"/>
    <cellStyle name="Dane wejściowe 2 5 40" xfId="11851"/>
    <cellStyle name="Dane wejściowe 2 5 40 2" xfId="11852"/>
    <cellStyle name="Dane wejściowe 2 5 40 3" xfId="11853"/>
    <cellStyle name="Dane wejściowe 2 5 41" xfId="11854"/>
    <cellStyle name="Dane wejściowe 2 5 41 2" xfId="11855"/>
    <cellStyle name="Dane wejściowe 2 5 41 3" xfId="11856"/>
    <cellStyle name="Dane wejściowe 2 5 42" xfId="11857"/>
    <cellStyle name="Dane wejściowe 2 5 42 2" xfId="11858"/>
    <cellStyle name="Dane wejściowe 2 5 42 3" xfId="11859"/>
    <cellStyle name="Dane wejściowe 2 5 43" xfId="11860"/>
    <cellStyle name="Dane wejściowe 2 5 43 2" xfId="11861"/>
    <cellStyle name="Dane wejściowe 2 5 43 3" xfId="11862"/>
    <cellStyle name="Dane wejściowe 2 5 44" xfId="11863"/>
    <cellStyle name="Dane wejściowe 2 5 44 2" xfId="11864"/>
    <cellStyle name="Dane wejściowe 2 5 44 3" xfId="11865"/>
    <cellStyle name="Dane wejściowe 2 5 45" xfId="11866"/>
    <cellStyle name="Dane wejściowe 2 5 45 2" xfId="11867"/>
    <cellStyle name="Dane wejściowe 2 5 45 3" xfId="11868"/>
    <cellStyle name="Dane wejściowe 2 5 46" xfId="11869"/>
    <cellStyle name="Dane wejściowe 2 5 46 2" xfId="11870"/>
    <cellStyle name="Dane wejściowe 2 5 46 3" xfId="11871"/>
    <cellStyle name="Dane wejściowe 2 5 47" xfId="11872"/>
    <cellStyle name="Dane wejściowe 2 5 47 2" xfId="11873"/>
    <cellStyle name="Dane wejściowe 2 5 47 3" xfId="11874"/>
    <cellStyle name="Dane wejściowe 2 5 48" xfId="11875"/>
    <cellStyle name="Dane wejściowe 2 5 48 2" xfId="11876"/>
    <cellStyle name="Dane wejściowe 2 5 48 3" xfId="11877"/>
    <cellStyle name="Dane wejściowe 2 5 49" xfId="11878"/>
    <cellStyle name="Dane wejściowe 2 5 49 2" xfId="11879"/>
    <cellStyle name="Dane wejściowe 2 5 49 3" xfId="11880"/>
    <cellStyle name="Dane wejściowe 2 5 5" xfId="11881"/>
    <cellStyle name="Dane wejściowe 2 5 5 2" xfId="11882"/>
    <cellStyle name="Dane wejściowe 2 5 5 3" xfId="11883"/>
    <cellStyle name="Dane wejściowe 2 5 5 4" xfId="11884"/>
    <cellStyle name="Dane wejściowe 2 5 50" xfId="11885"/>
    <cellStyle name="Dane wejściowe 2 5 50 2" xfId="11886"/>
    <cellStyle name="Dane wejściowe 2 5 50 3" xfId="11887"/>
    <cellStyle name="Dane wejściowe 2 5 51" xfId="11888"/>
    <cellStyle name="Dane wejściowe 2 5 51 2" xfId="11889"/>
    <cellStyle name="Dane wejściowe 2 5 51 3" xfId="11890"/>
    <cellStyle name="Dane wejściowe 2 5 52" xfId="11891"/>
    <cellStyle name="Dane wejściowe 2 5 52 2" xfId="11892"/>
    <cellStyle name="Dane wejściowe 2 5 52 3" xfId="11893"/>
    <cellStyle name="Dane wejściowe 2 5 53" xfId="11894"/>
    <cellStyle name="Dane wejściowe 2 5 53 2" xfId="11895"/>
    <cellStyle name="Dane wejściowe 2 5 53 3" xfId="11896"/>
    <cellStyle name="Dane wejściowe 2 5 54" xfId="11897"/>
    <cellStyle name="Dane wejściowe 2 5 54 2" xfId="11898"/>
    <cellStyle name="Dane wejściowe 2 5 54 3" xfId="11899"/>
    <cellStyle name="Dane wejściowe 2 5 55" xfId="11900"/>
    <cellStyle name="Dane wejściowe 2 5 55 2" xfId="11901"/>
    <cellStyle name="Dane wejściowe 2 5 55 3" xfId="11902"/>
    <cellStyle name="Dane wejściowe 2 5 56" xfId="11903"/>
    <cellStyle name="Dane wejściowe 2 5 56 2" xfId="11904"/>
    <cellStyle name="Dane wejściowe 2 5 56 3" xfId="11905"/>
    <cellStyle name="Dane wejściowe 2 5 57" xfId="11906"/>
    <cellStyle name="Dane wejściowe 2 5 58" xfId="11907"/>
    <cellStyle name="Dane wejściowe 2 5 6" xfId="11908"/>
    <cellStyle name="Dane wejściowe 2 5 6 2" xfId="11909"/>
    <cellStyle name="Dane wejściowe 2 5 6 3" xfId="11910"/>
    <cellStyle name="Dane wejściowe 2 5 6 4" xfId="11911"/>
    <cellStyle name="Dane wejściowe 2 5 7" xfId="11912"/>
    <cellStyle name="Dane wejściowe 2 5 7 2" xfId="11913"/>
    <cellStyle name="Dane wejściowe 2 5 7 3" xfId="11914"/>
    <cellStyle name="Dane wejściowe 2 5 7 4" xfId="11915"/>
    <cellStyle name="Dane wejściowe 2 5 8" xfId="11916"/>
    <cellStyle name="Dane wejściowe 2 5 8 2" xfId="11917"/>
    <cellStyle name="Dane wejściowe 2 5 8 3" xfId="11918"/>
    <cellStyle name="Dane wejściowe 2 5 8 4" xfId="11919"/>
    <cellStyle name="Dane wejściowe 2 5 9" xfId="11920"/>
    <cellStyle name="Dane wejściowe 2 5 9 2" xfId="11921"/>
    <cellStyle name="Dane wejściowe 2 5 9 3" xfId="11922"/>
    <cellStyle name="Dane wejściowe 2 5 9 4" xfId="11923"/>
    <cellStyle name="Dane wejściowe 2 50" xfId="11924"/>
    <cellStyle name="Dane wejściowe 2 50 2" xfId="11925"/>
    <cellStyle name="Dane wejściowe 2 50 3" xfId="11926"/>
    <cellStyle name="Dane wejściowe 2 51" xfId="11927"/>
    <cellStyle name="Dane wejściowe 2 51 2" xfId="11928"/>
    <cellStyle name="Dane wejściowe 2 51 3" xfId="11929"/>
    <cellStyle name="Dane wejściowe 2 52" xfId="11930"/>
    <cellStyle name="Dane wejściowe 2 52 2" xfId="11931"/>
    <cellStyle name="Dane wejściowe 2 52 3" xfId="11932"/>
    <cellStyle name="Dane wejściowe 2 53" xfId="11933"/>
    <cellStyle name="Dane wejściowe 2 53 2" xfId="11934"/>
    <cellStyle name="Dane wejściowe 2 53 3" xfId="11935"/>
    <cellStyle name="Dane wejściowe 2 54" xfId="11936"/>
    <cellStyle name="Dane wejściowe 2 54 2" xfId="11937"/>
    <cellStyle name="Dane wejściowe 2 54 3" xfId="11938"/>
    <cellStyle name="Dane wejściowe 2 55" xfId="11939"/>
    <cellStyle name="Dane wejściowe 2 55 2" xfId="11940"/>
    <cellStyle name="Dane wejściowe 2 55 3" xfId="11941"/>
    <cellStyle name="Dane wejściowe 2 56" xfId="11942"/>
    <cellStyle name="Dane wejściowe 2 56 2" xfId="11943"/>
    <cellStyle name="Dane wejściowe 2 56 3" xfId="11944"/>
    <cellStyle name="Dane wejściowe 2 57" xfId="11945"/>
    <cellStyle name="Dane wejściowe 2 57 2" xfId="11946"/>
    <cellStyle name="Dane wejściowe 2 57 3" xfId="11947"/>
    <cellStyle name="Dane wejściowe 2 58" xfId="11948"/>
    <cellStyle name="Dane wejściowe 2 58 2" xfId="11949"/>
    <cellStyle name="Dane wejściowe 2 58 3" xfId="11950"/>
    <cellStyle name="Dane wejściowe 2 59" xfId="11951"/>
    <cellStyle name="Dane wejściowe 2 59 2" xfId="11952"/>
    <cellStyle name="Dane wejściowe 2 59 3" xfId="11953"/>
    <cellStyle name="Dane wejściowe 2 6" xfId="11954"/>
    <cellStyle name="Dane wejściowe 2 6 10" xfId="11955"/>
    <cellStyle name="Dane wejściowe 2 6 10 2" xfId="11956"/>
    <cellStyle name="Dane wejściowe 2 6 10 3" xfId="11957"/>
    <cellStyle name="Dane wejściowe 2 6 10 4" xfId="11958"/>
    <cellStyle name="Dane wejściowe 2 6 11" xfId="11959"/>
    <cellStyle name="Dane wejściowe 2 6 11 2" xfId="11960"/>
    <cellStyle name="Dane wejściowe 2 6 11 3" xfId="11961"/>
    <cellStyle name="Dane wejściowe 2 6 11 4" xfId="11962"/>
    <cellStyle name="Dane wejściowe 2 6 12" xfId="11963"/>
    <cellStyle name="Dane wejściowe 2 6 12 2" xfId="11964"/>
    <cellStyle name="Dane wejściowe 2 6 12 3" xfId="11965"/>
    <cellStyle name="Dane wejściowe 2 6 12 4" xfId="11966"/>
    <cellStyle name="Dane wejściowe 2 6 13" xfId="11967"/>
    <cellStyle name="Dane wejściowe 2 6 13 2" xfId="11968"/>
    <cellStyle name="Dane wejściowe 2 6 13 3" xfId="11969"/>
    <cellStyle name="Dane wejściowe 2 6 13 4" xfId="11970"/>
    <cellStyle name="Dane wejściowe 2 6 14" xfId="11971"/>
    <cellStyle name="Dane wejściowe 2 6 14 2" xfId="11972"/>
    <cellStyle name="Dane wejściowe 2 6 14 3" xfId="11973"/>
    <cellStyle name="Dane wejściowe 2 6 14 4" xfId="11974"/>
    <cellStyle name="Dane wejściowe 2 6 15" xfId="11975"/>
    <cellStyle name="Dane wejściowe 2 6 15 2" xfId="11976"/>
    <cellStyle name="Dane wejściowe 2 6 15 3" xfId="11977"/>
    <cellStyle name="Dane wejściowe 2 6 15 4" xfId="11978"/>
    <cellStyle name="Dane wejściowe 2 6 16" xfId="11979"/>
    <cellStyle name="Dane wejściowe 2 6 16 2" xfId="11980"/>
    <cellStyle name="Dane wejściowe 2 6 16 3" xfId="11981"/>
    <cellStyle name="Dane wejściowe 2 6 16 4" xfId="11982"/>
    <cellStyle name="Dane wejściowe 2 6 17" xfId="11983"/>
    <cellStyle name="Dane wejściowe 2 6 17 2" xfId="11984"/>
    <cellStyle name="Dane wejściowe 2 6 17 3" xfId="11985"/>
    <cellStyle name="Dane wejściowe 2 6 17 4" xfId="11986"/>
    <cellStyle name="Dane wejściowe 2 6 18" xfId="11987"/>
    <cellStyle name="Dane wejściowe 2 6 18 2" xfId="11988"/>
    <cellStyle name="Dane wejściowe 2 6 18 3" xfId="11989"/>
    <cellStyle name="Dane wejściowe 2 6 18 4" xfId="11990"/>
    <cellStyle name="Dane wejściowe 2 6 19" xfId="11991"/>
    <cellStyle name="Dane wejściowe 2 6 19 2" xfId="11992"/>
    <cellStyle name="Dane wejściowe 2 6 19 3" xfId="11993"/>
    <cellStyle name="Dane wejściowe 2 6 19 4" xfId="11994"/>
    <cellStyle name="Dane wejściowe 2 6 2" xfId="11995"/>
    <cellStyle name="Dane wejściowe 2 6 2 2" xfId="11996"/>
    <cellStyle name="Dane wejściowe 2 6 2 3" xfId="11997"/>
    <cellStyle name="Dane wejściowe 2 6 2 4" xfId="11998"/>
    <cellStyle name="Dane wejściowe 2 6 20" xfId="11999"/>
    <cellStyle name="Dane wejściowe 2 6 20 2" xfId="12000"/>
    <cellStyle name="Dane wejściowe 2 6 20 3" xfId="12001"/>
    <cellStyle name="Dane wejściowe 2 6 20 4" xfId="12002"/>
    <cellStyle name="Dane wejściowe 2 6 21" xfId="12003"/>
    <cellStyle name="Dane wejściowe 2 6 21 2" xfId="12004"/>
    <cellStyle name="Dane wejściowe 2 6 21 3" xfId="12005"/>
    <cellStyle name="Dane wejściowe 2 6 22" xfId="12006"/>
    <cellStyle name="Dane wejściowe 2 6 22 2" xfId="12007"/>
    <cellStyle name="Dane wejściowe 2 6 22 3" xfId="12008"/>
    <cellStyle name="Dane wejściowe 2 6 23" xfId="12009"/>
    <cellStyle name="Dane wejściowe 2 6 23 2" xfId="12010"/>
    <cellStyle name="Dane wejściowe 2 6 23 3" xfId="12011"/>
    <cellStyle name="Dane wejściowe 2 6 24" xfId="12012"/>
    <cellStyle name="Dane wejściowe 2 6 24 2" xfId="12013"/>
    <cellStyle name="Dane wejściowe 2 6 24 3" xfId="12014"/>
    <cellStyle name="Dane wejściowe 2 6 25" xfId="12015"/>
    <cellStyle name="Dane wejściowe 2 6 25 2" xfId="12016"/>
    <cellStyle name="Dane wejściowe 2 6 25 3" xfId="12017"/>
    <cellStyle name="Dane wejściowe 2 6 26" xfId="12018"/>
    <cellStyle name="Dane wejściowe 2 6 26 2" xfId="12019"/>
    <cellStyle name="Dane wejściowe 2 6 26 3" xfId="12020"/>
    <cellStyle name="Dane wejściowe 2 6 27" xfId="12021"/>
    <cellStyle name="Dane wejściowe 2 6 27 2" xfId="12022"/>
    <cellStyle name="Dane wejściowe 2 6 27 3" xfId="12023"/>
    <cellStyle name="Dane wejściowe 2 6 28" xfId="12024"/>
    <cellStyle name="Dane wejściowe 2 6 28 2" xfId="12025"/>
    <cellStyle name="Dane wejściowe 2 6 28 3" xfId="12026"/>
    <cellStyle name="Dane wejściowe 2 6 29" xfId="12027"/>
    <cellStyle name="Dane wejściowe 2 6 29 2" xfId="12028"/>
    <cellStyle name="Dane wejściowe 2 6 29 3" xfId="12029"/>
    <cellStyle name="Dane wejściowe 2 6 3" xfId="12030"/>
    <cellStyle name="Dane wejściowe 2 6 3 2" xfId="12031"/>
    <cellStyle name="Dane wejściowe 2 6 3 3" xfId="12032"/>
    <cellStyle name="Dane wejściowe 2 6 3 4" xfId="12033"/>
    <cellStyle name="Dane wejściowe 2 6 30" xfId="12034"/>
    <cellStyle name="Dane wejściowe 2 6 30 2" xfId="12035"/>
    <cellStyle name="Dane wejściowe 2 6 30 3" xfId="12036"/>
    <cellStyle name="Dane wejściowe 2 6 31" xfId="12037"/>
    <cellStyle name="Dane wejściowe 2 6 31 2" xfId="12038"/>
    <cellStyle name="Dane wejściowe 2 6 31 3" xfId="12039"/>
    <cellStyle name="Dane wejściowe 2 6 32" xfId="12040"/>
    <cellStyle name="Dane wejściowe 2 6 32 2" xfId="12041"/>
    <cellStyle name="Dane wejściowe 2 6 32 3" xfId="12042"/>
    <cellStyle name="Dane wejściowe 2 6 33" xfId="12043"/>
    <cellStyle name="Dane wejściowe 2 6 33 2" xfId="12044"/>
    <cellStyle name="Dane wejściowe 2 6 33 3" xfId="12045"/>
    <cellStyle name="Dane wejściowe 2 6 34" xfId="12046"/>
    <cellStyle name="Dane wejściowe 2 6 34 2" xfId="12047"/>
    <cellStyle name="Dane wejściowe 2 6 34 3" xfId="12048"/>
    <cellStyle name="Dane wejściowe 2 6 35" xfId="12049"/>
    <cellStyle name="Dane wejściowe 2 6 35 2" xfId="12050"/>
    <cellStyle name="Dane wejściowe 2 6 35 3" xfId="12051"/>
    <cellStyle name="Dane wejściowe 2 6 36" xfId="12052"/>
    <cellStyle name="Dane wejściowe 2 6 36 2" xfId="12053"/>
    <cellStyle name="Dane wejściowe 2 6 36 3" xfId="12054"/>
    <cellStyle name="Dane wejściowe 2 6 37" xfId="12055"/>
    <cellStyle name="Dane wejściowe 2 6 37 2" xfId="12056"/>
    <cellStyle name="Dane wejściowe 2 6 37 3" xfId="12057"/>
    <cellStyle name="Dane wejściowe 2 6 38" xfId="12058"/>
    <cellStyle name="Dane wejściowe 2 6 38 2" xfId="12059"/>
    <cellStyle name="Dane wejściowe 2 6 38 3" xfId="12060"/>
    <cellStyle name="Dane wejściowe 2 6 39" xfId="12061"/>
    <cellStyle name="Dane wejściowe 2 6 39 2" xfId="12062"/>
    <cellStyle name="Dane wejściowe 2 6 39 3" xfId="12063"/>
    <cellStyle name="Dane wejściowe 2 6 4" xfId="12064"/>
    <cellStyle name="Dane wejściowe 2 6 4 2" xfId="12065"/>
    <cellStyle name="Dane wejściowe 2 6 4 3" xfId="12066"/>
    <cellStyle name="Dane wejściowe 2 6 4 4" xfId="12067"/>
    <cellStyle name="Dane wejściowe 2 6 40" xfId="12068"/>
    <cellStyle name="Dane wejściowe 2 6 40 2" xfId="12069"/>
    <cellStyle name="Dane wejściowe 2 6 40 3" xfId="12070"/>
    <cellStyle name="Dane wejściowe 2 6 41" xfId="12071"/>
    <cellStyle name="Dane wejściowe 2 6 41 2" xfId="12072"/>
    <cellStyle name="Dane wejściowe 2 6 41 3" xfId="12073"/>
    <cellStyle name="Dane wejściowe 2 6 42" xfId="12074"/>
    <cellStyle name="Dane wejściowe 2 6 42 2" xfId="12075"/>
    <cellStyle name="Dane wejściowe 2 6 42 3" xfId="12076"/>
    <cellStyle name="Dane wejściowe 2 6 43" xfId="12077"/>
    <cellStyle name="Dane wejściowe 2 6 43 2" xfId="12078"/>
    <cellStyle name="Dane wejściowe 2 6 43 3" xfId="12079"/>
    <cellStyle name="Dane wejściowe 2 6 44" xfId="12080"/>
    <cellStyle name="Dane wejściowe 2 6 44 2" xfId="12081"/>
    <cellStyle name="Dane wejściowe 2 6 44 3" xfId="12082"/>
    <cellStyle name="Dane wejściowe 2 6 45" xfId="12083"/>
    <cellStyle name="Dane wejściowe 2 6 45 2" xfId="12084"/>
    <cellStyle name="Dane wejściowe 2 6 45 3" xfId="12085"/>
    <cellStyle name="Dane wejściowe 2 6 46" xfId="12086"/>
    <cellStyle name="Dane wejściowe 2 6 46 2" xfId="12087"/>
    <cellStyle name="Dane wejściowe 2 6 46 3" xfId="12088"/>
    <cellStyle name="Dane wejściowe 2 6 47" xfId="12089"/>
    <cellStyle name="Dane wejściowe 2 6 47 2" xfId="12090"/>
    <cellStyle name="Dane wejściowe 2 6 47 3" xfId="12091"/>
    <cellStyle name="Dane wejściowe 2 6 48" xfId="12092"/>
    <cellStyle name="Dane wejściowe 2 6 48 2" xfId="12093"/>
    <cellStyle name="Dane wejściowe 2 6 48 3" xfId="12094"/>
    <cellStyle name="Dane wejściowe 2 6 49" xfId="12095"/>
    <cellStyle name="Dane wejściowe 2 6 49 2" xfId="12096"/>
    <cellStyle name="Dane wejściowe 2 6 49 3" xfId="12097"/>
    <cellStyle name="Dane wejściowe 2 6 5" xfId="12098"/>
    <cellStyle name="Dane wejściowe 2 6 5 2" xfId="12099"/>
    <cellStyle name="Dane wejściowe 2 6 5 3" xfId="12100"/>
    <cellStyle name="Dane wejściowe 2 6 5 4" xfId="12101"/>
    <cellStyle name="Dane wejściowe 2 6 50" xfId="12102"/>
    <cellStyle name="Dane wejściowe 2 6 50 2" xfId="12103"/>
    <cellStyle name="Dane wejściowe 2 6 50 3" xfId="12104"/>
    <cellStyle name="Dane wejściowe 2 6 51" xfId="12105"/>
    <cellStyle name="Dane wejściowe 2 6 51 2" xfId="12106"/>
    <cellStyle name="Dane wejściowe 2 6 51 3" xfId="12107"/>
    <cellStyle name="Dane wejściowe 2 6 52" xfId="12108"/>
    <cellStyle name="Dane wejściowe 2 6 52 2" xfId="12109"/>
    <cellStyle name="Dane wejściowe 2 6 52 3" xfId="12110"/>
    <cellStyle name="Dane wejściowe 2 6 53" xfId="12111"/>
    <cellStyle name="Dane wejściowe 2 6 53 2" xfId="12112"/>
    <cellStyle name="Dane wejściowe 2 6 53 3" xfId="12113"/>
    <cellStyle name="Dane wejściowe 2 6 54" xfId="12114"/>
    <cellStyle name="Dane wejściowe 2 6 54 2" xfId="12115"/>
    <cellStyle name="Dane wejściowe 2 6 54 3" xfId="12116"/>
    <cellStyle name="Dane wejściowe 2 6 55" xfId="12117"/>
    <cellStyle name="Dane wejściowe 2 6 55 2" xfId="12118"/>
    <cellStyle name="Dane wejściowe 2 6 55 3" xfId="12119"/>
    <cellStyle name="Dane wejściowe 2 6 56" xfId="12120"/>
    <cellStyle name="Dane wejściowe 2 6 56 2" xfId="12121"/>
    <cellStyle name="Dane wejściowe 2 6 56 3" xfId="12122"/>
    <cellStyle name="Dane wejściowe 2 6 57" xfId="12123"/>
    <cellStyle name="Dane wejściowe 2 6 58" xfId="12124"/>
    <cellStyle name="Dane wejściowe 2 6 6" xfId="12125"/>
    <cellStyle name="Dane wejściowe 2 6 6 2" xfId="12126"/>
    <cellStyle name="Dane wejściowe 2 6 6 3" xfId="12127"/>
    <cellStyle name="Dane wejściowe 2 6 6 4" xfId="12128"/>
    <cellStyle name="Dane wejściowe 2 6 7" xfId="12129"/>
    <cellStyle name="Dane wejściowe 2 6 7 2" xfId="12130"/>
    <cellStyle name="Dane wejściowe 2 6 7 3" xfId="12131"/>
    <cellStyle name="Dane wejściowe 2 6 7 4" xfId="12132"/>
    <cellStyle name="Dane wejściowe 2 6 8" xfId="12133"/>
    <cellStyle name="Dane wejściowe 2 6 8 2" xfId="12134"/>
    <cellStyle name="Dane wejściowe 2 6 8 3" xfId="12135"/>
    <cellStyle name="Dane wejściowe 2 6 8 4" xfId="12136"/>
    <cellStyle name="Dane wejściowe 2 6 9" xfId="12137"/>
    <cellStyle name="Dane wejściowe 2 6 9 2" xfId="12138"/>
    <cellStyle name="Dane wejściowe 2 6 9 3" xfId="12139"/>
    <cellStyle name="Dane wejściowe 2 6 9 4" xfId="12140"/>
    <cellStyle name="Dane wejściowe 2 60" xfId="12141"/>
    <cellStyle name="Dane wejściowe 2 60 2" xfId="12142"/>
    <cellStyle name="Dane wejściowe 2 60 3" xfId="12143"/>
    <cellStyle name="Dane wejściowe 2 61" xfId="12144"/>
    <cellStyle name="Dane wejściowe 2 61 2" xfId="12145"/>
    <cellStyle name="Dane wejściowe 2 61 3" xfId="12146"/>
    <cellStyle name="Dane wejściowe 2 62" xfId="12147"/>
    <cellStyle name="Dane wejściowe 2 62 2" xfId="12148"/>
    <cellStyle name="Dane wejściowe 2 62 3" xfId="12149"/>
    <cellStyle name="Dane wejściowe 2 63" xfId="12150"/>
    <cellStyle name="Dane wejściowe 2 63 2" xfId="12151"/>
    <cellStyle name="Dane wejściowe 2 63 3" xfId="12152"/>
    <cellStyle name="Dane wejściowe 2 64" xfId="12153"/>
    <cellStyle name="Dane wejściowe 2 64 2" xfId="12154"/>
    <cellStyle name="Dane wejściowe 2 64 3" xfId="12155"/>
    <cellStyle name="Dane wejściowe 2 65" xfId="12156"/>
    <cellStyle name="Dane wejściowe 2 65 2" xfId="12157"/>
    <cellStyle name="Dane wejściowe 2 65 3" xfId="12158"/>
    <cellStyle name="Dane wejściowe 2 66" xfId="12159"/>
    <cellStyle name="Dane wejściowe 2 66 2" xfId="12160"/>
    <cellStyle name="Dane wejściowe 2 66 3" xfId="12161"/>
    <cellStyle name="Dane wejściowe 2 67" xfId="12162"/>
    <cellStyle name="Dane wejściowe 2 67 2" xfId="12163"/>
    <cellStyle name="Dane wejściowe 2 67 3" xfId="12164"/>
    <cellStyle name="Dane wejściowe 2 68" xfId="12165"/>
    <cellStyle name="Dane wejściowe 2 68 2" xfId="12166"/>
    <cellStyle name="Dane wejściowe 2 68 3" xfId="12167"/>
    <cellStyle name="Dane wejściowe 2 69" xfId="12168"/>
    <cellStyle name="Dane wejściowe 2 69 2" xfId="12169"/>
    <cellStyle name="Dane wejściowe 2 69 3" xfId="12170"/>
    <cellStyle name="Dane wejściowe 2 7" xfId="12171"/>
    <cellStyle name="Dane wejściowe 2 7 10" xfId="12172"/>
    <cellStyle name="Dane wejściowe 2 7 10 2" xfId="12173"/>
    <cellStyle name="Dane wejściowe 2 7 10 3" xfId="12174"/>
    <cellStyle name="Dane wejściowe 2 7 10 4" xfId="12175"/>
    <cellStyle name="Dane wejściowe 2 7 11" xfId="12176"/>
    <cellStyle name="Dane wejściowe 2 7 11 2" xfId="12177"/>
    <cellStyle name="Dane wejściowe 2 7 11 3" xfId="12178"/>
    <cellStyle name="Dane wejściowe 2 7 11 4" xfId="12179"/>
    <cellStyle name="Dane wejściowe 2 7 12" xfId="12180"/>
    <cellStyle name="Dane wejściowe 2 7 12 2" xfId="12181"/>
    <cellStyle name="Dane wejściowe 2 7 12 3" xfId="12182"/>
    <cellStyle name="Dane wejściowe 2 7 12 4" xfId="12183"/>
    <cellStyle name="Dane wejściowe 2 7 13" xfId="12184"/>
    <cellStyle name="Dane wejściowe 2 7 13 2" xfId="12185"/>
    <cellStyle name="Dane wejściowe 2 7 13 3" xfId="12186"/>
    <cellStyle name="Dane wejściowe 2 7 13 4" xfId="12187"/>
    <cellStyle name="Dane wejściowe 2 7 14" xfId="12188"/>
    <cellStyle name="Dane wejściowe 2 7 14 2" xfId="12189"/>
    <cellStyle name="Dane wejściowe 2 7 14 3" xfId="12190"/>
    <cellStyle name="Dane wejściowe 2 7 14 4" xfId="12191"/>
    <cellStyle name="Dane wejściowe 2 7 15" xfId="12192"/>
    <cellStyle name="Dane wejściowe 2 7 15 2" xfId="12193"/>
    <cellStyle name="Dane wejściowe 2 7 15 3" xfId="12194"/>
    <cellStyle name="Dane wejściowe 2 7 15 4" xfId="12195"/>
    <cellStyle name="Dane wejściowe 2 7 16" xfId="12196"/>
    <cellStyle name="Dane wejściowe 2 7 16 2" xfId="12197"/>
    <cellStyle name="Dane wejściowe 2 7 16 3" xfId="12198"/>
    <cellStyle name="Dane wejściowe 2 7 16 4" xfId="12199"/>
    <cellStyle name="Dane wejściowe 2 7 17" xfId="12200"/>
    <cellStyle name="Dane wejściowe 2 7 17 2" xfId="12201"/>
    <cellStyle name="Dane wejściowe 2 7 17 3" xfId="12202"/>
    <cellStyle name="Dane wejściowe 2 7 17 4" xfId="12203"/>
    <cellStyle name="Dane wejściowe 2 7 18" xfId="12204"/>
    <cellStyle name="Dane wejściowe 2 7 18 2" xfId="12205"/>
    <cellStyle name="Dane wejściowe 2 7 18 3" xfId="12206"/>
    <cellStyle name="Dane wejściowe 2 7 18 4" xfId="12207"/>
    <cellStyle name="Dane wejściowe 2 7 19" xfId="12208"/>
    <cellStyle name="Dane wejściowe 2 7 19 2" xfId="12209"/>
    <cellStyle name="Dane wejściowe 2 7 19 3" xfId="12210"/>
    <cellStyle name="Dane wejściowe 2 7 19 4" xfId="12211"/>
    <cellStyle name="Dane wejściowe 2 7 2" xfId="12212"/>
    <cellStyle name="Dane wejściowe 2 7 2 2" xfId="12213"/>
    <cellStyle name="Dane wejściowe 2 7 2 3" xfId="12214"/>
    <cellStyle name="Dane wejściowe 2 7 2 4" xfId="12215"/>
    <cellStyle name="Dane wejściowe 2 7 20" xfId="12216"/>
    <cellStyle name="Dane wejściowe 2 7 20 2" xfId="12217"/>
    <cellStyle name="Dane wejściowe 2 7 20 3" xfId="12218"/>
    <cellStyle name="Dane wejściowe 2 7 20 4" xfId="12219"/>
    <cellStyle name="Dane wejściowe 2 7 21" xfId="12220"/>
    <cellStyle name="Dane wejściowe 2 7 21 2" xfId="12221"/>
    <cellStyle name="Dane wejściowe 2 7 21 3" xfId="12222"/>
    <cellStyle name="Dane wejściowe 2 7 22" xfId="12223"/>
    <cellStyle name="Dane wejściowe 2 7 22 2" xfId="12224"/>
    <cellStyle name="Dane wejściowe 2 7 22 3" xfId="12225"/>
    <cellStyle name="Dane wejściowe 2 7 23" xfId="12226"/>
    <cellStyle name="Dane wejściowe 2 7 23 2" xfId="12227"/>
    <cellStyle name="Dane wejściowe 2 7 23 3" xfId="12228"/>
    <cellStyle name="Dane wejściowe 2 7 24" xfId="12229"/>
    <cellStyle name="Dane wejściowe 2 7 24 2" xfId="12230"/>
    <cellStyle name="Dane wejściowe 2 7 24 3" xfId="12231"/>
    <cellStyle name="Dane wejściowe 2 7 25" xfId="12232"/>
    <cellStyle name="Dane wejściowe 2 7 25 2" xfId="12233"/>
    <cellStyle name="Dane wejściowe 2 7 25 3" xfId="12234"/>
    <cellStyle name="Dane wejściowe 2 7 26" xfId="12235"/>
    <cellStyle name="Dane wejściowe 2 7 26 2" xfId="12236"/>
    <cellStyle name="Dane wejściowe 2 7 26 3" xfId="12237"/>
    <cellStyle name="Dane wejściowe 2 7 27" xfId="12238"/>
    <cellStyle name="Dane wejściowe 2 7 27 2" xfId="12239"/>
    <cellStyle name="Dane wejściowe 2 7 27 3" xfId="12240"/>
    <cellStyle name="Dane wejściowe 2 7 28" xfId="12241"/>
    <cellStyle name="Dane wejściowe 2 7 28 2" xfId="12242"/>
    <cellStyle name="Dane wejściowe 2 7 28 3" xfId="12243"/>
    <cellStyle name="Dane wejściowe 2 7 29" xfId="12244"/>
    <cellStyle name="Dane wejściowe 2 7 29 2" xfId="12245"/>
    <cellStyle name="Dane wejściowe 2 7 29 3" xfId="12246"/>
    <cellStyle name="Dane wejściowe 2 7 3" xfId="12247"/>
    <cellStyle name="Dane wejściowe 2 7 3 2" xfId="12248"/>
    <cellStyle name="Dane wejściowe 2 7 3 3" xfId="12249"/>
    <cellStyle name="Dane wejściowe 2 7 3 4" xfId="12250"/>
    <cellStyle name="Dane wejściowe 2 7 30" xfId="12251"/>
    <cellStyle name="Dane wejściowe 2 7 30 2" xfId="12252"/>
    <cellStyle name="Dane wejściowe 2 7 30 3" xfId="12253"/>
    <cellStyle name="Dane wejściowe 2 7 31" xfId="12254"/>
    <cellStyle name="Dane wejściowe 2 7 31 2" xfId="12255"/>
    <cellStyle name="Dane wejściowe 2 7 31 3" xfId="12256"/>
    <cellStyle name="Dane wejściowe 2 7 32" xfId="12257"/>
    <cellStyle name="Dane wejściowe 2 7 32 2" xfId="12258"/>
    <cellStyle name="Dane wejściowe 2 7 32 3" xfId="12259"/>
    <cellStyle name="Dane wejściowe 2 7 33" xfId="12260"/>
    <cellStyle name="Dane wejściowe 2 7 33 2" xfId="12261"/>
    <cellStyle name="Dane wejściowe 2 7 33 3" xfId="12262"/>
    <cellStyle name="Dane wejściowe 2 7 34" xfId="12263"/>
    <cellStyle name="Dane wejściowe 2 7 34 2" xfId="12264"/>
    <cellStyle name="Dane wejściowe 2 7 34 3" xfId="12265"/>
    <cellStyle name="Dane wejściowe 2 7 35" xfId="12266"/>
    <cellStyle name="Dane wejściowe 2 7 35 2" xfId="12267"/>
    <cellStyle name="Dane wejściowe 2 7 35 3" xfId="12268"/>
    <cellStyle name="Dane wejściowe 2 7 36" xfId="12269"/>
    <cellStyle name="Dane wejściowe 2 7 36 2" xfId="12270"/>
    <cellStyle name="Dane wejściowe 2 7 36 3" xfId="12271"/>
    <cellStyle name="Dane wejściowe 2 7 37" xfId="12272"/>
    <cellStyle name="Dane wejściowe 2 7 37 2" xfId="12273"/>
    <cellStyle name="Dane wejściowe 2 7 37 3" xfId="12274"/>
    <cellStyle name="Dane wejściowe 2 7 38" xfId="12275"/>
    <cellStyle name="Dane wejściowe 2 7 38 2" xfId="12276"/>
    <cellStyle name="Dane wejściowe 2 7 38 3" xfId="12277"/>
    <cellStyle name="Dane wejściowe 2 7 39" xfId="12278"/>
    <cellStyle name="Dane wejściowe 2 7 39 2" xfId="12279"/>
    <cellStyle name="Dane wejściowe 2 7 39 3" xfId="12280"/>
    <cellStyle name="Dane wejściowe 2 7 4" xfId="12281"/>
    <cellStyle name="Dane wejściowe 2 7 4 2" xfId="12282"/>
    <cellStyle name="Dane wejściowe 2 7 4 3" xfId="12283"/>
    <cellStyle name="Dane wejściowe 2 7 4 4" xfId="12284"/>
    <cellStyle name="Dane wejściowe 2 7 40" xfId="12285"/>
    <cellStyle name="Dane wejściowe 2 7 40 2" xfId="12286"/>
    <cellStyle name="Dane wejściowe 2 7 40 3" xfId="12287"/>
    <cellStyle name="Dane wejściowe 2 7 41" xfId="12288"/>
    <cellStyle name="Dane wejściowe 2 7 41 2" xfId="12289"/>
    <cellStyle name="Dane wejściowe 2 7 41 3" xfId="12290"/>
    <cellStyle name="Dane wejściowe 2 7 42" xfId="12291"/>
    <cellStyle name="Dane wejściowe 2 7 42 2" xfId="12292"/>
    <cellStyle name="Dane wejściowe 2 7 42 3" xfId="12293"/>
    <cellStyle name="Dane wejściowe 2 7 43" xfId="12294"/>
    <cellStyle name="Dane wejściowe 2 7 43 2" xfId="12295"/>
    <cellStyle name="Dane wejściowe 2 7 43 3" xfId="12296"/>
    <cellStyle name="Dane wejściowe 2 7 44" xfId="12297"/>
    <cellStyle name="Dane wejściowe 2 7 44 2" xfId="12298"/>
    <cellStyle name="Dane wejściowe 2 7 44 3" xfId="12299"/>
    <cellStyle name="Dane wejściowe 2 7 45" xfId="12300"/>
    <cellStyle name="Dane wejściowe 2 7 45 2" xfId="12301"/>
    <cellStyle name="Dane wejściowe 2 7 45 3" xfId="12302"/>
    <cellStyle name="Dane wejściowe 2 7 46" xfId="12303"/>
    <cellStyle name="Dane wejściowe 2 7 46 2" xfId="12304"/>
    <cellStyle name="Dane wejściowe 2 7 46 3" xfId="12305"/>
    <cellStyle name="Dane wejściowe 2 7 47" xfId="12306"/>
    <cellStyle name="Dane wejściowe 2 7 47 2" xfId="12307"/>
    <cellStyle name="Dane wejściowe 2 7 47 3" xfId="12308"/>
    <cellStyle name="Dane wejściowe 2 7 48" xfId="12309"/>
    <cellStyle name="Dane wejściowe 2 7 48 2" xfId="12310"/>
    <cellStyle name="Dane wejściowe 2 7 48 3" xfId="12311"/>
    <cellStyle name="Dane wejściowe 2 7 49" xfId="12312"/>
    <cellStyle name="Dane wejściowe 2 7 49 2" xfId="12313"/>
    <cellStyle name="Dane wejściowe 2 7 49 3" xfId="12314"/>
    <cellStyle name="Dane wejściowe 2 7 5" xfId="12315"/>
    <cellStyle name="Dane wejściowe 2 7 5 2" xfId="12316"/>
    <cellStyle name="Dane wejściowe 2 7 5 3" xfId="12317"/>
    <cellStyle name="Dane wejściowe 2 7 5 4" xfId="12318"/>
    <cellStyle name="Dane wejściowe 2 7 50" xfId="12319"/>
    <cellStyle name="Dane wejściowe 2 7 50 2" xfId="12320"/>
    <cellStyle name="Dane wejściowe 2 7 50 3" xfId="12321"/>
    <cellStyle name="Dane wejściowe 2 7 51" xfId="12322"/>
    <cellStyle name="Dane wejściowe 2 7 51 2" xfId="12323"/>
    <cellStyle name="Dane wejściowe 2 7 51 3" xfId="12324"/>
    <cellStyle name="Dane wejściowe 2 7 52" xfId="12325"/>
    <cellStyle name="Dane wejściowe 2 7 52 2" xfId="12326"/>
    <cellStyle name="Dane wejściowe 2 7 52 3" xfId="12327"/>
    <cellStyle name="Dane wejściowe 2 7 53" xfId="12328"/>
    <cellStyle name="Dane wejściowe 2 7 53 2" xfId="12329"/>
    <cellStyle name="Dane wejściowe 2 7 53 3" xfId="12330"/>
    <cellStyle name="Dane wejściowe 2 7 54" xfId="12331"/>
    <cellStyle name="Dane wejściowe 2 7 54 2" xfId="12332"/>
    <cellStyle name="Dane wejściowe 2 7 54 3" xfId="12333"/>
    <cellStyle name="Dane wejściowe 2 7 55" xfId="12334"/>
    <cellStyle name="Dane wejściowe 2 7 55 2" xfId="12335"/>
    <cellStyle name="Dane wejściowe 2 7 55 3" xfId="12336"/>
    <cellStyle name="Dane wejściowe 2 7 56" xfId="12337"/>
    <cellStyle name="Dane wejściowe 2 7 56 2" xfId="12338"/>
    <cellStyle name="Dane wejściowe 2 7 56 3" xfId="12339"/>
    <cellStyle name="Dane wejściowe 2 7 57" xfId="12340"/>
    <cellStyle name="Dane wejściowe 2 7 58" xfId="12341"/>
    <cellStyle name="Dane wejściowe 2 7 6" xfId="12342"/>
    <cellStyle name="Dane wejściowe 2 7 6 2" xfId="12343"/>
    <cellStyle name="Dane wejściowe 2 7 6 3" xfId="12344"/>
    <cellStyle name="Dane wejściowe 2 7 6 4" xfId="12345"/>
    <cellStyle name="Dane wejściowe 2 7 7" xfId="12346"/>
    <cellStyle name="Dane wejściowe 2 7 7 2" xfId="12347"/>
    <cellStyle name="Dane wejściowe 2 7 7 3" xfId="12348"/>
    <cellStyle name="Dane wejściowe 2 7 7 4" xfId="12349"/>
    <cellStyle name="Dane wejściowe 2 7 8" xfId="12350"/>
    <cellStyle name="Dane wejściowe 2 7 8 2" xfId="12351"/>
    <cellStyle name="Dane wejściowe 2 7 8 3" xfId="12352"/>
    <cellStyle name="Dane wejściowe 2 7 8 4" xfId="12353"/>
    <cellStyle name="Dane wejściowe 2 7 9" xfId="12354"/>
    <cellStyle name="Dane wejściowe 2 7 9 2" xfId="12355"/>
    <cellStyle name="Dane wejściowe 2 7 9 3" xfId="12356"/>
    <cellStyle name="Dane wejściowe 2 7 9 4" xfId="12357"/>
    <cellStyle name="Dane wejściowe 2 70" xfId="12358"/>
    <cellStyle name="Dane wejściowe 2 70 2" xfId="12359"/>
    <cellStyle name="Dane wejściowe 2 70 3" xfId="12360"/>
    <cellStyle name="Dane wejściowe 2 71" xfId="12361"/>
    <cellStyle name="Dane wejściowe 2 71 2" xfId="12362"/>
    <cellStyle name="Dane wejściowe 2 71 3" xfId="12363"/>
    <cellStyle name="Dane wejściowe 2 72" xfId="12364"/>
    <cellStyle name="Dane wejściowe 2 72 2" xfId="12365"/>
    <cellStyle name="Dane wejściowe 2 72 3" xfId="12366"/>
    <cellStyle name="Dane wejściowe 2 73" xfId="12367"/>
    <cellStyle name="Dane wejściowe 2 73 2" xfId="12368"/>
    <cellStyle name="Dane wejściowe 2 73 3" xfId="12369"/>
    <cellStyle name="Dane wejściowe 2 74" xfId="12370"/>
    <cellStyle name="Dane wejściowe 2 74 2" xfId="12371"/>
    <cellStyle name="Dane wejściowe 2 74 3" xfId="12372"/>
    <cellStyle name="Dane wejściowe 2 75" xfId="12373"/>
    <cellStyle name="Dane wejściowe 2 75 2" xfId="12374"/>
    <cellStyle name="Dane wejściowe 2 75 3" xfId="12375"/>
    <cellStyle name="Dane wejściowe 2 76" xfId="12376"/>
    <cellStyle name="Dane wejściowe 2 76 2" xfId="12377"/>
    <cellStyle name="Dane wejściowe 2 76 3" xfId="12378"/>
    <cellStyle name="Dane wejściowe 2 77" xfId="12379"/>
    <cellStyle name="Dane wejściowe 2 77 2" xfId="12380"/>
    <cellStyle name="Dane wejściowe 2 77 3" xfId="12381"/>
    <cellStyle name="Dane wejściowe 2 78" xfId="12382"/>
    <cellStyle name="Dane wejściowe 2 78 2" xfId="12383"/>
    <cellStyle name="Dane wejściowe 2 78 3" xfId="12384"/>
    <cellStyle name="Dane wejściowe 2 79" xfId="12385"/>
    <cellStyle name="Dane wejściowe 2 79 2" xfId="12386"/>
    <cellStyle name="Dane wejściowe 2 79 3" xfId="12387"/>
    <cellStyle name="Dane wejściowe 2 8" xfId="12388"/>
    <cellStyle name="Dane wejściowe 2 8 10" xfId="12389"/>
    <cellStyle name="Dane wejściowe 2 8 10 2" xfId="12390"/>
    <cellStyle name="Dane wejściowe 2 8 10 3" xfId="12391"/>
    <cellStyle name="Dane wejściowe 2 8 10 4" xfId="12392"/>
    <cellStyle name="Dane wejściowe 2 8 11" xfId="12393"/>
    <cellStyle name="Dane wejściowe 2 8 11 2" xfId="12394"/>
    <cellStyle name="Dane wejściowe 2 8 11 3" xfId="12395"/>
    <cellStyle name="Dane wejściowe 2 8 11 4" xfId="12396"/>
    <cellStyle name="Dane wejściowe 2 8 12" xfId="12397"/>
    <cellStyle name="Dane wejściowe 2 8 12 2" xfId="12398"/>
    <cellStyle name="Dane wejściowe 2 8 12 3" xfId="12399"/>
    <cellStyle name="Dane wejściowe 2 8 12 4" xfId="12400"/>
    <cellStyle name="Dane wejściowe 2 8 13" xfId="12401"/>
    <cellStyle name="Dane wejściowe 2 8 13 2" xfId="12402"/>
    <cellStyle name="Dane wejściowe 2 8 13 3" xfId="12403"/>
    <cellStyle name="Dane wejściowe 2 8 13 4" xfId="12404"/>
    <cellStyle name="Dane wejściowe 2 8 14" xfId="12405"/>
    <cellStyle name="Dane wejściowe 2 8 14 2" xfId="12406"/>
    <cellStyle name="Dane wejściowe 2 8 14 3" xfId="12407"/>
    <cellStyle name="Dane wejściowe 2 8 14 4" xfId="12408"/>
    <cellStyle name="Dane wejściowe 2 8 15" xfId="12409"/>
    <cellStyle name="Dane wejściowe 2 8 15 2" xfId="12410"/>
    <cellStyle name="Dane wejściowe 2 8 15 3" xfId="12411"/>
    <cellStyle name="Dane wejściowe 2 8 15 4" xfId="12412"/>
    <cellStyle name="Dane wejściowe 2 8 16" xfId="12413"/>
    <cellStyle name="Dane wejściowe 2 8 16 2" xfId="12414"/>
    <cellStyle name="Dane wejściowe 2 8 16 3" xfId="12415"/>
    <cellStyle name="Dane wejściowe 2 8 16 4" xfId="12416"/>
    <cellStyle name="Dane wejściowe 2 8 17" xfId="12417"/>
    <cellStyle name="Dane wejściowe 2 8 17 2" xfId="12418"/>
    <cellStyle name="Dane wejściowe 2 8 17 3" xfId="12419"/>
    <cellStyle name="Dane wejściowe 2 8 17 4" xfId="12420"/>
    <cellStyle name="Dane wejściowe 2 8 18" xfId="12421"/>
    <cellStyle name="Dane wejściowe 2 8 18 2" xfId="12422"/>
    <cellStyle name="Dane wejściowe 2 8 18 3" xfId="12423"/>
    <cellStyle name="Dane wejściowe 2 8 18 4" xfId="12424"/>
    <cellStyle name="Dane wejściowe 2 8 19" xfId="12425"/>
    <cellStyle name="Dane wejściowe 2 8 19 2" xfId="12426"/>
    <cellStyle name="Dane wejściowe 2 8 19 3" xfId="12427"/>
    <cellStyle name="Dane wejściowe 2 8 19 4" xfId="12428"/>
    <cellStyle name="Dane wejściowe 2 8 2" xfId="12429"/>
    <cellStyle name="Dane wejściowe 2 8 2 2" xfId="12430"/>
    <cellStyle name="Dane wejściowe 2 8 2 3" xfId="12431"/>
    <cellStyle name="Dane wejściowe 2 8 2 4" xfId="12432"/>
    <cellStyle name="Dane wejściowe 2 8 20" xfId="12433"/>
    <cellStyle name="Dane wejściowe 2 8 20 2" xfId="12434"/>
    <cellStyle name="Dane wejściowe 2 8 20 3" xfId="12435"/>
    <cellStyle name="Dane wejściowe 2 8 20 4" xfId="12436"/>
    <cellStyle name="Dane wejściowe 2 8 21" xfId="12437"/>
    <cellStyle name="Dane wejściowe 2 8 21 2" xfId="12438"/>
    <cellStyle name="Dane wejściowe 2 8 21 3" xfId="12439"/>
    <cellStyle name="Dane wejściowe 2 8 22" xfId="12440"/>
    <cellStyle name="Dane wejściowe 2 8 22 2" xfId="12441"/>
    <cellStyle name="Dane wejściowe 2 8 22 3" xfId="12442"/>
    <cellStyle name="Dane wejściowe 2 8 23" xfId="12443"/>
    <cellStyle name="Dane wejściowe 2 8 23 2" xfId="12444"/>
    <cellStyle name="Dane wejściowe 2 8 23 3" xfId="12445"/>
    <cellStyle name="Dane wejściowe 2 8 24" xfId="12446"/>
    <cellStyle name="Dane wejściowe 2 8 24 2" xfId="12447"/>
    <cellStyle name="Dane wejściowe 2 8 24 3" xfId="12448"/>
    <cellStyle name="Dane wejściowe 2 8 25" xfId="12449"/>
    <cellStyle name="Dane wejściowe 2 8 25 2" xfId="12450"/>
    <cellStyle name="Dane wejściowe 2 8 25 3" xfId="12451"/>
    <cellStyle name="Dane wejściowe 2 8 26" xfId="12452"/>
    <cellStyle name="Dane wejściowe 2 8 26 2" xfId="12453"/>
    <cellStyle name="Dane wejściowe 2 8 26 3" xfId="12454"/>
    <cellStyle name="Dane wejściowe 2 8 27" xfId="12455"/>
    <cellStyle name="Dane wejściowe 2 8 27 2" xfId="12456"/>
    <cellStyle name="Dane wejściowe 2 8 27 3" xfId="12457"/>
    <cellStyle name="Dane wejściowe 2 8 28" xfId="12458"/>
    <cellStyle name="Dane wejściowe 2 8 28 2" xfId="12459"/>
    <cellStyle name="Dane wejściowe 2 8 28 3" xfId="12460"/>
    <cellStyle name="Dane wejściowe 2 8 29" xfId="12461"/>
    <cellStyle name="Dane wejściowe 2 8 29 2" xfId="12462"/>
    <cellStyle name="Dane wejściowe 2 8 29 3" xfId="12463"/>
    <cellStyle name="Dane wejściowe 2 8 3" xfId="12464"/>
    <cellStyle name="Dane wejściowe 2 8 3 2" xfId="12465"/>
    <cellStyle name="Dane wejściowe 2 8 3 3" xfId="12466"/>
    <cellStyle name="Dane wejściowe 2 8 3 4" xfId="12467"/>
    <cellStyle name="Dane wejściowe 2 8 30" xfId="12468"/>
    <cellStyle name="Dane wejściowe 2 8 30 2" xfId="12469"/>
    <cellStyle name="Dane wejściowe 2 8 30 3" xfId="12470"/>
    <cellStyle name="Dane wejściowe 2 8 31" xfId="12471"/>
    <cellStyle name="Dane wejściowe 2 8 31 2" xfId="12472"/>
    <cellStyle name="Dane wejściowe 2 8 31 3" xfId="12473"/>
    <cellStyle name="Dane wejściowe 2 8 32" xfId="12474"/>
    <cellStyle name="Dane wejściowe 2 8 32 2" xfId="12475"/>
    <cellStyle name="Dane wejściowe 2 8 32 3" xfId="12476"/>
    <cellStyle name="Dane wejściowe 2 8 33" xfId="12477"/>
    <cellStyle name="Dane wejściowe 2 8 33 2" xfId="12478"/>
    <cellStyle name="Dane wejściowe 2 8 33 3" xfId="12479"/>
    <cellStyle name="Dane wejściowe 2 8 34" xfId="12480"/>
    <cellStyle name="Dane wejściowe 2 8 34 2" xfId="12481"/>
    <cellStyle name="Dane wejściowe 2 8 34 3" xfId="12482"/>
    <cellStyle name="Dane wejściowe 2 8 35" xfId="12483"/>
    <cellStyle name="Dane wejściowe 2 8 35 2" xfId="12484"/>
    <cellStyle name="Dane wejściowe 2 8 35 3" xfId="12485"/>
    <cellStyle name="Dane wejściowe 2 8 36" xfId="12486"/>
    <cellStyle name="Dane wejściowe 2 8 36 2" xfId="12487"/>
    <cellStyle name="Dane wejściowe 2 8 36 3" xfId="12488"/>
    <cellStyle name="Dane wejściowe 2 8 37" xfId="12489"/>
    <cellStyle name="Dane wejściowe 2 8 37 2" xfId="12490"/>
    <cellStyle name="Dane wejściowe 2 8 37 3" xfId="12491"/>
    <cellStyle name="Dane wejściowe 2 8 38" xfId="12492"/>
    <cellStyle name="Dane wejściowe 2 8 38 2" xfId="12493"/>
    <cellStyle name="Dane wejściowe 2 8 38 3" xfId="12494"/>
    <cellStyle name="Dane wejściowe 2 8 39" xfId="12495"/>
    <cellStyle name="Dane wejściowe 2 8 39 2" xfId="12496"/>
    <cellStyle name="Dane wejściowe 2 8 39 3" xfId="12497"/>
    <cellStyle name="Dane wejściowe 2 8 4" xfId="12498"/>
    <cellStyle name="Dane wejściowe 2 8 4 2" xfId="12499"/>
    <cellStyle name="Dane wejściowe 2 8 4 3" xfId="12500"/>
    <cellStyle name="Dane wejściowe 2 8 4 4" xfId="12501"/>
    <cellStyle name="Dane wejściowe 2 8 40" xfId="12502"/>
    <cellStyle name="Dane wejściowe 2 8 40 2" xfId="12503"/>
    <cellStyle name="Dane wejściowe 2 8 40 3" xfId="12504"/>
    <cellStyle name="Dane wejściowe 2 8 41" xfId="12505"/>
    <cellStyle name="Dane wejściowe 2 8 41 2" xfId="12506"/>
    <cellStyle name="Dane wejściowe 2 8 41 3" xfId="12507"/>
    <cellStyle name="Dane wejściowe 2 8 42" xfId="12508"/>
    <cellStyle name="Dane wejściowe 2 8 42 2" xfId="12509"/>
    <cellStyle name="Dane wejściowe 2 8 42 3" xfId="12510"/>
    <cellStyle name="Dane wejściowe 2 8 43" xfId="12511"/>
    <cellStyle name="Dane wejściowe 2 8 43 2" xfId="12512"/>
    <cellStyle name="Dane wejściowe 2 8 43 3" xfId="12513"/>
    <cellStyle name="Dane wejściowe 2 8 44" xfId="12514"/>
    <cellStyle name="Dane wejściowe 2 8 44 2" xfId="12515"/>
    <cellStyle name="Dane wejściowe 2 8 44 3" xfId="12516"/>
    <cellStyle name="Dane wejściowe 2 8 45" xfId="12517"/>
    <cellStyle name="Dane wejściowe 2 8 45 2" xfId="12518"/>
    <cellStyle name="Dane wejściowe 2 8 45 3" xfId="12519"/>
    <cellStyle name="Dane wejściowe 2 8 46" xfId="12520"/>
    <cellStyle name="Dane wejściowe 2 8 46 2" xfId="12521"/>
    <cellStyle name="Dane wejściowe 2 8 46 3" xfId="12522"/>
    <cellStyle name="Dane wejściowe 2 8 47" xfId="12523"/>
    <cellStyle name="Dane wejściowe 2 8 47 2" xfId="12524"/>
    <cellStyle name="Dane wejściowe 2 8 47 3" xfId="12525"/>
    <cellStyle name="Dane wejściowe 2 8 48" xfId="12526"/>
    <cellStyle name="Dane wejściowe 2 8 48 2" xfId="12527"/>
    <cellStyle name="Dane wejściowe 2 8 48 3" xfId="12528"/>
    <cellStyle name="Dane wejściowe 2 8 49" xfId="12529"/>
    <cellStyle name="Dane wejściowe 2 8 49 2" xfId="12530"/>
    <cellStyle name="Dane wejściowe 2 8 49 3" xfId="12531"/>
    <cellStyle name="Dane wejściowe 2 8 5" xfId="12532"/>
    <cellStyle name="Dane wejściowe 2 8 5 2" xfId="12533"/>
    <cellStyle name="Dane wejściowe 2 8 5 3" xfId="12534"/>
    <cellStyle name="Dane wejściowe 2 8 5 4" xfId="12535"/>
    <cellStyle name="Dane wejściowe 2 8 50" xfId="12536"/>
    <cellStyle name="Dane wejściowe 2 8 50 2" xfId="12537"/>
    <cellStyle name="Dane wejściowe 2 8 50 3" xfId="12538"/>
    <cellStyle name="Dane wejściowe 2 8 51" xfId="12539"/>
    <cellStyle name="Dane wejściowe 2 8 51 2" xfId="12540"/>
    <cellStyle name="Dane wejściowe 2 8 51 3" xfId="12541"/>
    <cellStyle name="Dane wejściowe 2 8 52" xfId="12542"/>
    <cellStyle name="Dane wejściowe 2 8 52 2" xfId="12543"/>
    <cellStyle name="Dane wejściowe 2 8 52 3" xfId="12544"/>
    <cellStyle name="Dane wejściowe 2 8 53" xfId="12545"/>
    <cellStyle name="Dane wejściowe 2 8 53 2" xfId="12546"/>
    <cellStyle name="Dane wejściowe 2 8 53 3" xfId="12547"/>
    <cellStyle name="Dane wejściowe 2 8 54" xfId="12548"/>
    <cellStyle name="Dane wejściowe 2 8 54 2" xfId="12549"/>
    <cellStyle name="Dane wejściowe 2 8 54 3" xfId="12550"/>
    <cellStyle name="Dane wejściowe 2 8 55" xfId="12551"/>
    <cellStyle name="Dane wejściowe 2 8 55 2" xfId="12552"/>
    <cellStyle name="Dane wejściowe 2 8 55 3" xfId="12553"/>
    <cellStyle name="Dane wejściowe 2 8 56" xfId="12554"/>
    <cellStyle name="Dane wejściowe 2 8 56 2" xfId="12555"/>
    <cellStyle name="Dane wejściowe 2 8 56 3" xfId="12556"/>
    <cellStyle name="Dane wejściowe 2 8 57" xfId="12557"/>
    <cellStyle name="Dane wejściowe 2 8 58" xfId="12558"/>
    <cellStyle name="Dane wejściowe 2 8 6" xfId="12559"/>
    <cellStyle name="Dane wejściowe 2 8 6 2" xfId="12560"/>
    <cellStyle name="Dane wejściowe 2 8 6 3" xfId="12561"/>
    <cellStyle name="Dane wejściowe 2 8 6 4" xfId="12562"/>
    <cellStyle name="Dane wejściowe 2 8 7" xfId="12563"/>
    <cellStyle name="Dane wejściowe 2 8 7 2" xfId="12564"/>
    <cellStyle name="Dane wejściowe 2 8 7 3" xfId="12565"/>
    <cellStyle name="Dane wejściowe 2 8 7 4" xfId="12566"/>
    <cellStyle name="Dane wejściowe 2 8 8" xfId="12567"/>
    <cellStyle name="Dane wejściowe 2 8 8 2" xfId="12568"/>
    <cellStyle name="Dane wejściowe 2 8 8 3" xfId="12569"/>
    <cellStyle name="Dane wejściowe 2 8 8 4" xfId="12570"/>
    <cellStyle name="Dane wejściowe 2 8 9" xfId="12571"/>
    <cellStyle name="Dane wejściowe 2 8 9 2" xfId="12572"/>
    <cellStyle name="Dane wejściowe 2 8 9 3" xfId="12573"/>
    <cellStyle name="Dane wejściowe 2 8 9 4" xfId="12574"/>
    <cellStyle name="Dane wejściowe 2 80" xfId="12575"/>
    <cellStyle name="Dane wejściowe 2 80 2" xfId="12576"/>
    <cellStyle name="Dane wejściowe 2 80 3" xfId="12577"/>
    <cellStyle name="Dane wejściowe 2 81" xfId="12578"/>
    <cellStyle name="Dane wejściowe 2 81 2" xfId="12579"/>
    <cellStyle name="Dane wejściowe 2 81 3" xfId="12580"/>
    <cellStyle name="Dane wejściowe 2 82" xfId="12581"/>
    <cellStyle name="Dane wejściowe 2 82 2" xfId="12582"/>
    <cellStyle name="Dane wejściowe 2 82 3" xfId="12583"/>
    <cellStyle name="Dane wejściowe 2 83" xfId="12584"/>
    <cellStyle name="Dane wejściowe 2 83 2" xfId="12585"/>
    <cellStyle name="Dane wejściowe 2 83 3" xfId="12586"/>
    <cellStyle name="Dane wejściowe 2 84" xfId="12587"/>
    <cellStyle name="Dane wejściowe 2 84 2" xfId="12588"/>
    <cellStyle name="Dane wejściowe 2 84 3" xfId="12589"/>
    <cellStyle name="Dane wejściowe 2 85" xfId="12590"/>
    <cellStyle name="Dane wejściowe 2 85 2" xfId="12591"/>
    <cellStyle name="Dane wejściowe 2 85 3" xfId="12592"/>
    <cellStyle name="Dane wejściowe 2 86" xfId="12593"/>
    <cellStyle name="Dane wejściowe 2 86 2" xfId="12594"/>
    <cellStyle name="Dane wejściowe 2 86 3" xfId="12595"/>
    <cellStyle name="Dane wejściowe 2 87" xfId="12596"/>
    <cellStyle name="Dane wejściowe 2 87 2" xfId="12597"/>
    <cellStyle name="Dane wejściowe 2 87 3" xfId="12598"/>
    <cellStyle name="Dane wejściowe 2 88" xfId="12599"/>
    <cellStyle name="Dane wejściowe 2 9" xfId="12600"/>
    <cellStyle name="Dane wejściowe 2 9 10" xfId="12601"/>
    <cellStyle name="Dane wejściowe 2 9 10 2" xfId="12602"/>
    <cellStyle name="Dane wejściowe 2 9 10 3" xfId="12603"/>
    <cellStyle name="Dane wejściowe 2 9 10 4" xfId="12604"/>
    <cellStyle name="Dane wejściowe 2 9 11" xfId="12605"/>
    <cellStyle name="Dane wejściowe 2 9 11 2" xfId="12606"/>
    <cellStyle name="Dane wejściowe 2 9 11 3" xfId="12607"/>
    <cellStyle name="Dane wejściowe 2 9 11 4" xfId="12608"/>
    <cellStyle name="Dane wejściowe 2 9 12" xfId="12609"/>
    <cellStyle name="Dane wejściowe 2 9 12 2" xfId="12610"/>
    <cellStyle name="Dane wejściowe 2 9 12 3" xfId="12611"/>
    <cellStyle name="Dane wejściowe 2 9 12 4" xfId="12612"/>
    <cellStyle name="Dane wejściowe 2 9 13" xfId="12613"/>
    <cellStyle name="Dane wejściowe 2 9 13 2" xfId="12614"/>
    <cellStyle name="Dane wejściowe 2 9 13 3" xfId="12615"/>
    <cellStyle name="Dane wejściowe 2 9 13 4" xfId="12616"/>
    <cellStyle name="Dane wejściowe 2 9 14" xfId="12617"/>
    <cellStyle name="Dane wejściowe 2 9 14 2" xfId="12618"/>
    <cellStyle name="Dane wejściowe 2 9 14 3" xfId="12619"/>
    <cellStyle name="Dane wejściowe 2 9 14 4" xfId="12620"/>
    <cellStyle name="Dane wejściowe 2 9 15" xfId="12621"/>
    <cellStyle name="Dane wejściowe 2 9 15 2" xfId="12622"/>
    <cellStyle name="Dane wejściowe 2 9 15 3" xfId="12623"/>
    <cellStyle name="Dane wejściowe 2 9 15 4" xfId="12624"/>
    <cellStyle name="Dane wejściowe 2 9 16" xfId="12625"/>
    <cellStyle name="Dane wejściowe 2 9 16 2" xfId="12626"/>
    <cellStyle name="Dane wejściowe 2 9 16 3" xfId="12627"/>
    <cellStyle name="Dane wejściowe 2 9 16 4" xfId="12628"/>
    <cellStyle name="Dane wejściowe 2 9 17" xfId="12629"/>
    <cellStyle name="Dane wejściowe 2 9 17 2" xfId="12630"/>
    <cellStyle name="Dane wejściowe 2 9 17 3" xfId="12631"/>
    <cellStyle name="Dane wejściowe 2 9 17 4" xfId="12632"/>
    <cellStyle name="Dane wejściowe 2 9 18" xfId="12633"/>
    <cellStyle name="Dane wejściowe 2 9 18 2" xfId="12634"/>
    <cellStyle name="Dane wejściowe 2 9 18 3" xfId="12635"/>
    <cellStyle name="Dane wejściowe 2 9 18 4" xfId="12636"/>
    <cellStyle name="Dane wejściowe 2 9 19" xfId="12637"/>
    <cellStyle name="Dane wejściowe 2 9 19 2" xfId="12638"/>
    <cellStyle name="Dane wejściowe 2 9 19 3" xfId="12639"/>
    <cellStyle name="Dane wejściowe 2 9 19 4" xfId="12640"/>
    <cellStyle name="Dane wejściowe 2 9 2" xfId="12641"/>
    <cellStyle name="Dane wejściowe 2 9 2 2" xfId="12642"/>
    <cellStyle name="Dane wejściowe 2 9 2 3" xfId="12643"/>
    <cellStyle name="Dane wejściowe 2 9 2 4" xfId="12644"/>
    <cellStyle name="Dane wejściowe 2 9 20" xfId="12645"/>
    <cellStyle name="Dane wejściowe 2 9 20 2" xfId="12646"/>
    <cellStyle name="Dane wejściowe 2 9 20 3" xfId="12647"/>
    <cellStyle name="Dane wejściowe 2 9 20 4" xfId="12648"/>
    <cellStyle name="Dane wejściowe 2 9 21" xfId="12649"/>
    <cellStyle name="Dane wejściowe 2 9 21 2" xfId="12650"/>
    <cellStyle name="Dane wejściowe 2 9 21 3" xfId="12651"/>
    <cellStyle name="Dane wejściowe 2 9 22" xfId="12652"/>
    <cellStyle name="Dane wejściowe 2 9 22 2" xfId="12653"/>
    <cellStyle name="Dane wejściowe 2 9 22 3" xfId="12654"/>
    <cellStyle name="Dane wejściowe 2 9 23" xfId="12655"/>
    <cellStyle name="Dane wejściowe 2 9 23 2" xfId="12656"/>
    <cellStyle name="Dane wejściowe 2 9 23 3" xfId="12657"/>
    <cellStyle name="Dane wejściowe 2 9 24" xfId="12658"/>
    <cellStyle name="Dane wejściowe 2 9 24 2" xfId="12659"/>
    <cellStyle name="Dane wejściowe 2 9 24 3" xfId="12660"/>
    <cellStyle name="Dane wejściowe 2 9 25" xfId="12661"/>
    <cellStyle name="Dane wejściowe 2 9 25 2" xfId="12662"/>
    <cellStyle name="Dane wejściowe 2 9 25 3" xfId="12663"/>
    <cellStyle name="Dane wejściowe 2 9 26" xfId="12664"/>
    <cellStyle name="Dane wejściowe 2 9 26 2" xfId="12665"/>
    <cellStyle name="Dane wejściowe 2 9 26 3" xfId="12666"/>
    <cellStyle name="Dane wejściowe 2 9 27" xfId="12667"/>
    <cellStyle name="Dane wejściowe 2 9 27 2" xfId="12668"/>
    <cellStyle name="Dane wejściowe 2 9 27 3" xfId="12669"/>
    <cellStyle name="Dane wejściowe 2 9 28" xfId="12670"/>
    <cellStyle name="Dane wejściowe 2 9 28 2" xfId="12671"/>
    <cellStyle name="Dane wejściowe 2 9 28 3" xfId="12672"/>
    <cellStyle name="Dane wejściowe 2 9 29" xfId="12673"/>
    <cellStyle name="Dane wejściowe 2 9 29 2" xfId="12674"/>
    <cellStyle name="Dane wejściowe 2 9 29 3" xfId="12675"/>
    <cellStyle name="Dane wejściowe 2 9 3" xfId="12676"/>
    <cellStyle name="Dane wejściowe 2 9 3 2" xfId="12677"/>
    <cellStyle name="Dane wejściowe 2 9 3 3" xfId="12678"/>
    <cellStyle name="Dane wejściowe 2 9 3 4" xfId="12679"/>
    <cellStyle name="Dane wejściowe 2 9 30" xfId="12680"/>
    <cellStyle name="Dane wejściowe 2 9 30 2" xfId="12681"/>
    <cellStyle name="Dane wejściowe 2 9 30 3" xfId="12682"/>
    <cellStyle name="Dane wejściowe 2 9 31" xfId="12683"/>
    <cellStyle name="Dane wejściowe 2 9 31 2" xfId="12684"/>
    <cellStyle name="Dane wejściowe 2 9 31 3" xfId="12685"/>
    <cellStyle name="Dane wejściowe 2 9 32" xfId="12686"/>
    <cellStyle name="Dane wejściowe 2 9 32 2" xfId="12687"/>
    <cellStyle name="Dane wejściowe 2 9 32 3" xfId="12688"/>
    <cellStyle name="Dane wejściowe 2 9 33" xfId="12689"/>
    <cellStyle name="Dane wejściowe 2 9 33 2" xfId="12690"/>
    <cellStyle name="Dane wejściowe 2 9 33 3" xfId="12691"/>
    <cellStyle name="Dane wejściowe 2 9 34" xfId="12692"/>
    <cellStyle name="Dane wejściowe 2 9 34 2" xfId="12693"/>
    <cellStyle name="Dane wejściowe 2 9 34 3" xfId="12694"/>
    <cellStyle name="Dane wejściowe 2 9 35" xfId="12695"/>
    <cellStyle name="Dane wejściowe 2 9 35 2" xfId="12696"/>
    <cellStyle name="Dane wejściowe 2 9 35 3" xfId="12697"/>
    <cellStyle name="Dane wejściowe 2 9 36" xfId="12698"/>
    <cellStyle name="Dane wejściowe 2 9 36 2" xfId="12699"/>
    <cellStyle name="Dane wejściowe 2 9 36 3" xfId="12700"/>
    <cellStyle name="Dane wejściowe 2 9 37" xfId="12701"/>
    <cellStyle name="Dane wejściowe 2 9 37 2" xfId="12702"/>
    <cellStyle name="Dane wejściowe 2 9 37 3" xfId="12703"/>
    <cellStyle name="Dane wejściowe 2 9 38" xfId="12704"/>
    <cellStyle name="Dane wejściowe 2 9 38 2" xfId="12705"/>
    <cellStyle name="Dane wejściowe 2 9 38 3" xfId="12706"/>
    <cellStyle name="Dane wejściowe 2 9 39" xfId="12707"/>
    <cellStyle name="Dane wejściowe 2 9 39 2" xfId="12708"/>
    <cellStyle name="Dane wejściowe 2 9 39 3" xfId="12709"/>
    <cellStyle name="Dane wejściowe 2 9 4" xfId="12710"/>
    <cellStyle name="Dane wejściowe 2 9 4 2" xfId="12711"/>
    <cellStyle name="Dane wejściowe 2 9 4 3" xfId="12712"/>
    <cellStyle name="Dane wejściowe 2 9 4 4" xfId="12713"/>
    <cellStyle name="Dane wejściowe 2 9 40" xfId="12714"/>
    <cellStyle name="Dane wejściowe 2 9 40 2" xfId="12715"/>
    <cellStyle name="Dane wejściowe 2 9 40 3" xfId="12716"/>
    <cellStyle name="Dane wejściowe 2 9 41" xfId="12717"/>
    <cellStyle name="Dane wejściowe 2 9 41 2" xfId="12718"/>
    <cellStyle name="Dane wejściowe 2 9 41 3" xfId="12719"/>
    <cellStyle name="Dane wejściowe 2 9 42" xfId="12720"/>
    <cellStyle name="Dane wejściowe 2 9 42 2" xfId="12721"/>
    <cellStyle name="Dane wejściowe 2 9 42 3" xfId="12722"/>
    <cellStyle name="Dane wejściowe 2 9 43" xfId="12723"/>
    <cellStyle name="Dane wejściowe 2 9 43 2" xfId="12724"/>
    <cellStyle name="Dane wejściowe 2 9 43 3" xfId="12725"/>
    <cellStyle name="Dane wejściowe 2 9 44" xfId="12726"/>
    <cellStyle name="Dane wejściowe 2 9 44 2" xfId="12727"/>
    <cellStyle name="Dane wejściowe 2 9 44 3" xfId="12728"/>
    <cellStyle name="Dane wejściowe 2 9 45" xfId="12729"/>
    <cellStyle name="Dane wejściowe 2 9 45 2" xfId="12730"/>
    <cellStyle name="Dane wejściowe 2 9 45 3" xfId="12731"/>
    <cellStyle name="Dane wejściowe 2 9 46" xfId="12732"/>
    <cellStyle name="Dane wejściowe 2 9 46 2" xfId="12733"/>
    <cellStyle name="Dane wejściowe 2 9 46 3" xfId="12734"/>
    <cellStyle name="Dane wejściowe 2 9 47" xfId="12735"/>
    <cellStyle name="Dane wejściowe 2 9 47 2" xfId="12736"/>
    <cellStyle name="Dane wejściowe 2 9 47 3" xfId="12737"/>
    <cellStyle name="Dane wejściowe 2 9 48" xfId="12738"/>
    <cellStyle name="Dane wejściowe 2 9 48 2" xfId="12739"/>
    <cellStyle name="Dane wejściowe 2 9 48 3" xfId="12740"/>
    <cellStyle name="Dane wejściowe 2 9 49" xfId="12741"/>
    <cellStyle name="Dane wejściowe 2 9 49 2" xfId="12742"/>
    <cellStyle name="Dane wejściowe 2 9 49 3" xfId="12743"/>
    <cellStyle name="Dane wejściowe 2 9 5" xfId="12744"/>
    <cellStyle name="Dane wejściowe 2 9 5 2" xfId="12745"/>
    <cellStyle name="Dane wejściowe 2 9 5 3" xfId="12746"/>
    <cellStyle name="Dane wejściowe 2 9 5 4" xfId="12747"/>
    <cellStyle name="Dane wejściowe 2 9 50" xfId="12748"/>
    <cellStyle name="Dane wejściowe 2 9 50 2" xfId="12749"/>
    <cellStyle name="Dane wejściowe 2 9 50 3" xfId="12750"/>
    <cellStyle name="Dane wejściowe 2 9 51" xfId="12751"/>
    <cellStyle name="Dane wejściowe 2 9 51 2" xfId="12752"/>
    <cellStyle name="Dane wejściowe 2 9 51 3" xfId="12753"/>
    <cellStyle name="Dane wejściowe 2 9 52" xfId="12754"/>
    <cellStyle name="Dane wejściowe 2 9 52 2" xfId="12755"/>
    <cellStyle name="Dane wejściowe 2 9 52 3" xfId="12756"/>
    <cellStyle name="Dane wejściowe 2 9 53" xfId="12757"/>
    <cellStyle name="Dane wejściowe 2 9 53 2" xfId="12758"/>
    <cellStyle name="Dane wejściowe 2 9 53 3" xfId="12759"/>
    <cellStyle name="Dane wejściowe 2 9 54" xfId="12760"/>
    <cellStyle name="Dane wejściowe 2 9 54 2" xfId="12761"/>
    <cellStyle name="Dane wejściowe 2 9 54 3" xfId="12762"/>
    <cellStyle name="Dane wejściowe 2 9 55" xfId="12763"/>
    <cellStyle name="Dane wejściowe 2 9 55 2" xfId="12764"/>
    <cellStyle name="Dane wejściowe 2 9 55 3" xfId="12765"/>
    <cellStyle name="Dane wejściowe 2 9 56" xfId="12766"/>
    <cellStyle name="Dane wejściowe 2 9 56 2" xfId="12767"/>
    <cellStyle name="Dane wejściowe 2 9 56 3" xfId="12768"/>
    <cellStyle name="Dane wejściowe 2 9 57" xfId="12769"/>
    <cellStyle name="Dane wejściowe 2 9 58" xfId="12770"/>
    <cellStyle name="Dane wejściowe 2 9 6" xfId="12771"/>
    <cellStyle name="Dane wejściowe 2 9 6 2" xfId="12772"/>
    <cellStyle name="Dane wejściowe 2 9 6 3" xfId="12773"/>
    <cellStyle name="Dane wejściowe 2 9 6 4" xfId="12774"/>
    <cellStyle name="Dane wejściowe 2 9 7" xfId="12775"/>
    <cellStyle name="Dane wejściowe 2 9 7 2" xfId="12776"/>
    <cellStyle name="Dane wejściowe 2 9 7 3" xfId="12777"/>
    <cellStyle name="Dane wejściowe 2 9 7 4" xfId="12778"/>
    <cellStyle name="Dane wejściowe 2 9 8" xfId="12779"/>
    <cellStyle name="Dane wejściowe 2 9 8 2" xfId="12780"/>
    <cellStyle name="Dane wejściowe 2 9 8 3" xfId="12781"/>
    <cellStyle name="Dane wejściowe 2 9 8 4" xfId="12782"/>
    <cellStyle name="Dane wejściowe 2 9 9" xfId="12783"/>
    <cellStyle name="Dane wejściowe 2 9 9 2" xfId="12784"/>
    <cellStyle name="Dane wejściowe 2 9 9 3" xfId="12785"/>
    <cellStyle name="Dane wejściowe 2 9 9 4" xfId="12786"/>
    <cellStyle name="Dane wejściowe 3" xfId="12787"/>
    <cellStyle name="Dane wejściowe 3 2" xfId="12788"/>
    <cellStyle name="Dane wejściowe 3 2 2" xfId="12789"/>
    <cellStyle name="Dane wejściowe 3 3" xfId="12790"/>
    <cellStyle name="Dane wejściowe 3 4" xfId="12791"/>
    <cellStyle name="Dane wejściowe 3 5" xfId="12792"/>
    <cellStyle name="Dane wejściowe 3 6" xfId="12793"/>
    <cellStyle name="Dane wejściowe 3 7" xfId="12794"/>
    <cellStyle name="Dane wejściowe 3 8" xfId="12795"/>
    <cellStyle name="Dane wejściowe 3 9" xfId="12796"/>
    <cellStyle name="Dane wejściowe 4" xfId="12797"/>
    <cellStyle name="Dane wejściowe 4 2" xfId="12798"/>
    <cellStyle name="Dane wejściowe 4 3" xfId="12799"/>
    <cellStyle name="Dane wejściowe 4 4" xfId="12800"/>
    <cellStyle name="Dane wejściowe 4 5" xfId="12801"/>
    <cellStyle name="Dane wejściowe 4 6" xfId="12802"/>
    <cellStyle name="Dane wejściowe 4 7" xfId="12803"/>
    <cellStyle name="Dane wejściowe 4 8" xfId="12804"/>
    <cellStyle name="Dane wejściowe 4 9" xfId="12805"/>
    <cellStyle name="Dane wejściowe 5" xfId="12806"/>
    <cellStyle name="Dane wejściowe 5 2" xfId="12807"/>
    <cellStyle name="Dane wejściowe 6" xfId="12808"/>
    <cellStyle name="Dane wejściowe 7" xfId="12809"/>
    <cellStyle name="Dane wyjściowe 2" xfId="12810"/>
    <cellStyle name="Dane wyjściowe 2 10" xfId="12811"/>
    <cellStyle name="Dane wyjściowe 2 10 10" xfId="12812"/>
    <cellStyle name="Dane wyjściowe 2 10 10 2" xfId="12813"/>
    <cellStyle name="Dane wyjściowe 2 10 10 3" xfId="12814"/>
    <cellStyle name="Dane wyjściowe 2 10 10 4" xfId="12815"/>
    <cellStyle name="Dane wyjściowe 2 10 11" xfId="12816"/>
    <cellStyle name="Dane wyjściowe 2 10 11 2" xfId="12817"/>
    <cellStyle name="Dane wyjściowe 2 10 11 3" xfId="12818"/>
    <cellStyle name="Dane wyjściowe 2 10 11 4" xfId="12819"/>
    <cellStyle name="Dane wyjściowe 2 10 12" xfId="12820"/>
    <cellStyle name="Dane wyjściowe 2 10 12 2" xfId="12821"/>
    <cellStyle name="Dane wyjściowe 2 10 12 3" xfId="12822"/>
    <cellStyle name="Dane wyjściowe 2 10 12 4" xfId="12823"/>
    <cellStyle name="Dane wyjściowe 2 10 13" xfId="12824"/>
    <cellStyle name="Dane wyjściowe 2 10 13 2" xfId="12825"/>
    <cellStyle name="Dane wyjściowe 2 10 13 3" xfId="12826"/>
    <cellStyle name="Dane wyjściowe 2 10 13 4" xfId="12827"/>
    <cellStyle name="Dane wyjściowe 2 10 14" xfId="12828"/>
    <cellStyle name="Dane wyjściowe 2 10 14 2" xfId="12829"/>
    <cellStyle name="Dane wyjściowe 2 10 14 3" xfId="12830"/>
    <cellStyle name="Dane wyjściowe 2 10 14 4" xfId="12831"/>
    <cellStyle name="Dane wyjściowe 2 10 15" xfId="12832"/>
    <cellStyle name="Dane wyjściowe 2 10 15 2" xfId="12833"/>
    <cellStyle name="Dane wyjściowe 2 10 15 3" xfId="12834"/>
    <cellStyle name="Dane wyjściowe 2 10 15 4" xfId="12835"/>
    <cellStyle name="Dane wyjściowe 2 10 16" xfId="12836"/>
    <cellStyle name="Dane wyjściowe 2 10 16 2" xfId="12837"/>
    <cellStyle name="Dane wyjściowe 2 10 16 3" xfId="12838"/>
    <cellStyle name="Dane wyjściowe 2 10 16 4" xfId="12839"/>
    <cellStyle name="Dane wyjściowe 2 10 17" xfId="12840"/>
    <cellStyle name="Dane wyjściowe 2 10 17 2" xfId="12841"/>
    <cellStyle name="Dane wyjściowe 2 10 17 3" xfId="12842"/>
    <cellStyle name="Dane wyjściowe 2 10 17 4" xfId="12843"/>
    <cellStyle name="Dane wyjściowe 2 10 18" xfId="12844"/>
    <cellStyle name="Dane wyjściowe 2 10 18 2" xfId="12845"/>
    <cellStyle name="Dane wyjściowe 2 10 18 3" xfId="12846"/>
    <cellStyle name="Dane wyjściowe 2 10 18 4" xfId="12847"/>
    <cellStyle name="Dane wyjściowe 2 10 19" xfId="12848"/>
    <cellStyle name="Dane wyjściowe 2 10 19 2" xfId="12849"/>
    <cellStyle name="Dane wyjściowe 2 10 19 3" xfId="12850"/>
    <cellStyle name="Dane wyjściowe 2 10 19 4" xfId="12851"/>
    <cellStyle name="Dane wyjściowe 2 10 2" xfId="12852"/>
    <cellStyle name="Dane wyjściowe 2 10 2 2" xfId="12853"/>
    <cellStyle name="Dane wyjściowe 2 10 2 3" xfId="12854"/>
    <cellStyle name="Dane wyjściowe 2 10 2 4" xfId="12855"/>
    <cellStyle name="Dane wyjściowe 2 10 20" xfId="12856"/>
    <cellStyle name="Dane wyjściowe 2 10 20 2" xfId="12857"/>
    <cellStyle name="Dane wyjściowe 2 10 20 3" xfId="12858"/>
    <cellStyle name="Dane wyjściowe 2 10 20 4" xfId="12859"/>
    <cellStyle name="Dane wyjściowe 2 10 21" xfId="12860"/>
    <cellStyle name="Dane wyjściowe 2 10 21 2" xfId="12861"/>
    <cellStyle name="Dane wyjściowe 2 10 21 3" xfId="12862"/>
    <cellStyle name="Dane wyjściowe 2 10 22" xfId="12863"/>
    <cellStyle name="Dane wyjściowe 2 10 22 2" xfId="12864"/>
    <cellStyle name="Dane wyjściowe 2 10 22 3" xfId="12865"/>
    <cellStyle name="Dane wyjściowe 2 10 23" xfId="12866"/>
    <cellStyle name="Dane wyjściowe 2 10 23 2" xfId="12867"/>
    <cellStyle name="Dane wyjściowe 2 10 23 3" xfId="12868"/>
    <cellStyle name="Dane wyjściowe 2 10 24" xfId="12869"/>
    <cellStyle name="Dane wyjściowe 2 10 24 2" xfId="12870"/>
    <cellStyle name="Dane wyjściowe 2 10 24 3" xfId="12871"/>
    <cellStyle name="Dane wyjściowe 2 10 25" xfId="12872"/>
    <cellStyle name="Dane wyjściowe 2 10 25 2" xfId="12873"/>
    <cellStyle name="Dane wyjściowe 2 10 25 3" xfId="12874"/>
    <cellStyle name="Dane wyjściowe 2 10 26" xfId="12875"/>
    <cellStyle name="Dane wyjściowe 2 10 26 2" xfId="12876"/>
    <cellStyle name="Dane wyjściowe 2 10 26 3" xfId="12877"/>
    <cellStyle name="Dane wyjściowe 2 10 27" xfId="12878"/>
    <cellStyle name="Dane wyjściowe 2 10 27 2" xfId="12879"/>
    <cellStyle name="Dane wyjściowe 2 10 27 3" xfId="12880"/>
    <cellStyle name="Dane wyjściowe 2 10 28" xfId="12881"/>
    <cellStyle name="Dane wyjściowe 2 10 28 2" xfId="12882"/>
    <cellStyle name="Dane wyjściowe 2 10 28 3" xfId="12883"/>
    <cellStyle name="Dane wyjściowe 2 10 29" xfId="12884"/>
    <cellStyle name="Dane wyjściowe 2 10 29 2" xfId="12885"/>
    <cellStyle name="Dane wyjściowe 2 10 29 3" xfId="12886"/>
    <cellStyle name="Dane wyjściowe 2 10 3" xfId="12887"/>
    <cellStyle name="Dane wyjściowe 2 10 3 2" xfId="12888"/>
    <cellStyle name="Dane wyjściowe 2 10 3 3" xfId="12889"/>
    <cellStyle name="Dane wyjściowe 2 10 3 4" xfId="12890"/>
    <cellStyle name="Dane wyjściowe 2 10 30" xfId="12891"/>
    <cellStyle name="Dane wyjściowe 2 10 30 2" xfId="12892"/>
    <cellStyle name="Dane wyjściowe 2 10 30 3" xfId="12893"/>
    <cellStyle name="Dane wyjściowe 2 10 31" xfId="12894"/>
    <cellStyle name="Dane wyjściowe 2 10 31 2" xfId="12895"/>
    <cellStyle name="Dane wyjściowe 2 10 31 3" xfId="12896"/>
    <cellStyle name="Dane wyjściowe 2 10 32" xfId="12897"/>
    <cellStyle name="Dane wyjściowe 2 10 32 2" xfId="12898"/>
    <cellStyle name="Dane wyjściowe 2 10 32 3" xfId="12899"/>
    <cellStyle name="Dane wyjściowe 2 10 33" xfId="12900"/>
    <cellStyle name="Dane wyjściowe 2 10 33 2" xfId="12901"/>
    <cellStyle name="Dane wyjściowe 2 10 33 3" xfId="12902"/>
    <cellStyle name="Dane wyjściowe 2 10 34" xfId="12903"/>
    <cellStyle name="Dane wyjściowe 2 10 34 2" xfId="12904"/>
    <cellStyle name="Dane wyjściowe 2 10 34 3" xfId="12905"/>
    <cellStyle name="Dane wyjściowe 2 10 35" xfId="12906"/>
    <cellStyle name="Dane wyjściowe 2 10 35 2" xfId="12907"/>
    <cellStyle name="Dane wyjściowe 2 10 35 3" xfId="12908"/>
    <cellStyle name="Dane wyjściowe 2 10 36" xfId="12909"/>
    <cellStyle name="Dane wyjściowe 2 10 36 2" xfId="12910"/>
    <cellStyle name="Dane wyjściowe 2 10 36 3" xfId="12911"/>
    <cellStyle name="Dane wyjściowe 2 10 37" xfId="12912"/>
    <cellStyle name="Dane wyjściowe 2 10 37 2" xfId="12913"/>
    <cellStyle name="Dane wyjściowe 2 10 37 3" xfId="12914"/>
    <cellStyle name="Dane wyjściowe 2 10 38" xfId="12915"/>
    <cellStyle name="Dane wyjściowe 2 10 38 2" xfId="12916"/>
    <cellStyle name="Dane wyjściowe 2 10 38 3" xfId="12917"/>
    <cellStyle name="Dane wyjściowe 2 10 39" xfId="12918"/>
    <cellStyle name="Dane wyjściowe 2 10 39 2" xfId="12919"/>
    <cellStyle name="Dane wyjściowe 2 10 39 3" xfId="12920"/>
    <cellStyle name="Dane wyjściowe 2 10 4" xfId="12921"/>
    <cellStyle name="Dane wyjściowe 2 10 4 2" xfId="12922"/>
    <cellStyle name="Dane wyjściowe 2 10 4 3" xfId="12923"/>
    <cellStyle name="Dane wyjściowe 2 10 4 4" xfId="12924"/>
    <cellStyle name="Dane wyjściowe 2 10 40" xfId="12925"/>
    <cellStyle name="Dane wyjściowe 2 10 40 2" xfId="12926"/>
    <cellStyle name="Dane wyjściowe 2 10 40 3" xfId="12927"/>
    <cellStyle name="Dane wyjściowe 2 10 41" xfId="12928"/>
    <cellStyle name="Dane wyjściowe 2 10 41 2" xfId="12929"/>
    <cellStyle name="Dane wyjściowe 2 10 41 3" xfId="12930"/>
    <cellStyle name="Dane wyjściowe 2 10 42" xfId="12931"/>
    <cellStyle name="Dane wyjściowe 2 10 42 2" xfId="12932"/>
    <cellStyle name="Dane wyjściowe 2 10 42 3" xfId="12933"/>
    <cellStyle name="Dane wyjściowe 2 10 43" xfId="12934"/>
    <cellStyle name="Dane wyjściowe 2 10 43 2" xfId="12935"/>
    <cellStyle name="Dane wyjściowe 2 10 43 3" xfId="12936"/>
    <cellStyle name="Dane wyjściowe 2 10 44" xfId="12937"/>
    <cellStyle name="Dane wyjściowe 2 10 44 2" xfId="12938"/>
    <cellStyle name="Dane wyjściowe 2 10 44 3" xfId="12939"/>
    <cellStyle name="Dane wyjściowe 2 10 45" xfId="12940"/>
    <cellStyle name="Dane wyjściowe 2 10 45 2" xfId="12941"/>
    <cellStyle name="Dane wyjściowe 2 10 45 3" xfId="12942"/>
    <cellStyle name="Dane wyjściowe 2 10 46" xfId="12943"/>
    <cellStyle name="Dane wyjściowe 2 10 46 2" xfId="12944"/>
    <cellStyle name="Dane wyjściowe 2 10 46 3" xfId="12945"/>
    <cellStyle name="Dane wyjściowe 2 10 47" xfId="12946"/>
    <cellStyle name="Dane wyjściowe 2 10 47 2" xfId="12947"/>
    <cellStyle name="Dane wyjściowe 2 10 47 3" xfId="12948"/>
    <cellStyle name="Dane wyjściowe 2 10 48" xfId="12949"/>
    <cellStyle name="Dane wyjściowe 2 10 48 2" xfId="12950"/>
    <cellStyle name="Dane wyjściowe 2 10 48 3" xfId="12951"/>
    <cellStyle name="Dane wyjściowe 2 10 49" xfId="12952"/>
    <cellStyle name="Dane wyjściowe 2 10 49 2" xfId="12953"/>
    <cellStyle name="Dane wyjściowe 2 10 49 3" xfId="12954"/>
    <cellStyle name="Dane wyjściowe 2 10 5" xfId="12955"/>
    <cellStyle name="Dane wyjściowe 2 10 5 2" xfId="12956"/>
    <cellStyle name="Dane wyjściowe 2 10 5 3" xfId="12957"/>
    <cellStyle name="Dane wyjściowe 2 10 5 4" xfId="12958"/>
    <cellStyle name="Dane wyjściowe 2 10 50" xfId="12959"/>
    <cellStyle name="Dane wyjściowe 2 10 50 2" xfId="12960"/>
    <cellStyle name="Dane wyjściowe 2 10 50 3" xfId="12961"/>
    <cellStyle name="Dane wyjściowe 2 10 51" xfId="12962"/>
    <cellStyle name="Dane wyjściowe 2 10 51 2" xfId="12963"/>
    <cellStyle name="Dane wyjściowe 2 10 51 3" xfId="12964"/>
    <cellStyle name="Dane wyjściowe 2 10 52" xfId="12965"/>
    <cellStyle name="Dane wyjściowe 2 10 52 2" xfId="12966"/>
    <cellStyle name="Dane wyjściowe 2 10 52 3" xfId="12967"/>
    <cellStyle name="Dane wyjściowe 2 10 53" xfId="12968"/>
    <cellStyle name="Dane wyjściowe 2 10 53 2" xfId="12969"/>
    <cellStyle name="Dane wyjściowe 2 10 53 3" xfId="12970"/>
    <cellStyle name="Dane wyjściowe 2 10 54" xfId="12971"/>
    <cellStyle name="Dane wyjściowe 2 10 54 2" xfId="12972"/>
    <cellStyle name="Dane wyjściowe 2 10 54 3" xfId="12973"/>
    <cellStyle name="Dane wyjściowe 2 10 55" xfId="12974"/>
    <cellStyle name="Dane wyjściowe 2 10 55 2" xfId="12975"/>
    <cellStyle name="Dane wyjściowe 2 10 55 3" xfId="12976"/>
    <cellStyle name="Dane wyjściowe 2 10 56" xfId="12977"/>
    <cellStyle name="Dane wyjściowe 2 10 56 2" xfId="12978"/>
    <cellStyle name="Dane wyjściowe 2 10 56 3" xfId="12979"/>
    <cellStyle name="Dane wyjściowe 2 10 57" xfId="12980"/>
    <cellStyle name="Dane wyjściowe 2 10 58" xfId="12981"/>
    <cellStyle name="Dane wyjściowe 2 10 6" xfId="12982"/>
    <cellStyle name="Dane wyjściowe 2 10 6 2" xfId="12983"/>
    <cellStyle name="Dane wyjściowe 2 10 6 3" xfId="12984"/>
    <cellStyle name="Dane wyjściowe 2 10 6 4" xfId="12985"/>
    <cellStyle name="Dane wyjściowe 2 10 7" xfId="12986"/>
    <cellStyle name="Dane wyjściowe 2 10 7 2" xfId="12987"/>
    <cellStyle name="Dane wyjściowe 2 10 7 3" xfId="12988"/>
    <cellStyle name="Dane wyjściowe 2 10 7 4" xfId="12989"/>
    <cellStyle name="Dane wyjściowe 2 10 8" xfId="12990"/>
    <cellStyle name="Dane wyjściowe 2 10 8 2" xfId="12991"/>
    <cellStyle name="Dane wyjściowe 2 10 8 3" xfId="12992"/>
    <cellStyle name="Dane wyjściowe 2 10 8 4" xfId="12993"/>
    <cellStyle name="Dane wyjściowe 2 10 9" xfId="12994"/>
    <cellStyle name="Dane wyjściowe 2 10 9 2" xfId="12995"/>
    <cellStyle name="Dane wyjściowe 2 10 9 3" xfId="12996"/>
    <cellStyle name="Dane wyjściowe 2 10 9 4" xfId="12997"/>
    <cellStyle name="Dane wyjściowe 2 11" xfId="12998"/>
    <cellStyle name="Dane wyjściowe 2 11 10" xfId="12999"/>
    <cellStyle name="Dane wyjściowe 2 11 10 2" xfId="13000"/>
    <cellStyle name="Dane wyjściowe 2 11 10 3" xfId="13001"/>
    <cellStyle name="Dane wyjściowe 2 11 10 4" xfId="13002"/>
    <cellStyle name="Dane wyjściowe 2 11 11" xfId="13003"/>
    <cellStyle name="Dane wyjściowe 2 11 11 2" xfId="13004"/>
    <cellStyle name="Dane wyjściowe 2 11 11 3" xfId="13005"/>
    <cellStyle name="Dane wyjściowe 2 11 11 4" xfId="13006"/>
    <cellStyle name="Dane wyjściowe 2 11 12" xfId="13007"/>
    <cellStyle name="Dane wyjściowe 2 11 12 2" xfId="13008"/>
    <cellStyle name="Dane wyjściowe 2 11 12 3" xfId="13009"/>
    <cellStyle name="Dane wyjściowe 2 11 12 4" xfId="13010"/>
    <cellStyle name="Dane wyjściowe 2 11 13" xfId="13011"/>
    <cellStyle name="Dane wyjściowe 2 11 13 2" xfId="13012"/>
    <cellStyle name="Dane wyjściowe 2 11 13 3" xfId="13013"/>
    <cellStyle name="Dane wyjściowe 2 11 13 4" xfId="13014"/>
    <cellStyle name="Dane wyjściowe 2 11 14" xfId="13015"/>
    <cellStyle name="Dane wyjściowe 2 11 14 2" xfId="13016"/>
    <cellStyle name="Dane wyjściowe 2 11 14 3" xfId="13017"/>
    <cellStyle name="Dane wyjściowe 2 11 14 4" xfId="13018"/>
    <cellStyle name="Dane wyjściowe 2 11 15" xfId="13019"/>
    <cellStyle name="Dane wyjściowe 2 11 15 2" xfId="13020"/>
    <cellStyle name="Dane wyjściowe 2 11 15 3" xfId="13021"/>
    <cellStyle name="Dane wyjściowe 2 11 15 4" xfId="13022"/>
    <cellStyle name="Dane wyjściowe 2 11 16" xfId="13023"/>
    <cellStyle name="Dane wyjściowe 2 11 16 2" xfId="13024"/>
    <cellStyle name="Dane wyjściowe 2 11 16 3" xfId="13025"/>
    <cellStyle name="Dane wyjściowe 2 11 16 4" xfId="13026"/>
    <cellStyle name="Dane wyjściowe 2 11 17" xfId="13027"/>
    <cellStyle name="Dane wyjściowe 2 11 17 2" xfId="13028"/>
    <cellStyle name="Dane wyjściowe 2 11 17 3" xfId="13029"/>
    <cellStyle name="Dane wyjściowe 2 11 17 4" xfId="13030"/>
    <cellStyle name="Dane wyjściowe 2 11 18" xfId="13031"/>
    <cellStyle name="Dane wyjściowe 2 11 18 2" xfId="13032"/>
    <cellStyle name="Dane wyjściowe 2 11 18 3" xfId="13033"/>
    <cellStyle name="Dane wyjściowe 2 11 18 4" xfId="13034"/>
    <cellStyle name="Dane wyjściowe 2 11 19" xfId="13035"/>
    <cellStyle name="Dane wyjściowe 2 11 19 2" xfId="13036"/>
    <cellStyle name="Dane wyjściowe 2 11 19 3" xfId="13037"/>
    <cellStyle name="Dane wyjściowe 2 11 19 4" xfId="13038"/>
    <cellStyle name="Dane wyjściowe 2 11 2" xfId="13039"/>
    <cellStyle name="Dane wyjściowe 2 11 2 2" xfId="13040"/>
    <cellStyle name="Dane wyjściowe 2 11 2 3" xfId="13041"/>
    <cellStyle name="Dane wyjściowe 2 11 2 4" xfId="13042"/>
    <cellStyle name="Dane wyjściowe 2 11 20" xfId="13043"/>
    <cellStyle name="Dane wyjściowe 2 11 20 2" xfId="13044"/>
    <cellStyle name="Dane wyjściowe 2 11 20 3" xfId="13045"/>
    <cellStyle name="Dane wyjściowe 2 11 20 4" xfId="13046"/>
    <cellStyle name="Dane wyjściowe 2 11 21" xfId="13047"/>
    <cellStyle name="Dane wyjściowe 2 11 21 2" xfId="13048"/>
    <cellStyle name="Dane wyjściowe 2 11 21 3" xfId="13049"/>
    <cellStyle name="Dane wyjściowe 2 11 22" xfId="13050"/>
    <cellStyle name="Dane wyjściowe 2 11 22 2" xfId="13051"/>
    <cellStyle name="Dane wyjściowe 2 11 22 3" xfId="13052"/>
    <cellStyle name="Dane wyjściowe 2 11 23" xfId="13053"/>
    <cellStyle name="Dane wyjściowe 2 11 23 2" xfId="13054"/>
    <cellStyle name="Dane wyjściowe 2 11 23 3" xfId="13055"/>
    <cellStyle name="Dane wyjściowe 2 11 24" xfId="13056"/>
    <cellStyle name="Dane wyjściowe 2 11 24 2" xfId="13057"/>
    <cellStyle name="Dane wyjściowe 2 11 24 3" xfId="13058"/>
    <cellStyle name="Dane wyjściowe 2 11 25" xfId="13059"/>
    <cellStyle name="Dane wyjściowe 2 11 25 2" xfId="13060"/>
    <cellStyle name="Dane wyjściowe 2 11 25 3" xfId="13061"/>
    <cellStyle name="Dane wyjściowe 2 11 26" xfId="13062"/>
    <cellStyle name="Dane wyjściowe 2 11 26 2" xfId="13063"/>
    <cellStyle name="Dane wyjściowe 2 11 26 3" xfId="13064"/>
    <cellStyle name="Dane wyjściowe 2 11 27" xfId="13065"/>
    <cellStyle name="Dane wyjściowe 2 11 27 2" xfId="13066"/>
    <cellStyle name="Dane wyjściowe 2 11 27 3" xfId="13067"/>
    <cellStyle name="Dane wyjściowe 2 11 28" xfId="13068"/>
    <cellStyle name="Dane wyjściowe 2 11 28 2" xfId="13069"/>
    <cellStyle name="Dane wyjściowe 2 11 28 3" xfId="13070"/>
    <cellStyle name="Dane wyjściowe 2 11 29" xfId="13071"/>
    <cellStyle name="Dane wyjściowe 2 11 29 2" xfId="13072"/>
    <cellStyle name="Dane wyjściowe 2 11 29 3" xfId="13073"/>
    <cellStyle name="Dane wyjściowe 2 11 3" xfId="13074"/>
    <cellStyle name="Dane wyjściowe 2 11 3 2" xfId="13075"/>
    <cellStyle name="Dane wyjściowe 2 11 3 3" xfId="13076"/>
    <cellStyle name="Dane wyjściowe 2 11 3 4" xfId="13077"/>
    <cellStyle name="Dane wyjściowe 2 11 30" xfId="13078"/>
    <cellStyle name="Dane wyjściowe 2 11 30 2" xfId="13079"/>
    <cellStyle name="Dane wyjściowe 2 11 30 3" xfId="13080"/>
    <cellStyle name="Dane wyjściowe 2 11 31" xfId="13081"/>
    <cellStyle name="Dane wyjściowe 2 11 31 2" xfId="13082"/>
    <cellStyle name="Dane wyjściowe 2 11 31 3" xfId="13083"/>
    <cellStyle name="Dane wyjściowe 2 11 32" xfId="13084"/>
    <cellStyle name="Dane wyjściowe 2 11 32 2" xfId="13085"/>
    <cellStyle name="Dane wyjściowe 2 11 32 3" xfId="13086"/>
    <cellStyle name="Dane wyjściowe 2 11 33" xfId="13087"/>
    <cellStyle name="Dane wyjściowe 2 11 33 2" xfId="13088"/>
    <cellStyle name="Dane wyjściowe 2 11 33 3" xfId="13089"/>
    <cellStyle name="Dane wyjściowe 2 11 34" xfId="13090"/>
    <cellStyle name="Dane wyjściowe 2 11 34 2" xfId="13091"/>
    <cellStyle name="Dane wyjściowe 2 11 34 3" xfId="13092"/>
    <cellStyle name="Dane wyjściowe 2 11 35" xfId="13093"/>
    <cellStyle name="Dane wyjściowe 2 11 35 2" xfId="13094"/>
    <cellStyle name="Dane wyjściowe 2 11 35 3" xfId="13095"/>
    <cellStyle name="Dane wyjściowe 2 11 36" xfId="13096"/>
    <cellStyle name="Dane wyjściowe 2 11 36 2" xfId="13097"/>
    <cellStyle name="Dane wyjściowe 2 11 36 3" xfId="13098"/>
    <cellStyle name="Dane wyjściowe 2 11 37" xfId="13099"/>
    <cellStyle name="Dane wyjściowe 2 11 37 2" xfId="13100"/>
    <cellStyle name="Dane wyjściowe 2 11 37 3" xfId="13101"/>
    <cellStyle name="Dane wyjściowe 2 11 38" xfId="13102"/>
    <cellStyle name="Dane wyjściowe 2 11 38 2" xfId="13103"/>
    <cellStyle name="Dane wyjściowe 2 11 38 3" xfId="13104"/>
    <cellStyle name="Dane wyjściowe 2 11 39" xfId="13105"/>
    <cellStyle name="Dane wyjściowe 2 11 39 2" xfId="13106"/>
    <cellStyle name="Dane wyjściowe 2 11 39 3" xfId="13107"/>
    <cellStyle name="Dane wyjściowe 2 11 4" xfId="13108"/>
    <cellStyle name="Dane wyjściowe 2 11 4 2" xfId="13109"/>
    <cellStyle name="Dane wyjściowe 2 11 4 3" xfId="13110"/>
    <cellStyle name="Dane wyjściowe 2 11 4 4" xfId="13111"/>
    <cellStyle name="Dane wyjściowe 2 11 40" xfId="13112"/>
    <cellStyle name="Dane wyjściowe 2 11 40 2" xfId="13113"/>
    <cellStyle name="Dane wyjściowe 2 11 40 3" xfId="13114"/>
    <cellStyle name="Dane wyjściowe 2 11 41" xfId="13115"/>
    <cellStyle name="Dane wyjściowe 2 11 41 2" xfId="13116"/>
    <cellStyle name="Dane wyjściowe 2 11 41 3" xfId="13117"/>
    <cellStyle name="Dane wyjściowe 2 11 42" xfId="13118"/>
    <cellStyle name="Dane wyjściowe 2 11 42 2" xfId="13119"/>
    <cellStyle name="Dane wyjściowe 2 11 42 3" xfId="13120"/>
    <cellStyle name="Dane wyjściowe 2 11 43" xfId="13121"/>
    <cellStyle name="Dane wyjściowe 2 11 43 2" xfId="13122"/>
    <cellStyle name="Dane wyjściowe 2 11 43 3" xfId="13123"/>
    <cellStyle name="Dane wyjściowe 2 11 44" xfId="13124"/>
    <cellStyle name="Dane wyjściowe 2 11 44 2" xfId="13125"/>
    <cellStyle name="Dane wyjściowe 2 11 44 3" xfId="13126"/>
    <cellStyle name="Dane wyjściowe 2 11 45" xfId="13127"/>
    <cellStyle name="Dane wyjściowe 2 11 45 2" xfId="13128"/>
    <cellStyle name="Dane wyjściowe 2 11 45 3" xfId="13129"/>
    <cellStyle name="Dane wyjściowe 2 11 46" xfId="13130"/>
    <cellStyle name="Dane wyjściowe 2 11 46 2" xfId="13131"/>
    <cellStyle name="Dane wyjściowe 2 11 46 3" xfId="13132"/>
    <cellStyle name="Dane wyjściowe 2 11 47" xfId="13133"/>
    <cellStyle name="Dane wyjściowe 2 11 47 2" xfId="13134"/>
    <cellStyle name="Dane wyjściowe 2 11 47 3" xfId="13135"/>
    <cellStyle name="Dane wyjściowe 2 11 48" xfId="13136"/>
    <cellStyle name="Dane wyjściowe 2 11 48 2" xfId="13137"/>
    <cellStyle name="Dane wyjściowe 2 11 48 3" xfId="13138"/>
    <cellStyle name="Dane wyjściowe 2 11 49" xfId="13139"/>
    <cellStyle name="Dane wyjściowe 2 11 49 2" xfId="13140"/>
    <cellStyle name="Dane wyjściowe 2 11 49 3" xfId="13141"/>
    <cellStyle name="Dane wyjściowe 2 11 5" xfId="13142"/>
    <cellStyle name="Dane wyjściowe 2 11 5 2" xfId="13143"/>
    <cellStyle name="Dane wyjściowe 2 11 5 3" xfId="13144"/>
    <cellStyle name="Dane wyjściowe 2 11 5 4" xfId="13145"/>
    <cellStyle name="Dane wyjściowe 2 11 50" xfId="13146"/>
    <cellStyle name="Dane wyjściowe 2 11 50 2" xfId="13147"/>
    <cellStyle name="Dane wyjściowe 2 11 50 3" xfId="13148"/>
    <cellStyle name="Dane wyjściowe 2 11 51" xfId="13149"/>
    <cellStyle name="Dane wyjściowe 2 11 51 2" xfId="13150"/>
    <cellStyle name="Dane wyjściowe 2 11 51 3" xfId="13151"/>
    <cellStyle name="Dane wyjściowe 2 11 52" xfId="13152"/>
    <cellStyle name="Dane wyjściowe 2 11 52 2" xfId="13153"/>
    <cellStyle name="Dane wyjściowe 2 11 52 3" xfId="13154"/>
    <cellStyle name="Dane wyjściowe 2 11 53" xfId="13155"/>
    <cellStyle name="Dane wyjściowe 2 11 53 2" xfId="13156"/>
    <cellStyle name="Dane wyjściowe 2 11 53 3" xfId="13157"/>
    <cellStyle name="Dane wyjściowe 2 11 54" xfId="13158"/>
    <cellStyle name="Dane wyjściowe 2 11 54 2" xfId="13159"/>
    <cellStyle name="Dane wyjściowe 2 11 54 3" xfId="13160"/>
    <cellStyle name="Dane wyjściowe 2 11 55" xfId="13161"/>
    <cellStyle name="Dane wyjściowe 2 11 55 2" xfId="13162"/>
    <cellStyle name="Dane wyjściowe 2 11 55 3" xfId="13163"/>
    <cellStyle name="Dane wyjściowe 2 11 56" xfId="13164"/>
    <cellStyle name="Dane wyjściowe 2 11 56 2" xfId="13165"/>
    <cellStyle name="Dane wyjściowe 2 11 56 3" xfId="13166"/>
    <cellStyle name="Dane wyjściowe 2 11 57" xfId="13167"/>
    <cellStyle name="Dane wyjściowe 2 11 58" xfId="13168"/>
    <cellStyle name="Dane wyjściowe 2 11 6" xfId="13169"/>
    <cellStyle name="Dane wyjściowe 2 11 6 2" xfId="13170"/>
    <cellStyle name="Dane wyjściowe 2 11 6 3" xfId="13171"/>
    <cellStyle name="Dane wyjściowe 2 11 6 4" xfId="13172"/>
    <cellStyle name="Dane wyjściowe 2 11 7" xfId="13173"/>
    <cellStyle name="Dane wyjściowe 2 11 7 2" xfId="13174"/>
    <cellStyle name="Dane wyjściowe 2 11 7 3" xfId="13175"/>
    <cellStyle name="Dane wyjściowe 2 11 7 4" xfId="13176"/>
    <cellStyle name="Dane wyjściowe 2 11 8" xfId="13177"/>
    <cellStyle name="Dane wyjściowe 2 11 8 2" xfId="13178"/>
    <cellStyle name="Dane wyjściowe 2 11 8 3" xfId="13179"/>
    <cellStyle name="Dane wyjściowe 2 11 8 4" xfId="13180"/>
    <cellStyle name="Dane wyjściowe 2 11 9" xfId="13181"/>
    <cellStyle name="Dane wyjściowe 2 11 9 2" xfId="13182"/>
    <cellStyle name="Dane wyjściowe 2 11 9 3" xfId="13183"/>
    <cellStyle name="Dane wyjściowe 2 11 9 4" xfId="13184"/>
    <cellStyle name="Dane wyjściowe 2 12" xfId="13185"/>
    <cellStyle name="Dane wyjściowe 2 12 10" xfId="13186"/>
    <cellStyle name="Dane wyjściowe 2 12 10 2" xfId="13187"/>
    <cellStyle name="Dane wyjściowe 2 12 10 3" xfId="13188"/>
    <cellStyle name="Dane wyjściowe 2 12 10 4" xfId="13189"/>
    <cellStyle name="Dane wyjściowe 2 12 11" xfId="13190"/>
    <cellStyle name="Dane wyjściowe 2 12 11 2" xfId="13191"/>
    <cellStyle name="Dane wyjściowe 2 12 11 3" xfId="13192"/>
    <cellStyle name="Dane wyjściowe 2 12 11 4" xfId="13193"/>
    <cellStyle name="Dane wyjściowe 2 12 12" xfId="13194"/>
    <cellStyle name="Dane wyjściowe 2 12 12 2" xfId="13195"/>
    <cellStyle name="Dane wyjściowe 2 12 12 3" xfId="13196"/>
    <cellStyle name="Dane wyjściowe 2 12 12 4" xfId="13197"/>
    <cellStyle name="Dane wyjściowe 2 12 13" xfId="13198"/>
    <cellStyle name="Dane wyjściowe 2 12 13 2" xfId="13199"/>
    <cellStyle name="Dane wyjściowe 2 12 13 3" xfId="13200"/>
    <cellStyle name="Dane wyjściowe 2 12 13 4" xfId="13201"/>
    <cellStyle name="Dane wyjściowe 2 12 14" xfId="13202"/>
    <cellStyle name="Dane wyjściowe 2 12 14 2" xfId="13203"/>
    <cellStyle name="Dane wyjściowe 2 12 14 3" xfId="13204"/>
    <cellStyle name="Dane wyjściowe 2 12 14 4" xfId="13205"/>
    <cellStyle name="Dane wyjściowe 2 12 15" xfId="13206"/>
    <cellStyle name="Dane wyjściowe 2 12 15 2" xfId="13207"/>
    <cellStyle name="Dane wyjściowe 2 12 15 3" xfId="13208"/>
    <cellStyle name="Dane wyjściowe 2 12 15 4" xfId="13209"/>
    <cellStyle name="Dane wyjściowe 2 12 16" xfId="13210"/>
    <cellStyle name="Dane wyjściowe 2 12 16 2" xfId="13211"/>
    <cellStyle name="Dane wyjściowe 2 12 16 3" xfId="13212"/>
    <cellStyle name="Dane wyjściowe 2 12 16 4" xfId="13213"/>
    <cellStyle name="Dane wyjściowe 2 12 17" xfId="13214"/>
    <cellStyle name="Dane wyjściowe 2 12 17 2" xfId="13215"/>
    <cellStyle name="Dane wyjściowe 2 12 17 3" xfId="13216"/>
    <cellStyle name="Dane wyjściowe 2 12 17 4" xfId="13217"/>
    <cellStyle name="Dane wyjściowe 2 12 18" xfId="13218"/>
    <cellStyle name="Dane wyjściowe 2 12 18 2" xfId="13219"/>
    <cellStyle name="Dane wyjściowe 2 12 18 3" xfId="13220"/>
    <cellStyle name="Dane wyjściowe 2 12 18 4" xfId="13221"/>
    <cellStyle name="Dane wyjściowe 2 12 19" xfId="13222"/>
    <cellStyle name="Dane wyjściowe 2 12 19 2" xfId="13223"/>
    <cellStyle name="Dane wyjściowe 2 12 19 3" xfId="13224"/>
    <cellStyle name="Dane wyjściowe 2 12 19 4" xfId="13225"/>
    <cellStyle name="Dane wyjściowe 2 12 2" xfId="13226"/>
    <cellStyle name="Dane wyjściowe 2 12 2 2" xfId="13227"/>
    <cellStyle name="Dane wyjściowe 2 12 2 3" xfId="13228"/>
    <cellStyle name="Dane wyjściowe 2 12 2 4" xfId="13229"/>
    <cellStyle name="Dane wyjściowe 2 12 20" xfId="13230"/>
    <cellStyle name="Dane wyjściowe 2 12 20 2" xfId="13231"/>
    <cellStyle name="Dane wyjściowe 2 12 20 3" xfId="13232"/>
    <cellStyle name="Dane wyjściowe 2 12 20 4" xfId="13233"/>
    <cellStyle name="Dane wyjściowe 2 12 21" xfId="13234"/>
    <cellStyle name="Dane wyjściowe 2 12 21 2" xfId="13235"/>
    <cellStyle name="Dane wyjściowe 2 12 21 3" xfId="13236"/>
    <cellStyle name="Dane wyjściowe 2 12 22" xfId="13237"/>
    <cellStyle name="Dane wyjściowe 2 12 22 2" xfId="13238"/>
    <cellStyle name="Dane wyjściowe 2 12 22 3" xfId="13239"/>
    <cellStyle name="Dane wyjściowe 2 12 23" xfId="13240"/>
    <cellStyle name="Dane wyjściowe 2 12 23 2" xfId="13241"/>
    <cellStyle name="Dane wyjściowe 2 12 23 3" xfId="13242"/>
    <cellStyle name="Dane wyjściowe 2 12 24" xfId="13243"/>
    <cellStyle name="Dane wyjściowe 2 12 24 2" xfId="13244"/>
    <cellStyle name="Dane wyjściowe 2 12 24 3" xfId="13245"/>
    <cellStyle name="Dane wyjściowe 2 12 25" xfId="13246"/>
    <cellStyle name="Dane wyjściowe 2 12 25 2" xfId="13247"/>
    <cellStyle name="Dane wyjściowe 2 12 25 3" xfId="13248"/>
    <cellStyle name="Dane wyjściowe 2 12 26" xfId="13249"/>
    <cellStyle name="Dane wyjściowe 2 12 26 2" xfId="13250"/>
    <cellStyle name="Dane wyjściowe 2 12 26 3" xfId="13251"/>
    <cellStyle name="Dane wyjściowe 2 12 27" xfId="13252"/>
    <cellStyle name="Dane wyjściowe 2 12 27 2" xfId="13253"/>
    <cellStyle name="Dane wyjściowe 2 12 27 3" xfId="13254"/>
    <cellStyle name="Dane wyjściowe 2 12 28" xfId="13255"/>
    <cellStyle name="Dane wyjściowe 2 12 28 2" xfId="13256"/>
    <cellStyle name="Dane wyjściowe 2 12 28 3" xfId="13257"/>
    <cellStyle name="Dane wyjściowe 2 12 29" xfId="13258"/>
    <cellStyle name="Dane wyjściowe 2 12 29 2" xfId="13259"/>
    <cellStyle name="Dane wyjściowe 2 12 29 3" xfId="13260"/>
    <cellStyle name="Dane wyjściowe 2 12 3" xfId="13261"/>
    <cellStyle name="Dane wyjściowe 2 12 3 2" xfId="13262"/>
    <cellStyle name="Dane wyjściowe 2 12 3 3" xfId="13263"/>
    <cellStyle name="Dane wyjściowe 2 12 3 4" xfId="13264"/>
    <cellStyle name="Dane wyjściowe 2 12 30" xfId="13265"/>
    <cellStyle name="Dane wyjściowe 2 12 30 2" xfId="13266"/>
    <cellStyle name="Dane wyjściowe 2 12 30 3" xfId="13267"/>
    <cellStyle name="Dane wyjściowe 2 12 31" xfId="13268"/>
    <cellStyle name="Dane wyjściowe 2 12 31 2" xfId="13269"/>
    <cellStyle name="Dane wyjściowe 2 12 31 3" xfId="13270"/>
    <cellStyle name="Dane wyjściowe 2 12 32" xfId="13271"/>
    <cellStyle name="Dane wyjściowe 2 12 32 2" xfId="13272"/>
    <cellStyle name="Dane wyjściowe 2 12 32 3" xfId="13273"/>
    <cellStyle name="Dane wyjściowe 2 12 33" xfId="13274"/>
    <cellStyle name="Dane wyjściowe 2 12 33 2" xfId="13275"/>
    <cellStyle name="Dane wyjściowe 2 12 33 3" xfId="13276"/>
    <cellStyle name="Dane wyjściowe 2 12 34" xfId="13277"/>
    <cellStyle name="Dane wyjściowe 2 12 34 2" xfId="13278"/>
    <cellStyle name="Dane wyjściowe 2 12 34 3" xfId="13279"/>
    <cellStyle name="Dane wyjściowe 2 12 35" xfId="13280"/>
    <cellStyle name="Dane wyjściowe 2 12 35 2" xfId="13281"/>
    <cellStyle name="Dane wyjściowe 2 12 35 3" xfId="13282"/>
    <cellStyle name="Dane wyjściowe 2 12 36" xfId="13283"/>
    <cellStyle name="Dane wyjściowe 2 12 36 2" xfId="13284"/>
    <cellStyle name="Dane wyjściowe 2 12 36 3" xfId="13285"/>
    <cellStyle name="Dane wyjściowe 2 12 37" xfId="13286"/>
    <cellStyle name="Dane wyjściowe 2 12 37 2" xfId="13287"/>
    <cellStyle name="Dane wyjściowe 2 12 37 3" xfId="13288"/>
    <cellStyle name="Dane wyjściowe 2 12 38" xfId="13289"/>
    <cellStyle name="Dane wyjściowe 2 12 38 2" xfId="13290"/>
    <cellStyle name="Dane wyjściowe 2 12 38 3" xfId="13291"/>
    <cellStyle name="Dane wyjściowe 2 12 39" xfId="13292"/>
    <cellStyle name="Dane wyjściowe 2 12 39 2" xfId="13293"/>
    <cellStyle name="Dane wyjściowe 2 12 39 3" xfId="13294"/>
    <cellStyle name="Dane wyjściowe 2 12 4" xfId="13295"/>
    <cellStyle name="Dane wyjściowe 2 12 4 2" xfId="13296"/>
    <cellStyle name="Dane wyjściowe 2 12 4 3" xfId="13297"/>
    <cellStyle name="Dane wyjściowe 2 12 4 4" xfId="13298"/>
    <cellStyle name="Dane wyjściowe 2 12 40" xfId="13299"/>
    <cellStyle name="Dane wyjściowe 2 12 40 2" xfId="13300"/>
    <cellStyle name="Dane wyjściowe 2 12 40 3" xfId="13301"/>
    <cellStyle name="Dane wyjściowe 2 12 41" xfId="13302"/>
    <cellStyle name="Dane wyjściowe 2 12 41 2" xfId="13303"/>
    <cellStyle name="Dane wyjściowe 2 12 41 3" xfId="13304"/>
    <cellStyle name="Dane wyjściowe 2 12 42" xfId="13305"/>
    <cellStyle name="Dane wyjściowe 2 12 42 2" xfId="13306"/>
    <cellStyle name="Dane wyjściowe 2 12 42 3" xfId="13307"/>
    <cellStyle name="Dane wyjściowe 2 12 43" xfId="13308"/>
    <cellStyle name="Dane wyjściowe 2 12 43 2" xfId="13309"/>
    <cellStyle name="Dane wyjściowe 2 12 43 3" xfId="13310"/>
    <cellStyle name="Dane wyjściowe 2 12 44" xfId="13311"/>
    <cellStyle name="Dane wyjściowe 2 12 44 2" xfId="13312"/>
    <cellStyle name="Dane wyjściowe 2 12 44 3" xfId="13313"/>
    <cellStyle name="Dane wyjściowe 2 12 45" xfId="13314"/>
    <cellStyle name="Dane wyjściowe 2 12 45 2" xfId="13315"/>
    <cellStyle name="Dane wyjściowe 2 12 45 3" xfId="13316"/>
    <cellStyle name="Dane wyjściowe 2 12 46" xfId="13317"/>
    <cellStyle name="Dane wyjściowe 2 12 46 2" xfId="13318"/>
    <cellStyle name="Dane wyjściowe 2 12 46 3" xfId="13319"/>
    <cellStyle name="Dane wyjściowe 2 12 47" xfId="13320"/>
    <cellStyle name="Dane wyjściowe 2 12 47 2" xfId="13321"/>
    <cellStyle name="Dane wyjściowe 2 12 47 3" xfId="13322"/>
    <cellStyle name="Dane wyjściowe 2 12 48" xfId="13323"/>
    <cellStyle name="Dane wyjściowe 2 12 48 2" xfId="13324"/>
    <cellStyle name="Dane wyjściowe 2 12 48 3" xfId="13325"/>
    <cellStyle name="Dane wyjściowe 2 12 49" xfId="13326"/>
    <cellStyle name="Dane wyjściowe 2 12 49 2" xfId="13327"/>
    <cellStyle name="Dane wyjściowe 2 12 49 3" xfId="13328"/>
    <cellStyle name="Dane wyjściowe 2 12 5" xfId="13329"/>
    <cellStyle name="Dane wyjściowe 2 12 5 2" xfId="13330"/>
    <cellStyle name="Dane wyjściowe 2 12 5 3" xfId="13331"/>
    <cellStyle name="Dane wyjściowe 2 12 5 4" xfId="13332"/>
    <cellStyle name="Dane wyjściowe 2 12 50" xfId="13333"/>
    <cellStyle name="Dane wyjściowe 2 12 50 2" xfId="13334"/>
    <cellStyle name="Dane wyjściowe 2 12 50 3" xfId="13335"/>
    <cellStyle name="Dane wyjściowe 2 12 51" xfId="13336"/>
    <cellStyle name="Dane wyjściowe 2 12 51 2" xfId="13337"/>
    <cellStyle name="Dane wyjściowe 2 12 51 3" xfId="13338"/>
    <cellStyle name="Dane wyjściowe 2 12 52" xfId="13339"/>
    <cellStyle name="Dane wyjściowe 2 12 52 2" xfId="13340"/>
    <cellStyle name="Dane wyjściowe 2 12 52 3" xfId="13341"/>
    <cellStyle name="Dane wyjściowe 2 12 53" xfId="13342"/>
    <cellStyle name="Dane wyjściowe 2 12 53 2" xfId="13343"/>
    <cellStyle name="Dane wyjściowe 2 12 53 3" xfId="13344"/>
    <cellStyle name="Dane wyjściowe 2 12 54" xfId="13345"/>
    <cellStyle name="Dane wyjściowe 2 12 54 2" xfId="13346"/>
    <cellStyle name="Dane wyjściowe 2 12 54 3" xfId="13347"/>
    <cellStyle name="Dane wyjściowe 2 12 55" xfId="13348"/>
    <cellStyle name="Dane wyjściowe 2 12 55 2" xfId="13349"/>
    <cellStyle name="Dane wyjściowe 2 12 55 3" xfId="13350"/>
    <cellStyle name="Dane wyjściowe 2 12 56" xfId="13351"/>
    <cellStyle name="Dane wyjściowe 2 12 56 2" xfId="13352"/>
    <cellStyle name="Dane wyjściowe 2 12 56 3" xfId="13353"/>
    <cellStyle name="Dane wyjściowe 2 12 57" xfId="13354"/>
    <cellStyle name="Dane wyjściowe 2 12 58" xfId="13355"/>
    <cellStyle name="Dane wyjściowe 2 12 6" xfId="13356"/>
    <cellStyle name="Dane wyjściowe 2 12 6 2" xfId="13357"/>
    <cellStyle name="Dane wyjściowe 2 12 6 3" xfId="13358"/>
    <cellStyle name="Dane wyjściowe 2 12 6 4" xfId="13359"/>
    <cellStyle name="Dane wyjściowe 2 12 7" xfId="13360"/>
    <cellStyle name="Dane wyjściowe 2 12 7 2" xfId="13361"/>
    <cellStyle name="Dane wyjściowe 2 12 7 3" xfId="13362"/>
    <cellStyle name="Dane wyjściowe 2 12 7 4" xfId="13363"/>
    <cellStyle name="Dane wyjściowe 2 12 8" xfId="13364"/>
    <cellStyle name="Dane wyjściowe 2 12 8 2" xfId="13365"/>
    <cellStyle name="Dane wyjściowe 2 12 8 3" xfId="13366"/>
    <cellStyle name="Dane wyjściowe 2 12 8 4" xfId="13367"/>
    <cellStyle name="Dane wyjściowe 2 12 9" xfId="13368"/>
    <cellStyle name="Dane wyjściowe 2 12 9 2" xfId="13369"/>
    <cellStyle name="Dane wyjściowe 2 12 9 3" xfId="13370"/>
    <cellStyle name="Dane wyjściowe 2 12 9 4" xfId="13371"/>
    <cellStyle name="Dane wyjściowe 2 13" xfId="13372"/>
    <cellStyle name="Dane wyjściowe 2 13 10" xfId="13373"/>
    <cellStyle name="Dane wyjściowe 2 13 10 2" xfId="13374"/>
    <cellStyle name="Dane wyjściowe 2 13 10 3" xfId="13375"/>
    <cellStyle name="Dane wyjściowe 2 13 10 4" xfId="13376"/>
    <cellStyle name="Dane wyjściowe 2 13 11" xfId="13377"/>
    <cellStyle name="Dane wyjściowe 2 13 11 2" xfId="13378"/>
    <cellStyle name="Dane wyjściowe 2 13 11 3" xfId="13379"/>
    <cellStyle name="Dane wyjściowe 2 13 11 4" xfId="13380"/>
    <cellStyle name="Dane wyjściowe 2 13 12" xfId="13381"/>
    <cellStyle name="Dane wyjściowe 2 13 12 2" xfId="13382"/>
    <cellStyle name="Dane wyjściowe 2 13 12 3" xfId="13383"/>
    <cellStyle name="Dane wyjściowe 2 13 12 4" xfId="13384"/>
    <cellStyle name="Dane wyjściowe 2 13 13" xfId="13385"/>
    <cellStyle name="Dane wyjściowe 2 13 13 2" xfId="13386"/>
    <cellStyle name="Dane wyjściowe 2 13 13 3" xfId="13387"/>
    <cellStyle name="Dane wyjściowe 2 13 13 4" xfId="13388"/>
    <cellStyle name="Dane wyjściowe 2 13 14" xfId="13389"/>
    <cellStyle name="Dane wyjściowe 2 13 14 2" xfId="13390"/>
    <cellStyle name="Dane wyjściowe 2 13 14 3" xfId="13391"/>
    <cellStyle name="Dane wyjściowe 2 13 14 4" xfId="13392"/>
    <cellStyle name="Dane wyjściowe 2 13 15" xfId="13393"/>
    <cellStyle name="Dane wyjściowe 2 13 15 2" xfId="13394"/>
    <cellStyle name="Dane wyjściowe 2 13 15 3" xfId="13395"/>
    <cellStyle name="Dane wyjściowe 2 13 15 4" xfId="13396"/>
    <cellStyle name="Dane wyjściowe 2 13 16" xfId="13397"/>
    <cellStyle name="Dane wyjściowe 2 13 16 2" xfId="13398"/>
    <cellStyle name="Dane wyjściowe 2 13 16 3" xfId="13399"/>
    <cellStyle name="Dane wyjściowe 2 13 16 4" xfId="13400"/>
    <cellStyle name="Dane wyjściowe 2 13 17" xfId="13401"/>
    <cellStyle name="Dane wyjściowe 2 13 17 2" xfId="13402"/>
    <cellStyle name="Dane wyjściowe 2 13 17 3" xfId="13403"/>
    <cellStyle name="Dane wyjściowe 2 13 17 4" xfId="13404"/>
    <cellStyle name="Dane wyjściowe 2 13 18" xfId="13405"/>
    <cellStyle name="Dane wyjściowe 2 13 18 2" xfId="13406"/>
    <cellStyle name="Dane wyjściowe 2 13 18 3" xfId="13407"/>
    <cellStyle name="Dane wyjściowe 2 13 18 4" xfId="13408"/>
    <cellStyle name="Dane wyjściowe 2 13 19" xfId="13409"/>
    <cellStyle name="Dane wyjściowe 2 13 19 2" xfId="13410"/>
    <cellStyle name="Dane wyjściowe 2 13 19 3" xfId="13411"/>
    <cellStyle name="Dane wyjściowe 2 13 19 4" xfId="13412"/>
    <cellStyle name="Dane wyjściowe 2 13 2" xfId="13413"/>
    <cellStyle name="Dane wyjściowe 2 13 2 2" xfId="13414"/>
    <cellStyle name="Dane wyjściowe 2 13 2 3" xfId="13415"/>
    <cellStyle name="Dane wyjściowe 2 13 2 4" xfId="13416"/>
    <cellStyle name="Dane wyjściowe 2 13 20" xfId="13417"/>
    <cellStyle name="Dane wyjściowe 2 13 20 2" xfId="13418"/>
    <cellStyle name="Dane wyjściowe 2 13 20 3" xfId="13419"/>
    <cellStyle name="Dane wyjściowe 2 13 20 4" xfId="13420"/>
    <cellStyle name="Dane wyjściowe 2 13 21" xfId="13421"/>
    <cellStyle name="Dane wyjściowe 2 13 21 2" xfId="13422"/>
    <cellStyle name="Dane wyjściowe 2 13 21 3" xfId="13423"/>
    <cellStyle name="Dane wyjściowe 2 13 22" xfId="13424"/>
    <cellStyle name="Dane wyjściowe 2 13 22 2" xfId="13425"/>
    <cellStyle name="Dane wyjściowe 2 13 22 3" xfId="13426"/>
    <cellStyle name="Dane wyjściowe 2 13 23" xfId="13427"/>
    <cellStyle name="Dane wyjściowe 2 13 23 2" xfId="13428"/>
    <cellStyle name="Dane wyjściowe 2 13 23 3" xfId="13429"/>
    <cellStyle name="Dane wyjściowe 2 13 24" xfId="13430"/>
    <cellStyle name="Dane wyjściowe 2 13 24 2" xfId="13431"/>
    <cellStyle name="Dane wyjściowe 2 13 24 3" xfId="13432"/>
    <cellStyle name="Dane wyjściowe 2 13 25" xfId="13433"/>
    <cellStyle name="Dane wyjściowe 2 13 25 2" xfId="13434"/>
    <cellStyle name="Dane wyjściowe 2 13 25 3" xfId="13435"/>
    <cellStyle name="Dane wyjściowe 2 13 26" xfId="13436"/>
    <cellStyle name="Dane wyjściowe 2 13 26 2" xfId="13437"/>
    <cellStyle name="Dane wyjściowe 2 13 26 3" xfId="13438"/>
    <cellStyle name="Dane wyjściowe 2 13 27" xfId="13439"/>
    <cellStyle name="Dane wyjściowe 2 13 27 2" xfId="13440"/>
    <cellStyle name="Dane wyjściowe 2 13 27 3" xfId="13441"/>
    <cellStyle name="Dane wyjściowe 2 13 28" xfId="13442"/>
    <cellStyle name="Dane wyjściowe 2 13 28 2" xfId="13443"/>
    <cellStyle name="Dane wyjściowe 2 13 28 3" xfId="13444"/>
    <cellStyle name="Dane wyjściowe 2 13 29" xfId="13445"/>
    <cellStyle name="Dane wyjściowe 2 13 29 2" xfId="13446"/>
    <cellStyle name="Dane wyjściowe 2 13 29 3" xfId="13447"/>
    <cellStyle name="Dane wyjściowe 2 13 3" xfId="13448"/>
    <cellStyle name="Dane wyjściowe 2 13 3 2" xfId="13449"/>
    <cellStyle name="Dane wyjściowe 2 13 3 3" xfId="13450"/>
    <cellStyle name="Dane wyjściowe 2 13 3 4" xfId="13451"/>
    <cellStyle name="Dane wyjściowe 2 13 30" xfId="13452"/>
    <cellStyle name="Dane wyjściowe 2 13 30 2" xfId="13453"/>
    <cellStyle name="Dane wyjściowe 2 13 30 3" xfId="13454"/>
    <cellStyle name="Dane wyjściowe 2 13 31" xfId="13455"/>
    <cellStyle name="Dane wyjściowe 2 13 31 2" xfId="13456"/>
    <cellStyle name="Dane wyjściowe 2 13 31 3" xfId="13457"/>
    <cellStyle name="Dane wyjściowe 2 13 32" xfId="13458"/>
    <cellStyle name="Dane wyjściowe 2 13 32 2" xfId="13459"/>
    <cellStyle name="Dane wyjściowe 2 13 32 3" xfId="13460"/>
    <cellStyle name="Dane wyjściowe 2 13 33" xfId="13461"/>
    <cellStyle name="Dane wyjściowe 2 13 33 2" xfId="13462"/>
    <cellStyle name="Dane wyjściowe 2 13 33 3" xfId="13463"/>
    <cellStyle name="Dane wyjściowe 2 13 34" xfId="13464"/>
    <cellStyle name="Dane wyjściowe 2 13 34 2" xfId="13465"/>
    <cellStyle name="Dane wyjściowe 2 13 34 3" xfId="13466"/>
    <cellStyle name="Dane wyjściowe 2 13 35" xfId="13467"/>
    <cellStyle name="Dane wyjściowe 2 13 35 2" xfId="13468"/>
    <cellStyle name="Dane wyjściowe 2 13 35 3" xfId="13469"/>
    <cellStyle name="Dane wyjściowe 2 13 36" xfId="13470"/>
    <cellStyle name="Dane wyjściowe 2 13 36 2" xfId="13471"/>
    <cellStyle name="Dane wyjściowe 2 13 36 3" xfId="13472"/>
    <cellStyle name="Dane wyjściowe 2 13 37" xfId="13473"/>
    <cellStyle name="Dane wyjściowe 2 13 37 2" xfId="13474"/>
    <cellStyle name="Dane wyjściowe 2 13 37 3" xfId="13475"/>
    <cellStyle name="Dane wyjściowe 2 13 38" xfId="13476"/>
    <cellStyle name="Dane wyjściowe 2 13 38 2" xfId="13477"/>
    <cellStyle name="Dane wyjściowe 2 13 38 3" xfId="13478"/>
    <cellStyle name="Dane wyjściowe 2 13 39" xfId="13479"/>
    <cellStyle name="Dane wyjściowe 2 13 39 2" xfId="13480"/>
    <cellStyle name="Dane wyjściowe 2 13 39 3" xfId="13481"/>
    <cellStyle name="Dane wyjściowe 2 13 4" xfId="13482"/>
    <cellStyle name="Dane wyjściowe 2 13 4 2" xfId="13483"/>
    <cellStyle name="Dane wyjściowe 2 13 4 3" xfId="13484"/>
    <cellStyle name="Dane wyjściowe 2 13 4 4" xfId="13485"/>
    <cellStyle name="Dane wyjściowe 2 13 40" xfId="13486"/>
    <cellStyle name="Dane wyjściowe 2 13 40 2" xfId="13487"/>
    <cellStyle name="Dane wyjściowe 2 13 40 3" xfId="13488"/>
    <cellStyle name="Dane wyjściowe 2 13 41" xfId="13489"/>
    <cellStyle name="Dane wyjściowe 2 13 41 2" xfId="13490"/>
    <cellStyle name="Dane wyjściowe 2 13 41 3" xfId="13491"/>
    <cellStyle name="Dane wyjściowe 2 13 42" xfId="13492"/>
    <cellStyle name="Dane wyjściowe 2 13 42 2" xfId="13493"/>
    <cellStyle name="Dane wyjściowe 2 13 42 3" xfId="13494"/>
    <cellStyle name="Dane wyjściowe 2 13 43" xfId="13495"/>
    <cellStyle name="Dane wyjściowe 2 13 43 2" xfId="13496"/>
    <cellStyle name="Dane wyjściowe 2 13 43 3" xfId="13497"/>
    <cellStyle name="Dane wyjściowe 2 13 44" xfId="13498"/>
    <cellStyle name="Dane wyjściowe 2 13 44 2" xfId="13499"/>
    <cellStyle name="Dane wyjściowe 2 13 44 3" xfId="13500"/>
    <cellStyle name="Dane wyjściowe 2 13 45" xfId="13501"/>
    <cellStyle name="Dane wyjściowe 2 13 45 2" xfId="13502"/>
    <cellStyle name="Dane wyjściowe 2 13 45 3" xfId="13503"/>
    <cellStyle name="Dane wyjściowe 2 13 46" xfId="13504"/>
    <cellStyle name="Dane wyjściowe 2 13 46 2" xfId="13505"/>
    <cellStyle name="Dane wyjściowe 2 13 46 3" xfId="13506"/>
    <cellStyle name="Dane wyjściowe 2 13 47" xfId="13507"/>
    <cellStyle name="Dane wyjściowe 2 13 47 2" xfId="13508"/>
    <cellStyle name="Dane wyjściowe 2 13 47 3" xfId="13509"/>
    <cellStyle name="Dane wyjściowe 2 13 48" xfId="13510"/>
    <cellStyle name="Dane wyjściowe 2 13 48 2" xfId="13511"/>
    <cellStyle name="Dane wyjściowe 2 13 48 3" xfId="13512"/>
    <cellStyle name="Dane wyjściowe 2 13 49" xfId="13513"/>
    <cellStyle name="Dane wyjściowe 2 13 49 2" xfId="13514"/>
    <cellStyle name="Dane wyjściowe 2 13 49 3" xfId="13515"/>
    <cellStyle name="Dane wyjściowe 2 13 5" xfId="13516"/>
    <cellStyle name="Dane wyjściowe 2 13 5 2" xfId="13517"/>
    <cellStyle name="Dane wyjściowe 2 13 5 3" xfId="13518"/>
    <cellStyle name="Dane wyjściowe 2 13 5 4" xfId="13519"/>
    <cellStyle name="Dane wyjściowe 2 13 50" xfId="13520"/>
    <cellStyle name="Dane wyjściowe 2 13 50 2" xfId="13521"/>
    <cellStyle name="Dane wyjściowe 2 13 50 3" xfId="13522"/>
    <cellStyle name="Dane wyjściowe 2 13 51" xfId="13523"/>
    <cellStyle name="Dane wyjściowe 2 13 51 2" xfId="13524"/>
    <cellStyle name="Dane wyjściowe 2 13 51 3" xfId="13525"/>
    <cellStyle name="Dane wyjściowe 2 13 52" xfId="13526"/>
    <cellStyle name="Dane wyjściowe 2 13 52 2" xfId="13527"/>
    <cellStyle name="Dane wyjściowe 2 13 52 3" xfId="13528"/>
    <cellStyle name="Dane wyjściowe 2 13 53" xfId="13529"/>
    <cellStyle name="Dane wyjściowe 2 13 53 2" xfId="13530"/>
    <cellStyle name="Dane wyjściowe 2 13 53 3" xfId="13531"/>
    <cellStyle name="Dane wyjściowe 2 13 54" xfId="13532"/>
    <cellStyle name="Dane wyjściowe 2 13 54 2" xfId="13533"/>
    <cellStyle name="Dane wyjściowe 2 13 54 3" xfId="13534"/>
    <cellStyle name="Dane wyjściowe 2 13 55" xfId="13535"/>
    <cellStyle name="Dane wyjściowe 2 13 55 2" xfId="13536"/>
    <cellStyle name="Dane wyjściowe 2 13 55 3" xfId="13537"/>
    <cellStyle name="Dane wyjściowe 2 13 56" xfId="13538"/>
    <cellStyle name="Dane wyjściowe 2 13 56 2" xfId="13539"/>
    <cellStyle name="Dane wyjściowe 2 13 56 3" xfId="13540"/>
    <cellStyle name="Dane wyjściowe 2 13 57" xfId="13541"/>
    <cellStyle name="Dane wyjściowe 2 13 58" xfId="13542"/>
    <cellStyle name="Dane wyjściowe 2 13 6" xfId="13543"/>
    <cellStyle name="Dane wyjściowe 2 13 6 2" xfId="13544"/>
    <cellStyle name="Dane wyjściowe 2 13 6 3" xfId="13545"/>
    <cellStyle name="Dane wyjściowe 2 13 6 4" xfId="13546"/>
    <cellStyle name="Dane wyjściowe 2 13 7" xfId="13547"/>
    <cellStyle name="Dane wyjściowe 2 13 7 2" xfId="13548"/>
    <cellStyle name="Dane wyjściowe 2 13 7 3" xfId="13549"/>
    <cellStyle name="Dane wyjściowe 2 13 7 4" xfId="13550"/>
    <cellStyle name="Dane wyjściowe 2 13 8" xfId="13551"/>
    <cellStyle name="Dane wyjściowe 2 13 8 2" xfId="13552"/>
    <cellStyle name="Dane wyjściowe 2 13 8 3" xfId="13553"/>
    <cellStyle name="Dane wyjściowe 2 13 8 4" xfId="13554"/>
    <cellStyle name="Dane wyjściowe 2 13 9" xfId="13555"/>
    <cellStyle name="Dane wyjściowe 2 13 9 2" xfId="13556"/>
    <cellStyle name="Dane wyjściowe 2 13 9 3" xfId="13557"/>
    <cellStyle name="Dane wyjściowe 2 13 9 4" xfId="13558"/>
    <cellStyle name="Dane wyjściowe 2 14" xfId="13559"/>
    <cellStyle name="Dane wyjściowe 2 14 10" xfId="13560"/>
    <cellStyle name="Dane wyjściowe 2 14 10 2" xfId="13561"/>
    <cellStyle name="Dane wyjściowe 2 14 10 3" xfId="13562"/>
    <cellStyle name="Dane wyjściowe 2 14 10 4" xfId="13563"/>
    <cellStyle name="Dane wyjściowe 2 14 11" xfId="13564"/>
    <cellStyle name="Dane wyjściowe 2 14 11 2" xfId="13565"/>
    <cellStyle name="Dane wyjściowe 2 14 11 3" xfId="13566"/>
    <cellStyle name="Dane wyjściowe 2 14 11 4" xfId="13567"/>
    <cellStyle name="Dane wyjściowe 2 14 12" xfId="13568"/>
    <cellStyle name="Dane wyjściowe 2 14 12 2" xfId="13569"/>
    <cellStyle name="Dane wyjściowe 2 14 12 3" xfId="13570"/>
    <cellStyle name="Dane wyjściowe 2 14 12 4" xfId="13571"/>
    <cellStyle name="Dane wyjściowe 2 14 13" xfId="13572"/>
    <cellStyle name="Dane wyjściowe 2 14 13 2" xfId="13573"/>
    <cellStyle name="Dane wyjściowe 2 14 13 3" xfId="13574"/>
    <cellStyle name="Dane wyjściowe 2 14 13 4" xfId="13575"/>
    <cellStyle name="Dane wyjściowe 2 14 14" xfId="13576"/>
    <cellStyle name="Dane wyjściowe 2 14 14 2" xfId="13577"/>
    <cellStyle name="Dane wyjściowe 2 14 14 3" xfId="13578"/>
    <cellStyle name="Dane wyjściowe 2 14 14 4" xfId="13579"/>
    <cellStyle name="Dane wyjściowe 2 14 15" xfId="13580"/>
    <cellStyle name="Dane wyjściowe 2 14 15 2" xfId="13581"/>
    <cellStyle name="Dane wyjściowe 2 14 15 3" xfId="13582"/>
    <cellStyle name="Dane wyjściowe 2 14 15 4" xfId="13583"/>
    <cellStyle name="Dane wyjściowe 2 14 16" xfId="13584"/>
    <cellStyle name="Dane wyjściowe 2 14 16 2" xfId="13585"/>
    <cellStyle name="Dane wyjściowe 2 14 16 3" xfId="13586"/>
    <cellStyle name="Dane wyjściowe 2 14 16 4" xfId="13587"/>
    <cellStyle name="Dane wyjściowe 2 14 17" xfId="13588"/>
    <cellStyle name="Dane wyjściowe 2 14 17 2" xfId="13589"/>
    <cellStyle name="Dane wyjściowe 2 14 17 3" xfId="13590"/>
    <cellStyle name="Dane wyjściowe 2 14 17 4" xfId="13591"/>
    <cellStyle name="Dane wyjściowe 2 14 18" xfId="13592"/>
    <cellStyle name="Dane wyjściowe 2 14 18 2" xfId="13593"/>
    <cellStyle name="Dane wyjściowe 2 14 18 3" xfId="13594"/>
    <cellStyle name="Dane wyjściowe 2 14 18 4" xfId="13595"/>
    <cellStyle name="Dane wyjściowe 2 14 19" xfId="13596"/>
    <cellStyle name="Dane wyjściowe 2 14 19 2" xfId="13597"/>
    <cellStyle name="Dane wyjściowe 2 14 19 3" xfId="13598"/>
    <cellStyle name="Dane wyjściowe 2 14 19 4" xfId="13599"/>
    <cellStyle name="Dane wyjściowe 2 14 2" xfId="13600"/>
    <cellStyle name="Dane wyjściowe 2 14 2 2" xfId="13601"/>
    <cellStyle name="Dane wyjściowe 2 14 2 3" xfId="13602"/>
    <cellStyle name="Dane wyjściowe 2 14 2 4" xfId="13603"/>
    <cellStyle name="Dane wyjściowe 2 14 20" xfId="13604"/>
    <cellStyle name="Dane wyjściowe 2 14 20 2" xfId="13605"/>
    <cellStyle name="Dane wyjściowe 2 14 20 3" xfId="13606"/>
    <cellStyle name="Dane wyjściowe 2 14 20 4" xfId="13607"/>
    <cellStyle name="Dane wyjściowe 2 14 21" xfId="13608"/>
    <cellStyle name="Dane wyjściowe 2 14 21 2" xfId="13609"/>
    <cellStyle name="Dane wyjściowe 2 14 21 3" xfId="13610"/>
    <cellStyle name="Dane wyjściowe 2 14 22" xfId="13611"/>
    <cellStyle name="Dane wyjściowe 2 14 22 2" xfId="13612"/>
    <cellStyle name="Dane wyjściowe 2 14 22 3" xfId="13613"/>
    <cellStyle name="Dane wyjściowe 2 14 23" xfId="13614"/>
    <cellStyle name="Dane wyjściowe 2 14 23 2" xfId="13615"/>
    <cellStyle name="Dane wyjściowe 2 14 23 3" xfId="13616"/>
    <cellStyle name="Dane wyjściowe 2 14 24" xfId="13617"/>
    <cellStyle name="Dane wyjściowe 2 14 24 2" xfId="13618"/>
    <cellStyle name="Dane wyjściowe 2 14 24 3" xfId="13619"/>
    <cellStyle name="Dane wyjściowe 2 14 25" xfId="13620"/>
    <cellStyle name="Dane wyjściowe 2 14 25 2" xfId="13621"/>
    <cellStyle name="Dane wyjściowe 2 14 25 3" xfId="13622"/>
    <cellStyle name="Dane wyjściowe 2 14 26" xfId="13623"/>
    <cellStyle name="Dane wyjściowe 2 14 26 2" xfId="13624"/>
    <cellStyle name="Dane wyjściowe 2 14 26 3" xfId="13625"/>
    <cellStyle name="Dane wyjściowe 2 14 27" xfId="13626"/>
    <cellStyle name="Dane wyjściowe 2 14 27 2" xfId="13627"/>
    <cellStyle name="Dane wyjściowe 2 14 27 3" xfId="13628"/>
    <cellStyle name="Dane wyjściowe 2 14 28" xfId="13629"/>
    <cellStyle name="Dane wyjściowe 2 14 28 2" xfId="13630"/>
    <cellStyle name="Dane wyjściowe 2 14 28 3" xfId="13631"/>
    <cellStyle name="Dane wyjściowe 2 14 29" xfId="13632"/>
    <cellStyle name="Dane wyjściowe 2 14 29 2" xfId="13633"/>
    <cellStyle name="Dane wyjściowe 2 14 29 3" xfId="13634"/>
    <cellStyle name="Dane wyjściowe 2 14 3" xfId="13635"/>
    <cellStyle name="Dane wyjściowe 2 14 3 2" xfId="13636"/>
    <cellStyle name="Dane wyjściowe 2 14 3 3" xfId="13637"/>
    <cellStyle name="Dane wyjściowe 2 14 3 4" xfId="13638"/>
    <cellStyle name="Dane wyjściowe 2 14 30" xfId="13639"/>
    <cellStyle name="Dane wyjściowe 2 14 30 2" xfId="13640"/>
    <cellStyle name="Dane wyjściowe 2 14 30 3" xfId="13641"/>
    <cellStyle name="Dane wyjściowe 2 14 31" xfId="13642"/>
    <cellStyle name="Dane wyjściowe 2 14 31 2" xfId="13643"/>
    <cellStyle name="Dane wyjściowe 2 14 31 3" xfId="13644"/>
    <cellStyle name="Dane wyjściowe 2 14 32" xfId="13645"/>
    <cellStyle name="Dane wyjściowe 2 14 32 2" xfId="13646"/>
    <cellStyle name="Dane wyjściowe 2 14 32 3" xfId="13647"/>
    <cellStyle name="Dane wyjściowe 2 14 33" xfId="13648"/>
    <cellStyle name="Dane wyjściowe 2 14 33 2" xfId="13649"/>
    <cellStyle name="Dane wyjściowe 2 14 33 3" xfId="13650"/>
    <cellStyle name="Dane wyjściowe 2 14 34" xfId="13651"/>
    <cellStyle name="Dane wyjściowe 2 14 34 2" xfId="13652"/>
    <cellStyle name="Dane wyjściowe 2 14 34 3" xfId="13653"/>
    <cellStyle name="Dane wyjściowe 2 14 35" xfId="13654"/>
    <cellStyle name="Dane wyjściowe 2 14 35 2" xfId="13655"/>
    <cellStyle name="Dane wyjściowe 2 14 35 3" xfId="13656"/>
    <cellStyle name="Dane wyjściowe 2 14 36" xfId="13657"/>
    <cellStyle name="Dane wyjściowe 2 14 36 2" xfId="13658"/>
    <cellStyle name="Dane wyjściowe 2 14 36 3" xfId="13659"/>
    <cellStyle name="Dane wyjściowe 2 14 37" xfId="13660"/>
    <cellStyle name="Dane wyjściowe 2 14 37 2" xfId="13661"/>
    <cellStyle name="Dane wyjściowe 2 14 37 3" xfId="13662"/>
    <cellStyle name="Dane wyjściowe 2 14 38" xfId="13663"/>
    <cellStyle name="Dane wyjściowe 2 14 38 2" xfId="13664"/>
    <cellStyle name="Dane wyjściowe 2 14 38 3" xfId="13665"/>
    <cellStyle name="Dane wyjściowe 2 14 39" xfId="13666"/>
    <cellStyle name="Dane wyjściowe 2 14 39 2" xfId="13667"/>
    <cellStyle name="Dane wyjściowe 2 14 39 3" xfId="13668"/>
    <cellStyle name="Dane wyjściowe 2 14 4" xfId="13669"/>
    <cellStyle name="Dane wyjściowe 2 14 4 2" xfId="13670"/>
    <cellStyle name="Dane wyjściowe 2 14 4 3" xfId="13671"/>
    <cellStyle name="Dane wyjściowe 2 14 4 4" xfId="13672"/>
    <cellStyle name="Dane wyjściowe 2 14 40" xfId="13673"/>
    <cellStyle name="Dane wyjściowe 2 14 40 2" xfId="13674"/>
    <cellStyle name="Dane wyjściowe 2 14 40 3" xfId="13675"/>
    <cellStyle name="Dane wyjściowe 2 14 41" xfId="13676"/>
    <cellStyle name="Dane wyjściowe 2 14 41 2" xfId="13677"/>
    <cellStyle name="Dane wyjściowe 2 14 41 3" xfId="13678"/>
    <cellStyle name="Dane wyjściowe 2 14 42" xfId="13679"/>
    <cellStyle name="Dane wyjściowe 2 14 42 2" xfId="13680"/>
    <cellStyle name="Dane wyjściowe 2 14 42 3" xfId="13681"/>
    <cellStyle name="Dane wyjściowe 2 14 43" xfId="13682"/>
    <cellStyle name="Dane wyjściowe 2 14 43 2" xfId="13683"/>
    <cellStyle name="Dane wyjściowe 2 14 43 3" xfId="13684"/>
    <cellStyle name="Dane wyjściowe 2 14 44" xfId="13685"/>
    <cellStyle name="Dane wyjściowe 2 14 44 2" xfId="13686"/>
    <cellStyle name="Dane wyjściowe 2 14 44 3" xfId="13687"/>
    <cellStyle name="Dane wyjściowe 2 14 45" xfId="13688"/>
    <cellStyle name="Dane wyjściowe 2 14 45 2" xfId="13689"/>
    <cellStyle name="Dane wyjściowe 2 14 45 3" xfId="13690"/>
    <cellStyle name="Dane wyjściowe 2 14 46" xfId="13691"/>
    <cellStyle name="Dane wyjściowe 2 14 46 2" xfId="13692"/>
    <cellStyle name="Dane wyjściowe 2 14 46 3" xfId="13693"/>
    <cellStyle name="Dane wyjściowe 2 14 47" xfId="13694"/>
    <cellStyle name="Dane wyjściowe 2 14 47 2" xfId="13695"/>
    <cellStyle name="Dane wyjściowe 2 14 47 3" xfId="13696"/>
    <cellStyle name="Dane wyjściowe 2 14 48" xfId="13697"/>
    <cellStyle name="Dane wyjściowe 2 14 48 2" xfId="13698"/>
    <cellStyle name="Dane wyjściowe 2 14 48 3" xfId="13699"/>
    <cellStyle name="Dane wyjściowe 2 14 49" xfId="13700"/>
    <cellStyle name="Dane wyjściowe 2 14 49 2" xfId="13701"/>
    <cellStyle name="Dane wyjściowe 2 14 49 3" xfId="13702"/>
    <cellStyle name="Dane wyjściowe 2 14 5" xfId="13703"/>
    <cellStyle name="Dane wyjściowe 2 14 5 2" xfId="13704"/>
    <cellStyle name="Dane wyjściowe 2 14 5 3" xfId="13705"/>
    <cellStyle name="Dane wyjściowe 2 14 5 4" xfId="13706"/>
    <cellStyle name="Dane wyjściowe 2 14 50" xfId="13707"/>
    <cellStyle name="Dane wyjściowe 2 14 50 2" xfId="13708"/>
    <cellStyle name="Dane wyjściowe 2 14 50 3" xfId="13709"/>
    <cellStyle name="Dane wyjściowe 2 14 51" xfId="13710"/>
    <cellStyle name="Dane wyjściowe 2 14 51 2" xfId="13711"/>
    <cellStyle name="Dane wyjściowe 2 14 51 3" xfId="13712"/>
    <cellStyle name="Dane wyjściowe 2 14 52" xfId="13713"/>
    <cellStyle name="Dane wyjściowe 2 14 52 2" xfId="13714"/>
    <cellStyle name="Dane wyjściowe 2 14 52 3" xfId="13715"/>
    <cellStyle name="Dane wyjściowe 2 14 53" xfId="13716"/>
    <cellStyle name="Dane wyjściowe 2 14 53 2" xfId="13717"/>
    <cellStyle name="Dane wyjściowe 2 14 53 3" xfId="13718"/>
    <cellStyle name="Dane wyjściowe 2 14 54" xfId="13719"/>
    <cellStyle name="Dane wyjściowe 2 14 54 2" xfId="13720"/>
    <cellStyle name="Dane wyjściowe 2 14 54 3" xfId="13721"/>
    <cellStyle name="Dane wyjściowe 2 14 55" xfId="13722"/>
    <cellStyle name="Dane wyjściowe 2 14 55 2" xfId="13723"/>
    <cellStyle name="Dane wyjściowe 2 14 55 3" xfId="13724"/>
    <cellStyle name="Dane wyjściowe 2 14 56" xfId="13725"/>
    <cellStyle name="Dane wyjściowe 2 14 56 2" xfId="13726"/>
    <cellStyle name="Dane wyjściowe 2 14 56 3" xfId="13727"/>
    <cellStyle name="Dane wyjściowe 2 14 57" xfId="13728"/>
    <cellStyle name="Dane wyjściowe 2 14 58" xfId="13729"/>
    <cellStyle name="Dane wyjściowe 2 14 6" xfId="13730"/>
    <cellStyle name="Dane wyjściowe 2 14 6 2" xfId="13731"/>
    <cellStyle name="Dane wyjściowe 2 14 6 3" xfId="13732"/>
    <cellStyle name="Dane wyjściowe 2 14 6 4" xfId="13733"/>
    <cellStyle name="Dane wyjściowe 2 14 7" xfId="13734"/>
    <cellStyle name="Dane wyjściowe 2 14 7 2" xfId="13735"/>
    <cellStyle name="Dane wyjściowe 2 14 7 3" xfId="13736"/>
    <cellStyle name="Dane wyjściowe 2 14 7 4" xfId="13737"/>
    <cellStyle name="Dane wyjściowe 2 14 8" xfId="13738"/>
    <cellStyle name="Dane wyjściowe 2 14 8 2" xfId="13739"/>
    <cellStyle name="Dane wyjściowe 2 14 8 3" xfId="13740"/>
    <cellStyle name="Dane wyjściowe 2 14 8 4" xfId="13741"/>
    <cellStyle name="Dane wyjściowe 2 14 9" xfId="13742"/>
    <cellStyle name="Dane wyjściowe 2 14 9 2" xfId="13743"/>
    <cellStyle name="Dane wyjściowe 2 14 9 3" xfId="13744"/>
    <cellStyle name="Dane wyjściowe 2 14 9 4" xfId="13745"/>
    <cellStyle name="Dane wyjściowe 2 15" xfId="13746"/>
    <cellStyle name="Dane wyjściowe 2 15 10" xfId="13747"/>
    <cellStyle name="Dane wyjściowe 2 15 10 2" xfId="13748"/>
    <cellStyle name="Dane wyjściowe 2 15 10 3" xfId="13749"/>
    <cellStyle name="Dane wyjściowe 2 15 10 4" xfId="13750"/>
    <cellStyle name="Dane wyjściowe 2 15 11" xfId="13751"/>
    <cellStyle name="Dane wyjściowe 2 15 11 2" xfId="13752"/>
    <cellStyle name="Dane wyjściowe 2 15 11 3" xfId="13753"/>
    <cellStyle name="Dane wyjściowe 2 15 11 4" xfId="13754"/>
    <cellStyle name="Dane wyjściowe 2 15 12" xfId="13755"/>
    <cellStyle name="Dane wyjściowe 2 15 12 2" xfId="13756"/>
    <cellStyle name="Dane wyjściowe 2 15 12 3" xfId="13757"/>
    <cellStyle name="Dane wyjściowe 2 15 12 4" xfId="13758"/>
    <cellStyle name="Dane wyjściowe 2 15 13" xfId="13759"/>
    <cellStyle name="Dane wyjściowe 2 15 13 2" xfId="13760"/>
    <cellStyle name="Dane wyjściowe 2 15 13 3" xfId="13761"/>
    <cellStyle name="Dane wyjściowe 2 15 13 4" xfId="13762"/>
    <cellStyle name="Dane wyjściowe 2 15 14" xfId="13763"/>
    <cellStyle name="Dane wyjściowe 2 15 14 2" xfId="13764"/>
    <cellStyle name="Dane wyjściowe 2 15 14 3" xfId="13765"/>
    <cellStyle name="Dane wyjściowe 2 15 14 4" xfId="13766"/>
    <cellStyle name="Dane wyjściowe 2 15 15" xfId="13767"/>
    <cellStyle name="Dane wyjściowe 2 15 15 2" xfId="13768"/>
    <cellStyle name="Dane wyjściowe 2 15 15 3" xfId="13769"/>
    <cellStyle name="Dane wyjściowe 2 15 15 4" xfId="13770"/>
    <cellStyle name="Dane wyjściowe 2 15 16" xfId="13771"/>
    <cellStyle name="Dane wyjściowe 2 15 16 2" xfId="13772"/>
    <cellStyle name="Dane wyjściowe 2 15 16 3" xfId="13773"/>
    <cellStyle name="Dane wyjściowe 2 15 16 4" xfId="13774"/>
    <cellStyle name="Dane wyjściowe 2 15 17" xfId="13775"/>
    <cellStyle name="Dane wyjściowe 2 15 17 2" xfId="13776"/>
    <cellStyle name="Dane wyjściowe 2 15 17 3" xfId="13777"/>
    <cellStyle name="Dane wyjściowe 2 15 17 4" xfId="13778"/>
    <cellStyle name="Dane wyjściowe 2 15 18" xfId="13779"/>
    <cellStyle name="Dane wyjściowe 2 15 18 2" xfId="13780"/>
    <cellStyle name="Dane wyjściowe 2 15 18 3" xfId="13781"/>
    <cellStyle name="Dane wyjściowe 2 15 18 4" xfId="13782"/>
    <cellStyle name="Dane wyjściowe 2 15 19" xfId="13783"/>
    <cellStyle name="Dane wyjściowe 2 15 19 2" xfId="13784"/>
    <cellStyle name="Dane wyjściowe 2 15 19 3" xfId="13785"/>
    <cellStyle name="Dane wyjściowe 2 15 19 4" xfId="13786"/>
    <cellStyle name="Dane wyjściowe 2 15 2" xfId="13787"/>
    <cellStyle name="Dane wyjściowe 2 15 2 2" xfId="13788"/>
    <cellStyle name="Dane wyjściowe 2 15 2 3" xfId="13789"/>
    <cellStyle name="Dane wyjściowe 2 15 2 4" xfId="13790"/>
    <cellStyle name="Dane wyjściowe 2 15 20" xfId="13791"/>
    <cellStyle name="Dane wyjściowe 2 15 20 2" xfId="13792"/>
    <cellStyle name="Dane wyjściowe 2 15 20 3" xfId="13793"/>
    <cellStyle name="Dane wyjściowe 2 15 20 4" xfId="13794"/>
    <cellStyle name="Dane wyjściowe 2 15 21" xfId="13795"/>
    <cellStyle name="Dane wyjściowe 2 15 21 2" xfId="13796"/>
    <cellStyle name="Dane wyjściowe 2 15 21 3" xfId="13797"/>
    <cellStyle name="Dane wyjściowe 2 15 22" xfId="13798"/>
    <cellStyle name="Dane wyjściowe 2 15 22 2" xfId="13799"/>
    <cellStyle name="Dane wyjściowe 2 15 22 3" xfId="13800"/>
    <cellStyle name="Dane wyjściowe 2 15 23" xfId="13801"/>
    <cellStyle name="Dane wyjściowe 2 15 23 2" xfId="13802"/>
    <cellStyle name="Dane wyjściowe 2 15 23 3" xfId="13803"/>
    <cellStyle name="Dane wyjściowe 2 15 24" xfId="13804"/>
    <cellStyle name="Dane wyjściowe 2 15 24 2" xfId="13805"/>
    <cellStyle name="Dane wyjściowe 2 15 24 3" xfId="13806"/>
    <cellStyle name="Dane wyjściowe 2 15 25" xfId="13807"/>
    <cellStyle name="Dane wyjściowe 2 15 25 2" xfId="13808"/>
    <cellStyle name="Dane wyjściowe 2 15 25 3" xfId="13809"/>
    <cellStyle name="Dane wyjściowe 2 15 26" xfId="13810"/>
    <cellStyle name="Dane wyjściowe 2 15 26 2" xfId="13811"/>
    <cellStyle name="Dane wyjściowe 2 15 26 3" xfId="13812"/>
    <cellStyle name="Dane wyjściowe 2 15 27" xfId="13813"/>
    <cellStyle name="Dane wyjściowe 2 15 27 2" xfId="13814"/>
    <cellStyle name="Dane wyjściowe 2 15 27 3" xfId="13815"/>
    <cellStyle name="Dane wyjściowe 2 15 28" xfId="13816"/>
    <cellStyle name="Dane wyjściowe 2 15 28 2" xfId="13817"/>
    <cellStyle name="Dane wyjściowe 2 15 28 3" xfId="13818"/>
    <cellStyle name="Dane wyjściowe 2 15 29" xfId="13819"/>
    <cellStyle name="Dane wyjściowe 2 15 29 2" xfId="13820"/>
    <cellStyle name="Dane wyjściowe 2 15 29 3" xfId="13821"/>
    <cellStyle name="Dane wyjściowe 2 15 3" xfId="13822"/>
    <cellStyle name="Dane wyjściowe 2 15 3 2" xfId="13823"/>
    <cellStyle name="Dane wyjściowe 2 15 3 3" xfId="13824"/>
    <cellStyle name="Dane wyjściowe 2 15 3 4" xfId="13825"/>
    <cellStyle name="Dane wyjściowe 2 15 30" xfId="13826"/>
    <cellStyle name="Dane wyjściowe 2 15 30 2" xfId="13827"/>
    <cellStyle name="Dane wyjściowe 2 15 30 3" xfId="13828"/>
    <cellStyle name="Dane wyjściowe 2 15 31" xfId="13829"/>
    <cellStyle name="Dane wyjściowe 2 15 31 2" xfId="13830"/>
    <cellStyle name="Dane wyjściowe 2 15 31 3" xfId="13831"/>
    <cellStyle name="Dane wyjściowe 2 15 32" xfId="13832"/>
    <cellStyle name="Dane wyjściowe 2 15 32 2" xfId="13833"/>
    <cellStyle name="Dane wyjściowe 2 15 32 3" xfId="13834"/>
    <cellStyle name="Dane wyjściowe 2 15 33" xfId="13835"/>
    <cellStyle name="Dane wyjściowe 2 15 33 2" xfId="13836"/>
    <cellStyle name="Dane wyjściowe 2 15 33 3" xfId="13837"/>
    <cellStyle name="Dane wyjściowe 2 15 34" xfId="13838"/>
    <cellStyle name="Dane wyjściowe 2 15 34 2" xfId="13839"/>
    <cellStyle name="Dane wyjściowe 2 15 34 3" xfId="13840"/>
    <cellStyle name="Dane wyjściowe 2 15 35" xfId="13841"/>
    <cellStyle name="Dane wyjściowe 2 15 35 2" xfId="13842"/>
    <cellStyle name="Dane wyjściowe 2 15 35 3" xfId="13843"/>
    <cellStyle name="Dane wyjściowe 2 15 36" xfId="13844"/>
    <cellStyle name="Dane wyjściowe 2 15 36 2" xfId="13845"/>
    <cellStyle name="Dane wyjściowe 2 15 36 3" xfId="13846"/>
    <cellStyle name="Dane wyjściowe 2 15 37" xfId="13847"/>
    <cellStyle name="Dane wyjściowe 2 15 37 2" xfId="13848"/>
    <cellStyle name="Dane wyjściowe 2 15 37 3" xfId="13849"/>
    <cellStyle name="Dane wyjściowe 2 15 38" xfId="13850"/>
    <cellStyle name="Dane wyjściowe 2 15 38 2" xfId="13851"/>
    <cellStyle name="Dane wyjściowe 2 15 38 3" xfId="13852"/>
    <cellStyle name="Dane wyjściowe 2 15 39" xfId="13853"/>
    <cellStyle name="Dane wyjściowe 2 15 39 2" xfId="13854"/>
    <cellStyle name="Dane wyjściowe 2 15 39 3" xfId="13855"/>
    <cellStyle name="Dane wyjściowe 2 15 4" xfId="13856"/>
    <cellStyle name="Dane wyjściowe 2 15 4 2" xfId="13857"/>
    <cellStyle name="Dane wyjściowe 2 15 4 3" xfId="13858"/>
    <cellStyle name="Dane wyjściowe 2 15 4 4" xfId="13859"/>
    <cellStyle name="Dane wyjściowe 2 15 40" xfId="13860"/>
    <cellStyle name="Dane wyjściowe 2 15 40 2" xfId="13861"/>
    <cellStyle name="Dane wyjściowe 2 15 40 3" xfId="13862"/>
    <cellStyle name="Dane wyjściowe 2 15 41" xfId="13863"/>
    <cellStyle name="Dane wyjściowe 2 15 41 2" xfId="13864"/>
    <cellStyle name="Dane wyjściowe 2 15 41 3" xfId="13865"/>
    <cellStyle name="Dane wyjściowe 2 15 42" xfId="13866"/>
    <cellStyle name="Dane wyjściowe 2 15 42 2" xfId="13867"/>
    <cellStyle name="Dane wyjściowe 2 15 42 3" xfId="13868"/>
    <cellStyle name="Dane wyjściowe 2 15 43" xfId="13869"/>
    <cellStyle name="Dane wyjściowe 2 15 43 2" xfId="13870"/>
    <cellStyle name="Dane wyjściowe 2 15 43 3" xfId="13871"/>
    <cellStyle name="Dane wyjściowe 2 15 44" xfId="13872"/>
    <cellStyle name="Dane wyjściowe 2 15 44 2" xfId="13873"/>
    <cellStyle name="Dane wyjściowe 2 15 44 3" xfId="13874"/>
    <cellStyle name="Dane wyjściowe 2 15 45" xfId="13875"/>
    <cellStyle name="Dane wyjściowe 2 15 45 2" xfId="13876"/>
    <cellStyle name="Dane wyjściowe 2 15 45 3" xfId="13877"/>
    <cellStyle name="Dane wyjściowe 2 15 46" xfId="13878"/>
    <cellStyle name="Dane wyjściowe 2 15 46 2" xfId="13879"/>
    <cellStyle name="Dane wyjściowe 2 15 46 3" xfId="13880"/>
    <cellStyle name="Dane wyjściowe 2 15 47" xfId="13881"/>
    <cellStyle name="Dane wyjściowe 2 15 47 2" xfId="13882"/>
    <cellStyle name="Dane wyjściowe 2 15 47 3" xfId="13883"/>
    <cellStyle name="Dane wyjściowe 2 15 48" xfId="13884"/>
    <cellStyle name="Dane wyjściowe 2 15 48 2" xfId="13885"/>
    <cellStyle name="Dane wyjściowe 2 15 48 3" xfId="13886"/>
    <cellStyle name="Dane wyjściowe 2 15 49" xfId="13887"/>
    <cellStyle name="Dane wyjściowe 2 15 49 2" xfId="13888"/>
    <cellStyle name="Dane wyjściowe 2 15 49 3" xfId="13889"/>
    <cellStyle name="Dane wyjściowe 2 15 5" xfId="13890"/>
    <cellStyle name="Dane wyjściowe 2 15 5 2" xfId="13891"/>
    <cellStyle name="Dane wyjściowe 2 15 5 3" xfId="13892"/>
    <cellStyle name="Dane wyjściowe 2 15 5 4" xfId="13893"/>
    <cellStyle name="Dane wyjściowe 2 15 50" xfId="13894"/>
    <cellStyle name="Dane wyjściowe 2 15 50 2" xfId="13895"/>
    <cellStyle name="Dane wyjściowe 2 15 50 3" xfId="13896"/>
    <cellStyle name="Dane wyjściowe 2 15 51" xfId="13897"/>
    <cellStyle name="Dane wyjściowe 2 15 51 2" xfId="13898"/>
    <cellStyle name="Dane wyjściowe 2 15 51 3" xfId="13899"/>
    <cellStyle name="Dane wyjściowe 2 15 52" xfId="13900"/>
    <cellStyle name="Dane wyjściowe 2 15 52 2" xfId="13901"/>
    <cellStyle name="Dane wyjściowe 2 15 52 3" xfId="13902"/>
    <cellStyle name="Dane wyjściowe 2 15 53" xfId="13903"/>
    <cellStyle name="Dane wyjściowe 2 15 53 2" xfId="13904"/>
    <cellStyle name="Dane wyjściowe 2 15 53 3" xfId="13905"/>
    <cellStyle name="Dane wyjściowe 2 15 54" xfId="13906"/>
    <cellStyle name="Dane wyjściowe 2 15 54 2" xfId="13907"/>
    <cellStyle name="Dane wyjściowe 2 15 54 3" xfId="13908"/>
    <cellStyle name="Dane wyjściowe 2 15 55" xfId="13909"/>
    <cellStyle name="Dane wyjściowe 2 15 55 2" xfId="13910"/>
    <cellStyle name="Dane wyjściowe 2 15 55 3" xfId="13911"/>
    <cellStyle name="Dane wyjściowe 2 15 56" xfId="13912"/>
    <cellStyle name="Dane wyjściowe 2 15 56 2" xfId="13913"/>
    <cellStyle name="Dane wyjściowe 2 15 56 3" xfId="13914"/>
    <cellStyle name="Dane wyjściowe 2 15 57" xfId="13915"/>
    <cellStyle name="Dane wyjściowe 2 15 58" xfId="13916"/>
    <cellStyle name="Dane wyjściowe 2 15 6" xfId="13917"/>
    <cellStyle name="Dane wyjściowe 2 15 6 2" xfId="13918"/>
    <cellStyle name="Dane wyjściowe 2 15 6 3" xfId="13919"/>
    <cellStyle name="Dane wyjściowe 2 15 6 4" xfId="13920"/>
    <cellStyle name="Dane wyjściowe 2 15 7" xfId="13921"/>
    <cellStyle name="Dane wyjściowe 2 15 7 2" xfId="13922"/>
    <cellStyle name="Dane wyjściowe 2 15 7 3" xfId="13923"/>
    <cellStyle name="Dane wyjściowe 2 15 7 4" xfId="13924"/>
    <cellStyle name="Dane wyjściowe 2 15 8" xfId="13925"/>
    <cellStyle name="Dane wyjściowe 2 15 8 2" xfId="13926"/>
    <cellStyle name="Dane wyjściowe 2 15 8 3" xfId="13927"/>
    <cellStyle name="Dane wyjściowe 2 15 8 4" xfId="13928"/>
    <cellStyle name="Dane wyjściowe 2 15 9" xfId="13929"/>
    <cellStyle name="Dane wyjściowe 2 15 9 2" xfId="13930"/>
    <cellStyle name="Dane wyjściowe 2 15 9 3" xfId="13931"/>
    <cellStyle name="Dane wyjściowe 2 15 9 4" xfId="13932"/>
    <cellStyle name="Dane wyjściowe 2 16" xfId="13933"/>
    <cellStyle name="Dane wyjściowe 2 16 10" xfId="13934"/>
    <cellStyle name="Dane wyjściowe 2 16 10 2" xfId="13935"/>
    <cellStyle name="Dane wyjściowe 2 16 10 3" xfId="13936"/>
    <cellStyle name="Dane wyjściowe 2 16 10 4" xfId="13937"/>
    <cellStyle name="Dane wyjściowe 2 16 11" xfId="13938"/>
    <cellStyle name="Dane wyjściowe 2 16 11 2" xfId="13939"/>
    <cellStyle name="Dane wyjściowe 2 16 11 3" xfId="13940"/>
    <cellStyle name="Dane wyjściowe 2 16 11 4" xfId="13941"/>
    <cellStyle name="Dane wyjściowe 2 16 12" xfId="13942"/>
    <cellStyle name="Dane wyjściowe 2 16 12 2" xfId="13943"/>
    <cellStyle name="Dane wyjściowe 2 16 12 3" xfId="13944"/>
    <cellStyle name="Dane wyjściowe 2 16 12 4" xfId="13945"/>
    <cellStyle name="Dane wyjściowe 2 16 13" xfId="13946"/>
    <cellStyle name="Dane wyjściowe 2 16 13 2" xfId="13947"/>
    <cellStyle name="Dane wyjściowe 2 16 13 3" xfId="13948"/>
    <cellStyle name="Dane wyjściowe 2 16 13 4" xfId="13949"/>
    <cellStyle name="Dane wyjściowe 2 16 14" xfId="13950"/>
    <cellStyle name="Dane wyjściowe 2 16 14 2" xfId="13951"/>
    <cellStyle name="Dane wyjściowe 2 16 14 3" xfId="13952"/>
    <cellStyle name="Dane wyjściowe 2 16 14 4" xfId="13953"/>
    <cellStyle name="Dane wyjściowe 2 16 15" xfId="13954"/>
    <cellStyle name="Dane wyjściowe 2 16 15 2" xfId="13955"/>
    <cellStyle name="Dane wyjściowe 2 16 15 3" xfId="13956"/>
    <cellStyle name="Dane wyjściowe 2 16 15 4" xfId="13957"/>
    <cellStyle name="Dane wyjściowe 2 16 16" xfId="13958"/>
    <cellStyle name="Dane wyjściowe 2 16 16 2" xfId="13959"/>
    <cellStyle name="Dane wyjściowe 2 16 16 3" xfId="13960"/>
    <cellStyle name="Dane wyjściowe 2 16 16 4" xfId="13961"/>
    <cellStyle name="Dane wyjściowe 2 16 17" xfId="13962"/>
    <cellStyle name="Dane wyjściowe 2 16 17 2" xfId="13963"/>
    <cellStyle name="Dane wyjściowe 2 16 17 3" xfId="13964"/>
    <cellStyle name="Dane wyjściowe 2 16 17 4" xfId="13965"/>
    <cellStyle name="Dane wyjściowe 2 16 18" xfId="13966"/>
    <cellStyle name="Dane wyjściowe 2 16 18 2" xfId="13967"/>
    <cellStyle name="Dane wyjściowe 2 16 18 3" xfId="13968"/>
    <cellStyle name="Dane wyjściowe 2 16 18 4" xfId="13969"/>
    <cellStyle name="Dane wyjściowe 2 16 19" xfId="13970"/>
    <cellStyle name="Dane wyjściowe 2 16 19 2" xfId="13971"/>
    <cellStyle name="Dane wyjściowe 2 16 19 3" xfId="13972"/>
    <cellStyle name="Dane wyjściowe 2 16 19 4" xfId="13973"/>
    <cellStyle name="Dane wyjściowe 2 16 2" xfId="13974"/>
    <cellStyle name="Dane wyjściowe 2 16 2 2" xfId="13975"/>
    <cellStyle name="Dane wyjściowe 2 16 2 3" xfId="13976"/>
    <cellStyle name="Dane wyjściowe 2 16 2 4" xfId="13977"/>
    <cellStyle name="Dane wyjściowe 2 16 20" xfId="13978"/>
    <cellStyle name="Dane wyjściowe 2 16 20 2" xfId="13979"/>
    <cellStyle name="Dane wyjściowe 2 16 20 3" xfId="13980"/>
    <cellStyle name="Dane wyjściowe 2 16 20 4" xfId="13981"/>
    <cellStyle name="Dane wyjściowe 2 16 21" xfId="13982"/>
    <cellStyle name="Dane wyjściowe 2 16 21 2" xfId="13983"/>
    <cellStyle name="Dane wyjściowe 2 16 21 3" xfId="13984"/>
    <cellStyle name="Dane wyjściowe 2 16 22" xfId="13985"/>
    <cellStyle name="Dane wyjściowe 2 16 22 2" xfId="13986"/>
    <cellStyle name="Dane wyjściowe 2 16 22 3" xfId="13987"/>
    <cellStyle name="Dane wyjściowe 2 16 23" xfId="13988"/>
    <cellStyle name="Dane wyjściowe 2 16 23 2" xfId="13989"/>
    <cellStyle name="Dane wyjściowe 2 16 23 3" xfId="13990"/>
    <cellStyle name="Dane wyjściowe 2 16 24" xfId="13991"/>
    <cellStyle name="Dane wyjściowe 2 16 24 2" xfId="13992"/>
    <cellStyle name="Dane wyjściowe 2 16 24 3" xfId="13993"/>
    <cellStyle name="Dane wyjściowe 2 16 25" xfId="13994"/>
    <cellStyle name="Dane wyjściowe 2 16 25 2" xfId="13995"/>
    <cellStyle name="Dane wyjściowe 2 16 25 3" xfId="13996"/>
    <cellStyle name="Dane wyjściowe 2 16 26" xfId="13997"/>
    <cellStyle name="Dane wyjściowe 2 16 26 2" xfId="13998"/>
    <cellStyle name="Dane wyjściowe 2 16 26 3" xfId="13999"/>
    <cellStyle name="Dane wyjściowe 2 16 27" xfId="14000"/>
    <cellStyle name="Dane wyjściowe 2 16 27 2" xfId="14001"/>
    <cellStyle name="Dane wyjściowe 2 16 27 3" xfId="14002"/>
    <cellStyle name="Dane wyjściowe 2 16 28" xfId="14003"/>
    <cellStyle name="Dane wyjściowe 2 16 28 2" xfId="14004"/>
    <cellStyle name="Dane wyjściowe 2 16 28 3" xfId="14005"/>
    <cellStyle name="Dane wyjściowe 2 16 29" xfId="14006"/>
    <cellStyle name="Dane wyjściowe 2 16 29 2" xfId="14007"/>
    <cellStyle name="Dane wyjściowe 2 16 29 3" xfId="14008"/>
    <cellStyle name="Dane wyjściowe 2 16 3" xfId="14009"/>
    <cellStyle name="Dane wyjściowe 2 16 3 2" xfId="14010"/>
    <cellStyle name="Dane wyjściowe 2 16 3 3" xfId="14011"/>
    <cellStyle name="Dane wyjściowe 2 16 3 4" xfId="14012"/>
    <cellStyle name="Dane wyjściowe 2 16 30" xfId="14013"/>
    <cellStyle name="Dane wyjściowe 2 16 30 2" xfId="14014"/>
    <cellStyle name="Dane wyjściowe 2 16 30 3" xfId="14015"/>
    <cellStyle name="Dane wyjściowe 2 16 31" xfId="14016"/>
    <cellStyle name="Dane wyjściowe 2 16 31 2" xfId="14017"/>
    <cellStyle name="Dane wyjściowe 2 16 31 3" xfId="14018"/>
    <cellStyle name="Dane wyjściowe 2 16 32" xfId="14019"/>
    <cellStyle name="Dane wyjściowe 2 16 32 2" xfId="14020"/>
    <cellStyle name="Dane wyjściowe 2 16 32 3" xfId="14021"/>
    <cellStyle name="Dane wyjściowe 2 16 33" xfId="14022"/>
    <cellStyle name="Dane wyjściowe 2 16 33 2" xfId="14023"/>
    <cellStyle name="Dane wyjściowe 2 16 33 3" xfId="14024"/>
    <cellStyle name="Dane wyjściowe 2 16 34" xfId="14025"/>
    <cellStyle name="Dane wyjściowe 2 16 34 2" xfId="14026"/>
    <cellStyle name="Dane wyjściowe 2 16 34 3" xfId="14027"/>
    <cellStyle name="Dane wyjściowe 2 16 35" xfId="14028"/>
    <cellStyle name="Dane wyjściowe 2 16 35 2" xfId="14029"/>
    <cellStyle name="Dane wyjściowe 2 16 35 3" xfId="14030"/>
    <cellStyle name="Dane wyjściowe 2 16 36" xfId="14031"/>
    <cellStyle name="Dane wyjściowe 2 16 36 2" xfId="14032"/>
    <cellStyle name="Dane wyjściowe 2 16 36 3" xfId="14033"/>
    <cellStyle name="Dane wyjściowe 2 16 37" xfId="14034"/>
    <cellStyle name="Dane wyjściowe 2 16 37 2" xfId="14035"/>
    <cellStyle name="Dane wyjściowe 2 16 37 3" xfId="14036"/>
    <cellStyle name="Dane wyjściowe 2 16 38" xfId="14037"/>
    <cellStyle name="Dane wyjściowe 2 16 38 2" xfId="14038"/>
    <cellStyle name="Dane wyjściowe 2 16 38 3" xfId="14039"/>
    <cellStyle name="Dane wyjściowe 2 16 39" xfId="14040"/>
    <cellStyle name="Dane wyjściowe 2 16 39 2" xfId="14041"/>
    <cellStyle name="Dane wyjściowe 2 16 39 3" xfId="14042"/>
    <cellStyle name="Dane wyjściowe 2 16 4" xfId="14043"/>
    <cellStyle name="Dane wyjściowe 2 16 4 2" xfId="14044"/>
    <cellStyle name="Dane wyjściowe 2 16 4 3" xfId="14045"/>
    <cellStyle name="Dane wyjściowe 2 16 4 4" xfId="14046"/>
    <cellStyle name="Dane wyjściowe 2 16 40" xfId="14047"/>
    <cellStyle name="Dane wyjściowe 2 16 40 2" xfId="14048"/>
    <cellStyle name="Dane wyjściowe 2 16 40 3" xfId="14049"/>
    <cellStyle name="Dane wyjściowe 2 16 41" xfId="14050"/>
    <cellStyle name="Dane wyjściowe 2 16 41 2" xfId="14051"/>
    <cellStyle name="Dane wyjściowe 2 16 41 3" xfId="14052"/>
    <cellStyle name="Dane wyjściowe 2 16 42" xfId="14053"/>
    <cellStyle name="Dane wyjściowe 2 16 42 2" xfId="14054"/>
    <cellStyle name="Dane wyjściowe 2 16 42 3" xfId="14055"/>
    <cellStyle name="Dane wyjściowe 2 16 43" xfId="14056"/>
    <cellStyle name="Dane wyjściowe 2 16 43 2" xfId="14057"/>
    <cellStyle name="Dane wyjściowe 2 16 43 3" xfId="14058"/>
    <cellStyle name="Dane wyjściowe 2 16 44" xfId="14059"/>
    <cellStyle name="Dane wyjściowe 2 16 44 2" xfId="14060"/>
    <cellStyle name="Dane wyjściowe 2 16 44 3" xfId="14061"/>
    <cellStyle name="Dane wyjściowe 2 16 45" xfId="14062"/>
    <cellStyle name="Dane wyjściowe 2 16 45 2" xfId="14063"/>
    <cellStyle name="Dane wyjściowe 2 16 45 3" xfId="14064"/>
    <cellStyle name="Dane wyjściowe 2 16 46" xfId="14065"/>
    <cellStyle name="Dane wyjściowe 2 16 46 2" xfId="14066"/>
    <cellStyle name="Dane wyjściowe 2 16 46 3" xfId="14067"/>
    <cellStyle name="Dane wyjściowe 2 16 47" xfId="14068"/>
    <cellStyle name="Dane wyjściowe 2 16 47 2" xfId="14069"/>
    <cellStyle name="Dane wyjściowe 2 16 47 3" xfId="14070"/>
    <cellStyle name="Dane wyjściowe 2 16 48" xfId="14071"/>
    <cellStyle name="Dane wyjściowe 2 16 48 2" xfId="14072"/>
    <cellStyle name="Dane wyjściowe 2 16 48 3" xfId="14073"/>
    <cellStyle name="Dane wyjściowe 2 16 49" xfId="14074"/>
    <cellStyle name="Dane wyjściowe 2 16 49 2" xfId="14075"/>
    <cellStyle name="Dane wyjściowe 2 16 49 3" xfId="14076"/>
    <cellStyle name="Dane wyjściowe 2 16 5" xfId="14077"/>
    <cellStyle name="Dane wyjściowe 2 16 5 2" xfId="14078"/>
    <cellStyle name="Dane wyjściowe 2 16 5 3" xfId="14079"/>
    <cellStyle name="Dane wyjściowe 2 16 5 4" xfId="14080"/>
    <cellStyle name="Dane wyjściowe 2 16 50" xfId="14081"/>
    <cellStyle name="Dane wyjściowe 2 16 50 2" xfId="14082"/>
    <cellStyle name="Dane wyjściowe 2 16 50 3" xfId="14083"/>
    <cellStyle name="Dane wyjściowe 2 16 51" xfId="14084"/>
    <cellStyle name="Dane wyjściowe 2 16 51 2" xfId="14085"/>
    <cellStyle name="Dane wyjściowe 2 16 51 3" xfId="14086"/>
    <cellStyle name="Dane wyjściowe 2 16 52" xfId="14087"/>
    <cellStyle name="Dane wyjściowe 2 16 52 2" xfId="14088"/>
    <cellStyle name="Dane wyjściowe 2 16 52 3" xfId="14089"/>
    <cellStyle name="Dane wyjściowe 2 16 53" xfId="14090"/>
    <cellStyle name="Dane wyjściowe 2 16 53 2" xfId="14091"/>
    <cellStyle name="Dane wyjściowe 2 16 53 3" xfId="14092"/>
    <cellStyle name="Dane wyjściowe 2 16 54" xfId="14093"/>
    <cellStyle name="Dane wyjściowe 2 16 54 2" xfId="14094"/>
    <cellStyle name="Dane wyjściowe 2 16 54 3" xfId="14095"/>
    <cellStyle name="Dane wyjściowe 2 16 55" xfId="14096"/>
    <cellStyle name="Dane wyjściowe 2 16 55 2" xfId="14097"/>
    <cellStyle name="Dane wyjściowe 2 16 55 3" xfId="14098"/>
    <cellStyle name="Dane wyjściowe 2 16 56" xfId="14099"/>
    <cellStyle name="Dane wyjściowe 2 16 56 2" xfId="14100"/>
    <cellStyle name="Dane wyjściowe 2 16 56 3" xfId="14101"/>
    <cellStyle name="Dane wyjściowe 2 16 57" xfId="14102"/>
    <cellStyle name="Dane wyjściowe 2 16 58" xfId="14103"/>
    <cellStyle name="Dane wyjściowe 2 16 6" xfId="14104"/>
    <cellStyle name="Dane wyjściowe 2 16 6 2" xfId="14105"/>
    <cellStyle name="Dane wyjściowe 2 16 6 3" xfId="14106"/>
    <cellStyle name="Dane wyjściowe 2 16 6 4" xfId="14107"/>
    <cellStyle name="Dane wyjściowe 2 16 7" xfId="14108"/>
    <cellStyle name="Dane wyjściowe 2 16 7 2" xfId="14109"/>
    <cellStyle name="Dane wyjściowe 2 16 7 3" xfId="14110"/>
    <cellStyle name="Dane wyjściowe 2 16 7 4" xfId="14111"/>
    <cellStyle name="Dane wyjściowe 2 16 8" xfId="14112"/>
    <cellStyle name="Dane wyjściowe 2 16 8 2" xfId="14113"/>
    <cellStyle name="Dane wyjściowe 2 16 8 3" xfId="14114"/>
    <cellStyle name="Dane wyjściowe 2 16 8 4" xfId="14115"/>
    <cellStyle name="Dane wyjściowe 2 16 9" xfId="14116"/>
    <cellStyle name="Dane wyjściowe 2 16 9 2" xfId="14117"/>
    <cellStyle name="Dane wyjściowe 2 16 9 3" xfId="14118"/>
    <cellStyle name="Dane wyjściowe 2 16 9 4" xfId="14119"/>
    <cellStyle name="Dane wyjściowe 2 17" xfId="14120"/>
    <cellStyle name="Dane wyjściowe 2 17 10" xfId="14121"/>
    <cellStyle name="Dane wyjściowe 2 17 10 2" xfId="14122"/>
    <cellStyle name="Dane wyjściowe 2 17 10 3" xfId="14123"/>
    <cellStyle name="Dane wyjściowe 2 17 10 4" xfId="14124"/>
    <cellStyle name="Dane wyjściowe 2 17 11" xfId="14125"/>
    <cellStyle name="Dane wyjściowe 2 17 11 2" xfId="14126"/>
    <cellStyle name="Dane wyjściowe 2 17 11 3" xfId="14127"/>
    <cellStyle name="Dane wyjściowe 2 17 11 4" xfId="14128"/>
    <cellStyle name="Dane wyjściowe 2 17 12" xfId="14129"/>
    <cellStyle name="Dane wyjściowe 2 17 12 2" xfId="14130"/>
    <cellStyle name="Dane wyjściowe 2 17 12 3" xfId="14131"/>
    <cellStyle name="Dane wyjściowe 2 17 12 4" xfId="14132"/>
    <cellStyle name="Dane wyjściowe 2 17 13" xfId="14133"/>
    <cellStyle name="Dane wyjściowe 2 17 13 2" xfId="14134"/>
    <cellStyle name="Dane wyjściowe 2 17 13 3" xfId="14135"/>
    <cellStyle name="Dane wyjściowe 2 17 13 4" xfId="14136"/>
    <cellStyle name="Dane wyjściowe 2 17 14" xfId="14137"/>
    <cellStyle name="Dane wyjściowe 2 17 14 2" xfId="14138"/>
    <cellStyle name="Dane wyjściowe 2 17 14 3" xfId="14139"/>
    <cellStyle name="Dane wyjściowe 2 17 14 4" xfId="14140"/>
    <cellStyle name="Dane wyjściowe 2 17 15" xfId="14141"/>
    <cellStyle name="Dane wyjściowe 2 17 15 2" xfId="14142"/>
    <cellStyle name="Dane wyjściowe 2 17 15 3" xfId="14143"/>
    <cellStyle name="Dane wyjściowe 2 17 15 4" xfId="14144"/>
    <cellStyle name="Dane wyjściowe 2 17 16" xfId="14145"/>
    <cellStyle name="Dane wyjściowe 2 17 16 2" xfId="14146"/>
    <cellStyle name="Dane wyjściowe 2 17 16 3" xfId="14147"/>
    <cellStyle name="Dane wyjściowe 2 17 16 4" xfId="14148"/>
    <cellStyle name="Dane wyjściowe 2 17 17" xfId="14149"/>
    <cellStyle name="Dane wyjściowe 2 17 17 2" xfId="14150"/>
    <cellStyle name="Dane wyjściowe 2 17 17 3" xfId="14151"/>
    <cellStyle name="Dane wyjściowe 2 17 17 4" xfId="14152"/>
    <cellStyle name="Dane wyjściowe 2 17 18" xfId="14153"/>
    <cellStyle name="Dane wyjściowe 2 17 18 2" xfId="14154"/>
    <cellStyle name="Dane wyjściowe 2 17 18 3" xfId="14155"/>
    <cellStyle name="Dane wyjściowe 2 17 18 4" xfId="14156"/>
    <cellStyle name="Dane wyjściowe 2 17 19" xfId="14157"/>
    <cellStyle name="Dane wyjściowe 2 17 19 2" xfId="14158"/>
    <cellStyle name="Dane wyjściowe 2 17 19 3" xfId="14159"/>
    <cellStyle name="Dane wyjściowe 2 17 19 4" xfId="14160"/>
    <cellStyle name="Dane wyjściowe 2 17 2" xfId="14161"/>
    <cellStyle name="Dane wyjściowe 2 17 2 2" xfId="14162"/>
    <cellStyle name="Dane wyjściowe 2 17 2 3" xfId="14163"/>
    <cellStyle name="Dane wyjściowe 2 17 2 4" xfId="14164"/>
    <cellStyle name="Dane wyjściowe 2 17 20" xfId="14165"/>
    <cellStyle name="Dane wyjściowe 2 17 20 2" xfId="14166"/>
    <cellStyle name="Dane wyjściowe 2 17 20 3" xfId="14167"/>
    <cellStyle name="Dane wyjściowe 2 17 20 4" xfId="14168"/>
    <cellStyle name="Dane wyjściowe 2 17 21" xfId="14169"/>
    <cellStyle name="Dane wyjściowe 2 17 21 2" xfId="14170"/>
    <cellStyle name="Dane wyjściowe 2 17 21 3" xfId="14171"/>
    <cellStyle name="Dane wyjściowe 2 17 22" xfId="14172"/>
    <cellStyle name="Dane wyjściowe 2 17 22 2" xfId="14173"/>
    <cellStyle name="Dane wyjściowe 2 17 22 3" xfId="14174"/>
    <cellStyle name="Dane wyjściowe 2 17 23" xfId="14175"/>
    <cellStyle name="Dane wyjściowe 2 17 23 2" xfId="14176"/>
    <cellStyle name="Dane wyjściowe 2 17 23 3" xfId="14177"/>
    <cellStyle name="Dane wyjściowe 2 17 24" xfId="14178"/>
    <cellStyle name="Dane wyjściowe 2 17 24 2" xfId="14179"/>
    <cellStyle name="Dane wyjściowe 2 17 24 3" xfId="14180"/>
    <cellStyle name="Dane wyjściowe 2 17 25" xfId="14181"/>
    <cellStyle name="Dane wyjściowe 2 17 25 2" xfId="14182"/>
    <cellStyle name="Dane wyjściowe 2 17 25 3" xfId="14183"/>
    <cellStyle name="Dane wyjściowe 2 17 26" xfId="14184"/>
    <cellStyle name="Dane wyjściowe 2 17 26 2" xfId="14185"/>
    <cellStyle name="Dane wyjściowe 2 17 26 3" xfId="14186"/>
    <cellStyle name="Dane wyjściowe 2 17 27" xfId="14187"/>
    <cellStyle name="Dane wyjściowe 2 17 27 2" xfId="14188"/>
    <cellStyle name="Dane wyjściowe 2 17 27 3" xfId="14189"/>
    <cellStyle name="Dane wyjściowe 2 17 28" xfId="14190"/>
    <cellStyle name="Dane wyjściowe 2 17 28 2" xfId="14191"/>
    <cellStyle name="Dane wyjściowe 2 17 28 3" xfId="14192"/>
    <cellStyle name="Dane wyjściowe 2 17 29" xfId="14193"/>
    <cellStyle name="Dane wyjściowe 2 17 29 2" xfId="14194"/>
    <cellStyle name="Dane wyjściowe 2 17 29 3" xfId="14195"/>
    <cellStyle name="Dane wyjściowe 2 17 3" xfId="14196"/>
    <cellStyle name="Dane wyjściowe 2 17 3 2" xfId="14197"/>
    <cellStyle name="Dane wyjściowe 2 17 3 3" xfId="14198"/>
    <cellStyle name="Dane wyjściowe 2 17 3 4" xfId="14199"/>
    <cellStyle name="Dane wyjściowe 2 17 30" xfId="14200"/>
    <cellStyle name="Dane wyjściowe 2 17 30 2" xfId="14201"/>
    <cellStyle name="Dane wyjściowe 2 17 30 3" xfId="14202"/>
    <cellStyle name="Dane wyjściowe 2 17 31" xfId="14203"/>
    <cellStyle name="Dane wyjściowe 2 17 31 2" xfId="14204"/>
    <cellStyle name="Dane wyjściowe 2 17 31 3" xfId="14205"/>
    <cellStyle name="Dane wyjściowe 2 17 32" xfId="14206"/>
    <cellStyle name="Dane wyjściowe 2 17 32 2" xfId="14207"/>
    <cellStyle name="Dane wyjściowe 2 17 32 3" xfId="14208"/>
    <cellStyle name="Dane wyjściowe 2 17 33" xfId="14209"/>
    <cellStyle name="Dane wyjściowe 2 17 33 2" xfId="14210"/>
    <cellStyle name="Dane wyjściowe 2 17 33 3" xfId="14211"/>
    <cellStyle name="Dane wyjściowe 2 17 34" xfId="14212"/>
    <cellStyle name="Dane wyjściowe 2 17 34 2" xfId="14213"/>
    <cellStyle name="Dane wyjściowe 2 17 34 3" xfId="14214"/>
    <cellStyle name="Dane wyjściowe 2 17 35" xfId="14215"/>
    <cellStyle name="Dane wyjściowe 2 17 35 2" xfId="14216"/>
    <cellStyle name="Dane wyjściowe 2 17 35 3" xfId="14217"/>
    <cellStyle name="Dane wyjściowe 2 17 36" xfId="14218"/>
    <cellStyle name="Dane wyjściowe 2 17 36 2" xfId="14219"/>
    <cellStyle name="Dane wyjściowe 2 17 36 3" xfId="14220"/>
    <cellStyle name="Dane wyjściowe 2 17 37" xfId="14221"/>
    <cellStyle name="Dane wyjściowe 2 17 37 2" xfId="14222"/>
    <cellStyle name="Dane wyjściowe 2 17 37 3" xfId="14223"/>
    <cellStyle name="Dane wyjściowe 2 17 38" xfId="14224"/>
    <cellStyle name="Dane wyjściowe 2 17 38 2" xfId="14225"/>
    <cellStyle name="Dane wyjściowe 2 17 38 3" xfId="14226"/>
    <cellStyle name="Dane wyjściowe 2 17 39" xfId="14227"/>
    <cellStyle name="Dane wyjściowe 2 17 39 2" xfId="14228"/>
    <cellStyle name="Dane wyjściowe 2 17 39 3" xfId="14229"/>
    <cellStyle name="Dane wyjściowe 2 17 4" xfId="14230"/>
    <cellStyle name="Dane wyjściowe 2 17 4 2" xfId="14231"/>
    <cellStyle name="Dane wyjściowe 2 17 4 3" xfId="14232"/>
    <cellStyle name="Dane wyjściowe 2 17 4 4" xfId="14233"/>
    <cellStyle name="Dane wyjściowe 2 17 40" xfId="14234"/>
    <cellStyle name="Dane wyjściowe 2 17 40 2" xfId="14235"/>
    <cellStyle name="Dane wyjściowe 2 17 40 3" xfId="14236"/>
    <cellStyle name="Dane wyjściowe 2 17 41" xfId="14237"/>
    <cellStyle name="Dane wyjściowe 2 17 41 2" xfId="14238"/>
    <cellStyle name="Dane wyjściowe 2 17 41 3" xfId="14239"/>
    <cellStyle name="Dane wyjściowe 2 17 42" xfId="14240"/>
    <cellStyle name="Dane wyjściowe 2 17 42 2" xfId="14241"/>
    <cellStyle name="Dane wyjściowe 2 17 42 3" xfId="14242"/>
    <cellStyle name="Dane wyjściowe 2 17 43" xfId="14243"/>
    <cellStyle name="Dane wyjściowe 2 17 43 2" xfId="14244"/>
    <cellStyle name="Dane wyjściowe 2 17 43 3" xfId="14245"/>
    <cellStyle name="Dane wyjściowe 2 17 44" xfId="14246"/>
    <cellStyle name="Dane wyjściowe 2 17 44 2" xfId="14247"/>
    <cellStyle name="Dane wyjściowe 2 17 44 3" xfId="14248"/>
    <cellStyle name="Dane wyjściowe 2 17 45" xfId="14249"/>
    <cellStyle name="Dane wyjściowe 2 17 45 2" xfId="14250"/>
    <cellStyle name="Dane wyjściowe 2 17 45 3" xfId="14251"/>
    <cellStyle name="Dane wyjściowe 2 17 46" xfId="14252"/>
    <cellStyle name="Dane wyjściowe 2 17 46 2" xfId="14253"/>
    <cellStyle name="Dane wyjściowe 2 17 46 3" xfId="14254"/>
    <cellStyle name="Dane wyjściowe 2 17 47" xfId="14255"/>
    <cellStyle name="Dane wyjściowe 2 17 47 2" xfId="14256"/>
    <cellStyle name="Dane wyjściowe 2 17 47 3" xfId="14257"/>
    <cellStyle name="Dane wyjściowe 2 17 48" xfId="14258"/>
    <cellStyle name="Dane wyjściowe 2 17 48 2" xfId="14259"/>
    <cellStyle name="Dane wyjściowe 2 17 48 3" xfId="14260"/>
    <cellStyle name="Dane wyjściowe 2 17 49" xfId="14261"/>
    <cellStyle name="Dane wyjściowe 2 17 49 2" xfId="14262"/>
    <cellStyle name="Dane wyjściowe 2 17 49 3" xfId="14263"/>
    <cellStyle name="Dane wyjściowe 2 17 5" xfId="14264"/>
    <cellStyle name="Dane wyjściowe 2 17 5 2" xfId="14265"/>
    <cellStyle name="Dane wyjściowe 2 17 5 3" xfId="14266"/>
    <cellStyle name="Dane wyjściowe 2 17 5 4" xfId="14267"/>
    <cellStyle name="Dane wyjściowe 2 17 50" xfId="14268"/>
    <cellStyle name="Dane wyjściowe 2 17 50 2" xfId="14269"/>
    <cellStyle name="Dane wyjściowe 2 17 50 3" xfId="14270"/>
    <cellStyle name="Dane wyjściowe 2 17 51" xfId="14271"/>
    <cellStyle name="Dane wyjściowe 2 17 51 2" xfId="14272"/>
    <cellStyle name="Dane wyjściowe 2 17 51 3" xfId="14273"/>
    <cellStyle name="Dane wyjściowe 2 17 52" xfId="14274"/>
    <cellStyle name="Dane wyjściowe 2 17 52 2" xfId="14275"/>
    <cellStyle name="Dane wyjściowe 2 17 52 3" xfId="14276"/>
    <cellStyle name="Dane wyjściowe 2 17 53" xfId="14277"/>
    <cellStyle name="Dane wyjściowe 2 17 53 2" xfId="14278"/>
    <cellStyle name="Dane wyjściowe 2 17 53 3" xfId="14279"/>
    <cellStyle name="Dane wyjściowe 2 17 54" xfId="14280"/>
    <cellStyle name="Dane wyjściowe 2 17 54 2" xfId="14281"/>
    <cellStyle name="Dane wyjściowe 2 17 54 3" xfId="14282"/>
    <cellStyle name="Dane wyjściowe 2 17 55" xfId="14283"/>
    <cellStyle name="Dane wyjściowe 2 17 55 2" xfId="14284"/>
    <cellStyle name="Dane wyjściowe 2 17 55 3" xfId="14285"/>
    <cellStyle name="Dane wyjściowe 2 17 56" xfId="14286"/>
    <cellStyle name="Dane wyjściowe 2 17 56 2" xfId="14287"/>
    <cellStyle name="Dane wyjściowe 2 17 56 3" xfId="14288"/>
    <cellStyle name="Dane wyjściowe 2 17 57" xfId="14289"/>
    <cellStyle name="Dane wyjściowe 2 17 58" xfId="14290"/>
    <cellStyle name="Dane wyjściowe 2 17 6" xfId="14291"/>
    <cellStyle name="Dane wyjściowe 2 17 6 2" xfId="14292"/>
    <cellStyle name="Dane wyjściowe 2 17 6 3" xfId="14293"/>
    <cellStyle name="Dane wyjściowe 2 17 6 4" xfId="14294"/>
    <cellStyle name="Dane wyjściowe 2 17 7" xfId="14295"/>
    <cellStyle name="Dane wyjściowe 2 17 7 2" xfId="14296"/>
    <cellStyle name="Dane wyjściowe 2 17 7 3" xfId="14297"/>
    <cellStyle name="Dane wyjściowe 2 17 7 4" xfId="14298"/>
    <cellStyle name="Dane wyjściowe 2 17 8" xfId="14299"/>
    <cellStyle name="Dane wyjściowe 2 17 8 2" xfId="14300"/>
    <cellStyle name="Dane wyjściowe 2 17 8 3" xfId="14301"/>
    <cellStyle name="Dane wyjściowe 2 17 8 4" xfId="14302"/>
    <cellStyle name="Dane wyjściowe 2 17 9" xfId="14303"/>
    <cellStyle name="Dane wyjściowe 2 17 9 2" xfId="14304"/>
    <cellStyle name="Dane wyjściowe 2 17 9 3" xfId="14305"/>
    <cellStyle name="Dane wyjściowe 2 17 9 4" xfId="14306"/>
    <cellStyle name="Dane wyjściowe 2 18" xfId="14307"/>
    <cellStyle name="Dane wyjściowe 2 18 10" xfId="14308"/>
    <cellStyle name="Dane wyjściowe 2 18 10 2" xfId="14309"/>
    <cellStyle name="Dane wyjściowe 2 18 10 3" xfId="14310"/>
    <cellStyle name="Dane wyjściowe 2 18 10 4" xfId="14311"/>
    <cellStyle name="Dane wyjściowe 2 18 11" xfId="14312"/>
    <cellStyle name="Dane wyjściowe 2 18 11 2" xfId="14313"/>
    <cellStyle name="Dane wyjściowe 2 18 11 3" xfId="14314"/>
    <cellStyle name="Dane wyjściowe 2 18 11 4" xfId="14315"/>
    <cellStyle name="Dane wyjściowe 2 18 12" xfId="14316"/>
    <cellStyle name="Dane wyjściowe 2 18 12 2" xfId="14317"/>
    <cellStyle name="Dane wyjściowe 2 18 12 3" xfId="14318"/>
    <cellStyle name="Dane wyjściowe 2 18 12 4" xfId="14319"/>
    <cellStyle name="Dane wyjściowe 2 18 13" xfId="14320"/>
    <cellStyle name="Dane wyjściowe 2 18 13 2" xfId="14321"/>
    <cellStyle name="Dane wyjściowe 2 18 13 3" xfId="14322"/>
    <cellStyle name="Dane wyjściowe 2 18 13 4" xfId="14323"/>
    <cellStyle name="Dane wyjściowe 2 18 14" xfId="14324"/>
    <cellStyle name="Dane wyjściowe 2 18 14 2" xfId="14325"/>
    <cellStyle name="Dane wyjściowe 2 18 14 3" xfId="14326"/>
    <cellStyle name="Dane wyjściowe 2 18 14 4" xfId="14327"/>
    <cellStyle name="Dane wyjściowe 2 18 15" xfId="14328"/>
    <cellStyle name="Dane wyjściowe 2 18 15 2" xfId="14329"/>
    <cellStyle name="Dane wyjściowe 2 18 15 3" xfId="14330"/>
    <cellStyle name="Dane wyjściowe 2 18 15 4" xfId="14331"/>
    <cellStyle name="Dane wyjściowe 2 18 16" xfId="14332"/>
    <cellStyle name="Dane wyjściowe 2 18 16 2" xfId="14333"/>
    <cellStyle name="Dane wyjściowe 2 18 16 3" xfId="14334"/>
    <cellStyle name="Dane wyjściowe 2 18 16 4" xfId="14335"/>
    <cellStyle name="Dane wyjściowe 2 18 17" xfId="14336"/>
    <cellStyle name="Dane wyjściowe 2 18 17 2" xfId="14337"/>
    <cellStyle name="Dane wyjściowe 2 18 17 3" xfId="14338"/>
    <cellStyle name="Dane wyjściowe 2 18 17 4" xfId="14339"/>
    <cellStyle name="Dane wyjściowe 2 18 18" xfId="14340"/>
    <cellStyle name="Dane wyjściowe 2 18 18 2" xfId="14341"/>
    <cellStyle name="Dane wyjściowe 2 18 18 3" xfId="14342"/>
    <cellStyle name="Dane wyjściowe 2 18 18 4" xfId="14343"/>
    <cellStyle name="Dane wyjściowe 2 18 19" xfId="14344"/>
    <cellStyle name="Dane wyjściowe 2 18 19 2" xfId="14345"/>
    <cellStyle name="Dane wyjściowe 2 18 19 3" xfId="14346"/>
    <cellStyle name="Dane wyjściowe 2 18 19 4" xfId="14347"/>
    <cellStyle name="Dane wyjściowe 2 18 2" xfId="14348"/>
    <cellStyle name="Dane wyjściowe 2 18 2 2" xfId="14349"/>
    <cellStyle name="Dane wyjściowe 2 18 2 3" xfId="14350"/>
    <cellStyle name="Dane wyjściowe 2 18 2 4" xfId="14351"/>
    <cellStyle name="Dane wyjściowe 2 18 20" xfId="14352"/>
    <cellStyle name="Dane wyjściowe 2 18 20 2" xfId="14353"/>
    <cellStyle name="Dane wyjściowe 2 18 20 3" xfId="14354"/>
    <cellStyle name="Dane wyjściowe 2 18 20 4" xfId="14355"/>
    <cellStyle name="Dane wyjściowe 2 18 21" xfId="14356"/>
    <cellStyle name="Dane wyjściowe 2 18 21 2" xfId="14357"/>
    <cellStyle name="Dane wyjściowe 2 18 21 3" xfId="14358"/>
    <cellStyle name="Dane wyjściowe 2 18 22" xfId="14359"/>
    <cellStyle name="Dane wyjściowe 2 18 22 2" xfId="14360"/>
    <cellStyle name="Dane wyjściowe 2 18 22 3" xfId="14361"/>
    <cellStyle name="Dane wyjściowe 2 18 23" xfId="14362"/>
    <cellStyle name="Dane wyjściowe 2 18 23 2" xfId="14363"/>
    <cellStyle name="Dane wyjściowe 2 18 23 3" xfId="14364"/>
    <cellStyle name="Dane wyjściowe 2 18 24" xfId="14365"/>
    <cellStyle name="Dane wyjściowe 2 18 24 2" xfId="14366"/>
    <cellStyle name="Dane wyjściowe 2 18 24 3" xfId="14367"/>
    <cellStyle name="Dane wyjściowe 2 18 25" xfId="14368"/>
    <cellStyle name="Dane wyjściowe 2 18 25 2" xfId="14369"/>
    <cellStyle name="Dane wyjściowe 2 18 25 3" xfId="14370"/>
    <cellStyle name="Dane wyjściowe 2 18 26" xfId="14371"/>
    <cellStyle name="Dane wyjściowe 2 18 26 2" xfId="14372"/>
    <cellStyle name="Dane wyjściowe 2 18 26 3" xfId="14373"/>
    <cellStyle name="Dane wyjściowe 2 18 27" xfId="14374"/>
    <cellStyle name="Dane wyjściowe 2 18 27 2" xfId="14375"/>
    <cellStyle name="Dane wyjściowe 2 18 27 3" xfId="14376"/>
    <cellStyle name="Dane wyjściowe 2 18 28" xfId="14377"/>
    <cellStyle name="Dane wyjściowe 2 18 28 2" xfId="14378"/>
    <cellStyle name="Dane wyjściowe 2 18 28 3" xfId="14379"/>
    <cellStyle name="Dane wyjściowe 2 18 29" xfId="14380"/>
    <cellStyle name="Dane wyjściowe 2 18 29 2" xfId="14381"/>
    <cellStyle name="Dane wyjściowe 2 18 29 3" xfId="14382"/>
    <cellStyle name="Dane wyjściowe 2 18 3" xfId="14383"/>
    <cellStyle name="Dane wyjściowe 2 18 3 2" xfId="14384"/>
    <cellStyle name="Dane wyjściowe 2 18 3 3" xfId="14385"/>
    <cellStyle name="Dane wyjściowe 2 18 3 4" xfId="14386"/>
    <cellStyle name="Dane wyjściowe 2 18 30" xfId="14387"/>
    <cellStyle name="Dane wyjściowe 2 18 30 2" xfId="14388"/>
    <cellStyle name="Dane wyjściowe 2 18 30 3" xfId="14389"/>
    <cellStyle name="Dane wyjściowe 2 18 31" xfId="14390"/>
    <cellStyle name="Dane wyjściowe 2 18 31 2" xfId="14391"/>
    <cellStyle name="Dane wyjściowe 2 18 31 3" xfId="14392"/>
    <cellStyle name="Dane wyjściowe 2 18 32" xfId="14393"/>
    <cellStyle name="Dane wyjściowe 2 18 32 2" xfId="14394"/>
    <cellStyle name="Dane wyjściowe 2 18 32 3" xfId="14395"/>
    <cellStyle name="Dane wyjściowe 2 18 33" xfId="14396"/>
    <cellStyle name="Dane wyjściowe 2 18 33 2" xfId="14397"/>
    <cellStyle name="Dane wyjściowe 2 18 33 3" xfId="14398"/>
    <cellStyle name="Dane wyjściowe 2 18 34" xfId="14399"/>
    <cellStyle name="Dane wyjściowe 2 18 34 2" xfId="14400"/>
    <cellStyle name="Dane wyjściowe 2 18 34 3" xfId="14401"/>
    <cellStyle name="Dane wyjściowe 2 18 35" xfId="14402"/>
    <cellStyle name="Dane wyjściowe 2 18 35 2" xfId="14403"/>
    <cellStyle name="Dane wyjściowe 2 18 35 3" xfId="14404"/>
    <cellStyle name="Dane wyjściowe 2 18 36" xfId="14405"/>
    <cellStyle name="Dane wyjściowe 2 18 36 2" xfId="14406"/>
    <cellStyle name="Dane wyjściowe 2 18 36 3" xfId="14407"/>
    <cellStyle name="Dane wyjściowe 2 18 37" xfId="14408"/>
    <cellStyle name="Dane wyjściowe 2 18 37 2" xfId="14409"/>
    <cellStyle name="Dane wyjściowe 2 18 37 3" xfId="14410"/>
    <cellStyle name="Dane wyjściowe 2 18 38" xfId="14411"/>
    <cellStyle name="Dane wyjściowe 2 18 38 2" xfId="14412"/>
    <cellStyle name="Dane wyjściowe 2 18 38 3" xfId="14413"/>
    <cellStyle name="Dane wyjściowe 2 18 39" xfId="14414"/>
    <cellStyle name="Dane wyjściowe 2 18 39 2" xfId="14415"/>
    <cellStyle name="Dane wyjściowe 2 18 39 3" xfId="14416"/>
    <cellStyle name="Dane wyjściowe 2 18 4" xfId="14417"/>
    <cellStyle name="Dane wyjściowe 2 18 4 2" xfId="14418"/>
    <cellStyle name="Dane wyjściowe 2 18 4 3" xfId="14419"/>
    <cellStyle name="Dane wyjściowe 2 18 4 4" xfId="14420"/>
    <cellStyle name="Dane wyjściowe 2 18 40" xfId="14421"/>
    <cellStyle name="Dane wyjściowe 2 18 40 2" xfId="14422"/>
    <cellStyle name="Dane wyjściowe 2 18 40 3" xfId="14423"/>
    <cellStyle name="Dane wyjściowe 2 18 41" xfId="14424"/>
    <cellStyle name="Dane wyjściowe 2 18 41 2" xfId="14425"/>
    <cellStyle name="Dane wyjściowe 2 18 41 3" xfId="14426"/>
    <cellStyle name="Dane wyjściowe 2 18 42" xfId="14427"/>
    <cellStyle name="Dane wyjściowe 2 18 42 2" xfId="14428"/>
    <cellStyle name="Dane wyjściowe 2 18 42 3" xfId="14429"/>
    <cellStyle name="Dane wyjściowe 2 18 43" xfId="14430"/>
    <cellStyle name="Dane wyjściowe 2 18 43 2" xfId="14431"/>
    <cellStyle name="Dane wyjściowe 2 18 43 3" xfId="14432"/>
    <cellStyle name="Dane wyjściowe 2 18 44" xfId="14433"/>
    <cellStyle name="Dane wyjściowe 2 18 44 2" xfId="14434"/>
    <cellStyle name="Dane wyjściowe 2 18 44 3" xfId="14435"/>
    <cellStyle name="Dane wyjściowe 2 18 45" xfId="14436"/>
    <cellStyle name="Dane wyjściowe 2 18 45 2" xfId="14437"/>
    <cellStyle name="Dane wyjściowe 2 18 45 3" xfId="14438"/>
    <cellStyle name="Dane wyjściowe 2 18 46" xfId="14439"/>
    <cellStyle name="Dane wyjściowe 2 18 46 2" xfId="14440"/>
    <cellStyle name="Dane wyjściowe 2 18 46 3" xfId="14441"/>
    <cellStyle name="Dane wyjściowe 2 18 47" xfId="14442"/>
    <cellStyle name="Dane wyjściowe 2 18 47 2" xfId="14443"/>
    <cellStyle name="Dane wyjściowe 2 18 47 3" xfId="14444"/>
    <cellStyle name="Dane wyjściowe 2 18 48" xfId="14445"/>
    <cellStyle name="Dane wyjściowe 2 18 48 2" xfId="14446"/>
    <cellStyle name="Dane wyjściowe 2 18 48 3" xfId="14447"/>
    <cellStyle name="Dane wyjściowe 2 18 49" xfId="14448"/>
    <cellStyle name="Dane wyjściowe 2 18 49 2" xfId="14449"/>
    <cellStyle name="Dane wyjściowe 2 18 49 3" xfId="14450"/>
    <cellStyle name="Dane wyjściowe 2 18 5" xfId="14451"/>
    <cellStyle name="Dane wyjściowe 2 18 5 2" xfId="14452"/>
    <cellStyle name="Dane wyjściowe 2 18 5 3" xfId="14453"/>
    <cellStyle name="Dane wyjściowe 2 18 5 4" xfId="14454"/>
    <cellStyle name="Dane wyjściowe 2 18 50" xfId="14455"/>
    <cellStyle name="Dane wyjściowe 2 18 50 2" xfId="14456"/>
    <cellStyle name="Dane wyjściowe 2 18 50 3" xfId="14457"/>
    <cellStyle name="Dane wyjściowe 2 18 51" xfId="14458"/>
    <cellStyle name="Dane wyjściowe 2 18 51 2" xfId="14459"/>
    <cellStyle name="Dane wyjściowe 2 18 51 3" xfId="14460"/>
    <cellStyle name="Dane wyjściowe 2 18 52" xfId="14461"/>
    <cellStyle name="Dane wyjściowe 2 18 52 2" xfId="14462"/>
    <cellStyle name="Dane wyjściowe 2 18 52 3" xfId="14463"/>
    <cellStyle name="Dane wyjściowe 2 18 53" xfId="14464"/>
    <cellStyle name="Dane wyjściowe 2 18 53 2" xfId="14465"/>
    <cellStyle name="Dane wyjściowe 2 18 53 3" xfId="14466"/>
    <cellStyle name="Dane wyjściowe 2 18 54" xfId="14467"/>
    <cellStyle name="Dane wyjściowe 2 18 54 2" xfId="14468"/>
    <cellStyle name="Dane wyjściowe 2 18 54 3" xfId="14469"/>
    <cellStyle name="Dane wyjściowe 2 18 55" xfId="14470"/>
    <cellStyle name="Dane wyjściowe 2 18 55 2" xfId="14471"/>
    <cellStyle name="Dane wyjściowe 2 18 55 3" xfId="14472"/>
    <cellStyle name="Dane wyjściowe 2 18 56" xfId="14473"/>
    <cellStyle name="Dane wyjściowe 2 18 56 2" xfId="14474"/>
    <cellStyle name="Dane wyjściowe 2 18 56 3" xfId="14475"/>
    <cellStyle name="Dane wyjściowe 2 18 57" xfId="14476"/>
    <cellStyle name="Dane wyjściowe 2 18 58" xfId="14477"/>
    <cellStyle name="Dane wyjściowe 2 18 6" xfId="14478"/>
    <cellStyle name="Dane wyjściowe 2 18 6 2" xfId="14479"/>
    <cellStyle name="Dane wyjściowe 2 18 6 3" xfId="14480"/>
    <cellStyle name="Dane wyjściowe 2 18 6 4" xfId="14481"/>
    <cellStyle name="Dane wyjściowe 2 18 7" xfId="14482"/>
    <cellStyle name="Dane wyjściowe 2 18 7 2" xfId="14483"/>
    <cellStyle name="Dane wyjściowe 2 18 7 3" xfId="14484"/>
    <cellStyle name="Dane wyjściowe 2 18 7 4" xfId="14485"/>
    <cellStyle name="Dane wyjściowe 2 18 8" xfId="14486"/>
    <cellStyle name="Dane wyjściowe 2 18 8 2" xfId="14487"/>
    <cellStyle name="Dane wyjściowe 2 18 8 3" xfId="14488"/>
    <cellStyle name="Dane wyjściowe 2 18 8 4" xfId="14489"/>
    <cellStyle name="Dane wyjściowe 2 18 9" xfId="14490"/>
    <cellStyle name="Dane wyjściowe 2 18 9 2" xfId="14491"/>
    <cellStyle name="Dane wyjściowe 2 18 9 3" xfId="14492"/>
    <cellStyle name="Dane wyjściowe 2 18 9 4" xfId="14493"/>
    <cellStyle name="Dane wyjściowe 2 19" xfId="14494"/>
    <cellStyle name="Dane wyjściowe 2 19 10" xfId="14495"/>
    <cellStyle name="Dane wyjściowe 2 19 10 2" xfId="14496"/>
    <cellStyle name="Dane wyjściowe 2 19 10 3" xfId="14497"/>
    <cellStyle name="Dane wyjściowe 2 19 10 4" xfId="14498"/>
    <cellStyle name="Dane wyjściowe 2 19 11" xfId="14499"/>
    <cellStyle name="Dane wyjściowe 2 19 11 2" xfId="14500"/>
    <cellStyle name="Dane wyjściowe 2 19 11 3" xfId="14501"/>
    <cellStyle name="Dane wyjściowe 2 19 11 4" xfId="14502"/>
    <cellStyle name="Dane wyjściowe 2 19 12" xfId="14503"/>
    <cellStyle name="Dane wyjściowe 2 19 12 2" xfId="14504"/>
    <cellStyle name="Dane wyjściowe 2 19 12 3" xfId="14505"/>
    <cellStyle name="Dane wyjściowe 2 19 12 4" xfId="14506"/>
    <cellStyle name="Dane wyjściowe 2 19 13" xfId="14507"/>
    <cellStyle name="Dane wyjściowe 2 19 13 2" xfId="14508"/>
    <cellStyle name="Dane wyjściowe 2 19 13 3" xfId="14509"/>
    <cellStyle name="Dane wyjściowe 2 19 13 4" xfId="14510"/>
    <cellStyle name="Dane wyjściowe 2 19 14" xfId="14511"/>
    <cellStyle name="Dane wyjściowe 2 19 14 2" xfId="14512"/>
    <cellStyle name="Dane wyjściowe 2 19 14 3" xfId="14513"/>
    <cellStyle name="Dane wyjściowe 2 19 14 4" xfId="14514"/>
    <cellStyle name="Dane wyjściowe 2 19 15" xfId="14515"/>
    <cellStyle name="Dane wyjściowe 2 19 15 2" xfId="14516"/>
    <cellStyle name="Dane wyjściowe 2 19 15 3" xfId="14517"/>
    <cellStyle name="Dane wyjściowe 2 19 15 4" xfId="14518"/>
    <cellStyle name="Dane wyjściowe 2 19 16" xfId="14519"/>
    <cellStyle name="Dane wyjściowe 2 19 16 2" xfId="14520"/>
    <cellStyle name="Dane wyjściowe 2 19 16 3" xfId="14521"/>
    <cellStyle name="Dane wyjściowe 2 19 16 4" xfId="14522"/>
    <cellStyle name="Dane wyjściowe 2 19 17" xfId="14523"/>
    <cellStyle name="Dane wyjściowe 2 19 17 2" xfId="14524"/>
    <cellStyle name="Dane wyjściowe 2 19 17 3" xfId="14525"/>
    <cellStyle name="Dane wyjściowe 2 19 17 4" xfId="14526"/>
    <cellStyle name="Dane wyjściowe 2 19 18" xfId="14527"/>
    <cellStyle name="Dane wyjściowe 2 19 18 2" xfId="14528"/>
    <cellStyle name="Dane wyjściowe 2 19 18 3" xfId="14529"/>
    <cellStyle name="Dane wyjściowe 2 19 18 4" xfId="14530"/>
    <cellStyle name="Dane wyjściowe 2 19 19" xfId="14531"/>
    <cellStyle name="Dane wyjściowe 2 19 19 2" xfId="14532"/>
    <cellStyle name="Dane wyjściowe 2 19 19 3" xfId="14533"/>
    <cellStyle name="Dane wyjściowe 2 19 19 4" xfId="14534"/>
    <cellStyle name="Dane wyjściowe 2 19 2" xfId="14535"/>
    <cellStyle name="Dane wyjściowe 2 19 2 2" xfId="14536"/>
    <cellStyle name="Dane wyjściowe 2 19 2 3" xfId="14537"/>
    <cellStyle name="Dane wyjściowe 2 19 2 4" xfId="14538"/>
    <cellStyle name="Dane wyjściowe 2 19 20" xfId="14539"/>
    <cellStyle name="Dane wyjściowe 2 19 20 2" xfId="14540"/>
    <cellStyle name="Dane wyjściowe 2 19 20 3" xfId="14541"/>
    <cellStyle name="Dane wyjściowe 2 19 20 4" xfId="14542"/>
    <cellStyle name="Dane wyjściowe 2 19 21" xfId="14543"/>
    <cellStyle name="Dane wyjściowe 2 19 21 2" xfId="14544"/>
    <cellStyle name="Dane wyjściowe 2 19 21 3" xfId="14545"/>
    <cellStyle name="Dane wyjściowe 2 19 22" xfId="14546"/>
    <cellStyle name="Dane wyjściowe 2 19 22 2" xfId="14547"/>
    <cellStyle name="Dane wyjściowe 2 19 22 3" xfId="14548"/>
    <cellStyle name="Dane wyjściowe 2 19 23" xfId="14549"/>
    <cellStyle name="Dane wyjściowe 2 19 23 2" xfId="14550"/>
    <cellStyle name="Dane wyjściowe 2 19 23 3" xfId="14551"/>
    <cellStyle name="Dane wyjściowe 2 19 24" xfId="14552"/>
    <cellStyle name="Dane wyjściowe 2 19 24 2" xfId="14553"/>
    <cellStyle name="Dane wyjściowe 2 19 24 3" xfId="14554"/>
    <cellStyle name="Dane wyjściowe 2 19 25" xfId="14555"/>
    <cellStyle name="Dane wyjściowe 2 19 25 2" xfId="14556"/>
    <cellStyle name="Dane wyjściowe 2 19 25 3" xfId="14557"/>
    <cellStyle name="Dane wyjściowe 2 19 26" xfId="14558"/>
    <cellStyle name="Dane wyjściowe 2 19 26 2" xfId="14559"/>
    <cellStyle name="Dane wyjściowe 2 19 26 3" xfId="14560"/>
    <cellStyle name="Dane wyjściowe 2 19 27" xfId="14561"/>
    <cellStyle name="Dane wyjściowe 2 19 27 2" xfId="14562"/>
    <cellStyle name="Dane wyjściowe 2 19 27 3" xfId="14563"/>
    <cellStyle name="Dane wyjściowe 2 19 28" xfId="14564"/>
    <cellStyle name="Dane wyjściowe 2 19 28 2" xfId="14565"/>
    <cellStyle name="Dane wyjściowe 2 19 28 3" xfId="14566"/>
    <cellStyle name="Dane wyjściowe 2 19 29" xfId="14567"/>
    <cellStyle name="Dane wyjściowe 2 19 29 2" xfId="14568"/>
    <cellStyle name="Dane wyjściowe 2 19 29 3" xfId="14569"/>
    <cellStyle name="Dane wyjściowe 2 19 3" xfId="14570"/>
    <cellStyle name="Dane wyjściowe 2 19 3 2" xfId="14571"/>
    <cellStyle name="Dane wyjściowe 2 19 3 3" xfId="14572"/>
    <cellStyle name="Dane wyjściowe 2 19 3 4" xfId="14573"/>
    <cellStyle name="Dane wyjściowe 2 19 30" xfId="14574"/>
    <cellStyle name="Dane wyjściowe 2 19 30 2" xfId="14575"/>
    <cellStyle name="Dane wyjściowe 2 19 30 3" xfId="14576"/>
    <cellStyle name="Dane wyjściowe 2 19 31" xfId="14577"/>
    <cellStyle name="Dane wyjściowe 2 19 31 2" xfId="14578"/>
    <cellStyle name="Dane wyjściowe 2 19 31 3" xfId="14579"/>
    <cellStyle name="Dane wyjściowe 2 19 32" xfId="14580"/>
    <cellStyle name="Dane wyjściowe 2 19 32 2" xfId="14581"/>
    <cellStyle name="Dane wyjściowe 2 19 32 3" xfId="14582"/>
    <cellStyle name="Dane wyjściowe 2 19 33" xfId="14583"/>
    <cellStyle name="Dane wyjściowe 2 19 33 2" xfId="14584"/>
    <cellStyle name="Dane wyjściowe 2 19 33 3" xfId="14585"/>
    <cellStyle name="Dane wyjściowe 2 19 34" xfId="14586"/>
    <cellStyle name="Dane wyjściowe 2 19 34 2" xfId="14587"/>
    <cellStyle name="Dane wyjściowe 2 19 34 3" xfId="14588"/>
    <cellStyle name="Dane wyjściowe 2 19 35" xfId="14589"/>
    <cellStyle name="Dane wyjściowe 2 19 35 2" xfId="14590"/>
    <cellStyle name="Dane wyjściowe 2 19 35 3" xfId="14591"/>
    <cellStyle name="Dane wyjściowe 2 19 36" xfId="14592"/>
    <cellStyle name="Dane wyjściowe 2 19 36 2" xfId="14593"/>
    <cellStyle name="Dane wyjściowe 2 19 36 3" xfId="14594"/>
    <cellStyle name="Dane wyjściowe 2 19 37" xfId="14595"/>
    <cellStyle name="Dane wyjściowe 2 19 37 2" xfId="14596"/>
    <cellStyle name="Dane wyjściowe 2 19 37 3" xfId="14597"/>
    <cellStyle name="Dane wyjściowe 2 19 38" xfId="14598"/>
    <cellStyle name="Dane wyjściowe 2 19 38 2" xfId="14599"/>
    <cellStyle name="Dane wyjściowe 2 19 38 3" xfId="14600"/>
    <cellStyle name="Dane wyjściowe 2 19 39" xfId="14601"/>
    <cellStyle name="Dane wyjściowe 2 19 39 2" xfId="14602"/>
    <cellStyle name="Dane wyjściowe 2 19 39 3" xfId="14603"/>
    <cellStyle name="Dane wyjściowe 2 19 4" xfId="14604"/>
    <cellStyle name="Dane wyjściowe 2 19 4 2" xfId="14605"/>
    <cellStyle name="Dane wyjściowe 2 19 4 3" xfId="14606"/>
    <cellStyle name="Dane wyjściowe 2 19 4 4" xfId="14607"/>
    <cellStyle name="Dane wyjściowe 2 19 40" xfId="14608"/>
    <cellStyle name="Dane wyjściowe 2 19 40 2" xfId="14609"/>
    <cellStyle name="Dane wyjściowe 2 19 40 3" xfId="14610"/>
    <cellStyle name="Dane wyjściowe 2 19 41" xfId="14611"/>
    <cellStyle name="Dane wyjściowe 2 19 41 2" xfId="14612"/>
    <cellStyle name="Dane wyjściowe 2 19 41 3" xfId="14613"/>
    <cellStyle name="Dane wyjściowe 2 19 42" xfId="14614"/>
    <cellStyle name="Dane wyjściowe 2 19 42 2" xfId="14615"/>
    <cellStyle name="Dane wyjściowe 2 19 42 3" xfId="14616"/>
    <cellStyle name="Dane wyjściowe 2 19 43" xfId="14617"/>
    <cellStyle name="Dane wyjściowe 2 19 43 2" xfId="14618"/>
    <cellStyle name="Dane wyjściowe 2 19 43 3" xfId="14619"/>
    <cellStyle name="Dane wyjściowe 2 19 44" xfId="14620"/>
    <cellStyle name="Dane wyjściowe 2 19 44 2" xfId="14621"/>
    <cellStyle name="Dane wyjściowe 2 19 44 3" xfId="14622"/>
    <cellStyle name="Dane wyjściowe 2 19 45" xfId="14623"/>
    <cellStyle name="Dane wyjściowe 2 19 45 2" xfId="14624"/>
    <cellStyle name="Dane wyjściowe 2 19 45 3" xfId="14625"/>
    <cellStyle name="Dane wyjściowe 2 19 46" xfId="14626"/>
    <cellStyle name="Dane wyjściowe 2 19 46 2" xfId="14627"/>
    <cellStyle name="Dane wyjściowe 2 19 46 3" xfId="14628"/>
    <cellStyle name="Dane wyjściowe 2 19 47" xfId="14629"/>
    <cellStyle name="Dane wyjściowe 2 19 47 2" xfId="14630"/>
    <cellStyle name="Dane wyjściowe 2 19 47 3" xfId="14631"/>
    <cellStyle name="Dane wyjściowe 2 19 48" xfId="14632"/>
    <cellStyle name="Dane wyjściowe 2 19 48 2" xfId="14633"/>
    <cellStyle name="Dane wyjściowe 2 19 48 3" xfId="14634"/>
    <cellStyle name="Dane wyjściowe 2 19 49" xfId="14635"/>
    <cellStyle name="Dane wyjściowe 2 19 49 2" xfId="14636"/>
    <cellStyle name="Dane wyjściowe 2 19 49 3" xfId="14637"/>
    <cellStyle name="Dane wyjściowe 2 19 5" xfId="14638"/>
    <cellStyle name="Dane wyjściowe 2 19 5 2" xfId="14639"/>
    <cellStyle name="Dane wyjściowe 2 19 5 3" xfId="14640"/>
    <cellStyle name="Dane wyjściowe 2 19 5 4" xfId="14641"/>
    <cellStyle name="Dane wyjściowe 2 19 50" xfId="14642"/>
    <cellStyle name="Dane wyjściowe 2 19 50 2" xfId="14643"/>
    <cellStyle name="Dane wyjściowe 2 19 50 3" xfId="14644"/>
    <cellStyle name="Dane wyjściowe 2 19 51" xfId="14645"/>
    <cellStyle name="Dane wyjściowe 2 19 51 2" xfId="14646"/>
    <cellStyle name="Dane wyjściowe 2 19 51 3" xfId="14647"/>
    <cellStyle name="Dane wyjściowe 2 19 52" xfId="14648"/>
    <cellStyle name="Dane wyjściowe 2 19 52 2" xfId="14649"/>
    <cellStyle name="Dane wyjściowe 2 19 52 3" xfId="14650"/>
    <cellStyle name="Dane wyjściowe 2 19 53" xfId="14651"/>
    <cellStyle name="Dane wyjściowe 2 19 53 2" xfId="14652"/>
    <cellStyle name="Dane wyjściowe 2 19 53 3" xfId="14653"/>
    <cellStyle name="Dane wyjściowe 2 19 54" xfId="14654"/>
    <cellStyle name="Dane wyjściowe 2 19 54 2" xfId="14655"/>
    <cellStyle name="Dane wyjściowe 2 19 54 3" xfId="14656"/>
    <cellStyle name="Dane wyjściowe 2 19 55" xfId="14657"/>
    <cellStyle name="Dane wyjściowe 2 19 55 2" xfId="14658"/>
    <cellStyle name="Dane wyjściowe 2 19 55 3" xfId="14659"/>
    <cellStyle name="Dane wyjściowe 2 19 56" xfId="14660"/>
    <cellStyle name="Dane wyjściowe 2 19 56 2" xfId="14661"/>
    <cellStyle name="Dane wyjściowe 2 19 56 3" xfId="14662"/>
    <cellStyle name="Dane wyjściowe 2 19 57" xfId="14663"/>
    <cellStyle name="Dane wyjściowe 2 19 58" xfId="14664"/>
    <cellStyle name="Dane wyjściowe 2 19 6" xfId="14665"/>
    <cellStyle name="Dane wyjściowe 2 19 6 2" xfId="14666"/>
    <cellStyle name="Dane wyjściowe 2 19 6 3" xfId="14667"/>
    <cellStyle name="Dane wyjściowe 2 19 6 4" xfId="14668"/>
    <cellStyle name="Dane wyjściowe 2 19 7" xfId="14669"/>
    <cellStyle name="Dane wyjściowe 2 19 7 2" xfId="14670"/>
    <cellStyle name="Dane wyjściowe 2 19 7 3" xfId="14671"/>
    <cellStyle name="Dane wyjściowe 2 19 7 4" xfId="14672"/>
    <cellStyle name="Dane wyjściowe 2 19 8" xfId="14673"/>
    <cellStyle name="Dane wyjściowe 2 19 8 2" xfId="14674"/>
    <cellStyle name="Dane wyjściowe 2 19 8 3" xfId="14675"/>
    <cellStyle name="Dane wyjściowe 2 19 8 4" xfId="14676"/>
    <cellStyle name="Dane wyjściowe 2 19 9" xfId="14677"/>
    <cellStyle name="Dane wyjściowe 2 19 9 2" xfId="14678"/>
    <cellStyle name="Dane wyjściowe 2 19 9 3" xfId="14679"/>
    <cellStyle name="Dane wyjściowe 2 19 9 4" xfId="14680"/>
    <cellStyle name="Dane wyjściowe 2 2" xfId="14681"/>
    <cellStyle name="Dane wyjściowe 2 2 10" xfId="14682"/>
    <cellStyle name="Dane wyjściowe 2 2 10 2" xfId="14683"/>
    <cellStyle name="Dane wyjściowe 2 2 10 3" xfId="14684"/>
    <cellStyle name="Dane wyjściowe 2 2 10 4" xfId="14685"/>
    <cellStyle name="Dane wyjściowe 2 2 11" xfId="14686"/>
    <cellStyle name="Dane wyjściowe 2 2 11 2" xfId="14687"/>
    <cellStyle name="Dane wyjściowe 2 2 11 3" xfId="14688"/>
    <cellStyle name="Dane wyjściowe 2 2 11 4" xfId="14689"/>
    <cellStyle name="Dane wyjściowe 2 2 12" xfId="14690"/>
    <cellStyle name="Dane wyjściowe 2 2 12 2" xfId="14691"/>
    <cellStyle name="Dane wyjściowe 2 2 12 3" xfId="14692"/>
    <cellStyle name="Dane wyjściowe 2 2 12 4" xfId="14693"/>
    <cellStyle name="Dane wyjściowe 2 2 13" xfId="14694"/>
    <cellStyle name="Dane wyjściowe 2 2 13 2" xfId="14695"/>
    <cellStyle name="Dane wyjściowe 2 2 13 3" xfId="14696"/>
    <cellStyle name="Dane wyjściowe 2 2 13 4" xfId="14697"/>
    <cellStyle name="Dane wyjściowe 2 2 14" xfId="14698"/>
    <cellStyle name="Dane wyjściowe 2 2 14 2" xfId="14699"/>
    <cellStyle name="Dane wyjściowe 2 2 14 3" xfId="14700"/>
    <cellStyle name="Dane wyjściowe 2 2 14 4" xfId="14701"/>
    <cellStyle name="Dane wyjściowe 2 2 15" xfId="14702"/>
    <cellStyle name="Dane wyjściowe 2 2 15 2" xfId="14703"/>
    <cellStyle name="Dane wyjściowe 2 2 15 3" xfId="14704"/>
    <cellStyle name="Dane wyjściowe 2 2 15 4" xfId="14705"/>
    <cellStyle name="Dane wyjściowe 2 2 16" xfId="14706"/>
    <cellStyle name="Dane wyjściowe 2 2 16 2" xfId="14707"/>
    <cellStyle name="Dane wyjściowe 2 2 16 3" xfId="14708"/>
    <cellStyle name="Dane wyjściowe 2 2 16 4" xfId="14709"/>
    <cellStyle name="Dane wyjściowe 2 2 17" xfId="14710"/>
    <cellStyle name="Dane wyjściowe 2 2 17 2" xfId="14711"/>
    <cellStyle name="Dane wyjściowe 2 2 17 3" xfId="14712"/>
    <cellStyle name="Dane wyjściowe 2 2 17 4" xfId="14713"/>
    <cellStyle name="Dane wyjściowe 2 2 18" xfId="14714"/>
    <cellStyle name="Dane wyjściowe 2 2 18 2" xfId="14715"/>
    <cellStyle name="Dane wyjściowe 2 2 18 3" xfId="14716"/>
    <cellStyle name="Dane wyjściowe 2 2 18 4" xfId="14717"/>
    <cellStyle name="Dane wyjściowe 2 2 19" xfId="14718"/>
    <cellStyle name="Dane wyjściowe 2 2 19 2" xfId="14719"/>
    <cellStyle name="Dane wyjściowe 2 2 19 3" xfId="14720"/>
    <cellStyle name="Dane wyjściowe 2 2 19 4" xfId="14721"/>
    <cellStyle name="Dane wyjściowe 2 2 2" xfId="14722"/>
    <cellStyle name="Dane wyjściowe 2 2 2 2" xfId="14723"/>
    <cellStyle name="Dane wyjściowe 2 2 2 3" xfId="14724"/>
    <cellStyle name="Dane wyjściowe 2 2 2 4" xfId="14725"/>
    <cellStyle name="Dane wyjściowe 2 2 20" xfId="14726"/>
    <cellStyle name="Dane wyjściowe 2 2 20 2" xfId="14727"/>
    <cellStyle name="Dane wyjściowe 2 2 20 3" xfId="14728"/>
    <cellStyle name="Dane wyjściowe 2 2 20 4" xfId="14729"/>
    <cellStyle name="Dane wyjściowe 2 2 21" xfId="14730"/>
    <cellStyle name="Dane wyjściowe 2 2 21 2" xfId="14731"/>
    <cellStyle name="Dane wyjściowe 2 2 21 3" xfId="14732"/>
    <cellStyle name="Dane wyjściowe 2 2 22" xfId="14733"/>
    <cellStyle name="Dane wyjściowe 2 2 22 2" xfId="14734"/>
    <cellStyle name="Dane wyjściowe 2 2 22 3" xfId="14735"/>
    <cellStyle name="Dane wyjściowe 2 2 23" xfId="14736"/>
    <cellStyle name="Dane wyjściowe 2 2 23 2" xfId="14737"/>
    <cellStyle name="Dane wyjściowe 2 2 23 3" xfId="14738"/>
    <cellStyle name="Dane wyjściowe 2 2 24" xfId="14739"/>
    <cellStyle name="Dane wyjściowe 2 2 24 2" xfId="14740"/>
    <cellStyle name="Dane wyjściowe 2 2 24 3" xfId="14741"/>
    <cellStyle name="Dane wyjściowe 2 2 25" xfId="14742"/>
    <cellStyle name="Dane wyjściowe 2 2 25 2" xfId="14743"/>
    <cellStyle name="Dane wyjściowe 2 2 25 3" xfId="14744"/>
    <cellStyle name="Dane wyjściowe 2 2 26" xfId="14745"/>
    <cellStyle name="Dane wyjściowe 2 2 26 2" xfId="14746"/>
    <cellStyle name="Dane wyjściowe 2 2 26 3" xfId="14747"/>
    <cellStyle name="Dane wyjściowe 2 2 27" xfId="14748"/>
    <cellStyle name="Dane wyjściowe 2 2 27 2" xfId="14749"/>
    <cellStyle name="Dane wyjściowe 2 2 27 3" xfId="14750"/>
    <cellStyle name="Dane wyjściowe 2 2 28" xfId="14751"/>
    <cellStyle name="Dane wyjściowe 2 2 28 2" xfId="14752"/>
    <cellStyle name="Dane wyjściowe 2 2 28 3" xfId="14753"/>
    <cellStyle name="Dane wyjściowe 2 2 29" xfId="14754"/>
    <cellStyle name="Dane wyjściowe 2 2 29 2" xfId="14755"/>
    <cellStyle name="Dane wyjściowe 2 2 29 3" xfId="14756"/>
    <cellStyle name="Dane wyjściowe 2 2 3" xfId="14757"/>
    <cellStyle name="Dane wyjściowe 2 2 3 2" xfId="14758"/>
    <cellStyle name="Dane wyjściowe 2 2 3 3" xfId="14759"/>
    <cellStyle name="Dane wyjściowe 2 2 3 4" xfId="14760"/>
    <cellStyle name="Dane wyjściowe 2 2 30" xfId="14761"/>
    <cellStyle name="Dane wyjściowe 2 2 30 2" xfId="14762"/>
    <cellStyle name="Dane wyjściowe 2 2 30 3" xfId="14763"/>
    <cellStyle name="Dane wyjściowe 2 2 31" xfId="14764"/>
    <cellStyle name="Dane wyjściowe 2 2 31 2" xfId="14765"/>
    <cellStyle name="Dane wyjściowe 2 2 31 3" xfId="14766"/>
    <cellStyle name="Dane wyjściowe 2 2 32" xfId="14767"/>
    <cellStyle name="Dane wyjściowe 2 2 32 2" xfId="14768"/>
    <cellStyle name="Dane wyjściowe 2 2 32 3" xfId="14769"/>
    <cellStyle name="Dane wyjściowe 2 2 33" xfId="14770"/>
    <cellStyle name="Dane wyjściowe 2 2 33 2" xfId="14771"/>
    <cellStyle name="Dane wyjściowe 2 2 33 3" xfId="14772"/>
    <cellStyle name="Dane wyjściowe 2 2 34" xfId="14773"/>
    <cellStyle name="Dane wyjściowe 2 2 34 2" xfId="14774"/>
    <cellStyle name="Dane wyjściowe 2 2 34 3" xfId="14775"/>
    <cellStyle name="Dane wyjściowe 2 2 35" xfId="14776"/>
    <cellStyle name="Dane wyjściowe 2 2 35 2" xfId="14777"/>
    <cellStyle name="Dane wyjściowe 2 2 35 3" xfId="14778"/>
    <cellStyle name="Dane wyjściowe 2 2 36" xfId="14779"/>
    <cellStyle name="Dane wyjściowe 2 2 36 2" xfId="14780"/>
    <cellStyle name="Dane wyjściowe 2 2 36 3" xfId="14781"/>
    <cellStyle name="Dane wyjściowe 2 2 37" xfId="14782"/>
    <cellStyle name="Dane wyjściowe 2 2 37 2" xfId="14783"/>
    <cellStyle name="Dane wyjściowe 2 2 37 3" xfId="14784"/>
    <cellStyle name="Dane wyjściowe 2 2 38" xfId="14785"/>
    <cellStyle name="Dane wyjściowe 2 2 38 2" xfId="14786"/>
    <cellStyle name="Dane wyjściowe 2 2 38 3" xfId="14787"/>
    <cellStyle name="Dane wyjściowe 2 2 39" xfId="14788"/>
    <cellStyle name="Dane wyjściowe 2 2 39 2" xfId="14789"/>
    <cellStyle name="Dane wyjściowe 2 2 39 3" xfId="14790"/>
    <cellStyle name="Dane wyjściowe 2 2 4" xfId="14791"/>
    <cellStyle name="Dane wyjściowe 2 2 4 2" xfId="14792"/>
    <cellStyle name="Dane wyjściowe 2 2 4 3" xfId="14793"/>
    <cellStyle name="Dane wyjściowe 2 2 4 4" xfId="14794"/>
    <cellStyle name="Dane wyjściowe 2 2 40" xfId="14795"/>
    <cellStyle name="Dane wyjściowe 2 2 40 2" xfId="14796"/>
    <cellStyle name="Dane wyjściowe 2 2 40 3" xfId="14797"/>
    <cellStyle name="Dane wyjściowe 2 2 41" xfId="14798"/>
    <cellStyle name="Dane wyjściowe 2 2 41 2" xfId="14799"/>
    <cellStyle name="Dane wyjściowe 2 2 41 3" xfId="14800"/>
    <cellStyle name="Dane wyjściowe 2 2 42" xfId="14801"/>
    <cellStyle name="Dane wyjściowe 2 2 42 2" xfId="14802"/>
    <cellStyle name="Dane wyjściowe 2 2 42 3" xfId="14803"/>
    <cellStyle name="Dane wyjściowe 2 2 43" xfId="14804"/>
    <cellStyle name="Dane wyjściowe 2 2 43 2" xfId="14805"/>
    <cellStyle name="Dane wyjściowe 2 2 43 3" xfId="14806"/>
    <cellStyle name="Dane wyjściowe 2 2 44" xfId="14807"/>
    <cellStyle name="Dane wyjściowe 2 2 44 2" xfId="14808"/>
    <cellStyle name="Dane wyjściowe 2 2 44 3" xfId="14809"/>
    <cellStyle name="Dane wyjściowe 2 2 45" xfId="14810"/>
    <cellStyle name="Dane wyjściowe 2 2 45 2" xfId="14811"/>
    <cellStyle name="Dane wyjściowe 2 2 45 3" xfId="14812"/>
    <cellStyle name="Dane wyjściowe 2 2 46" xfId="14813"/>
    <cellStyle name="Dane wyjściowe 2 2 46 2" xfId="14814"/>
    <cellStyle name="Dane wyjściowe 2 2 46 3" xfId="14815"/>
    <cellStyle name="Dane wyjściowe 2 2 47" xfId="14816"/>
    <cellStyle name="Dane wyjściowe 2 2 47 2" xfId="14817"/>
    <cellStyle name="Dane wyjściowe 2 2 47 3" xfId="14818"/>
    <cellStyle name="Dane wyjściowe 2 2 48" xfId="14819"/>
    <cellStyle name="Dane wyjściowe 2 2 48 2" xfId="14820"/>
    <cellStyle name="Dane wyjściowe 2 2 48 3" xfId="14821"/>
    <cellStyle name="Dane wyjściowe 2 2 49" xfId="14822"/>
    <cellStyle name="Dane wyjściowe 2 2 49 2" xfId="14823"/>
    <cellStyle name="Dane wyjściowe 2 2 49 3" xfId="14824"/>
    <cellStyle name="Dane wyjściowe 2 2 5" xfId="14825"/>
    <cellStyle name="Dane wyjściowe 2 2 5 2" xfId="14826"/>
    <cellStyle name="Dane wyjściowe 2 2 5 3" xfId="14827"/>
    <cellStyle name="Dane wyjściowe 2 2 5 4" xfId="14828"/>
    <cellStyle name="Dane wyjściowe 2 2 50" xfId="14829"/>
    <cellStyle name="Dane wyjściowe 2 2 50 2" xfId="14830"/>
    <cellStyle name="Dane wyjściowe 2 2 50 3" xfId="14831"/>
    <cellStyle name="Dane wyjściowe 2 2 51" xfId="14832"/>
    <cellStyle name="Dane wyjściowe 2 2 51 2" xfId="14833"/>
    <cellStyle name="Dane wyjściowe 2 2 51 3" xfId="14834"/>
    <cellStyle name="Dane wyjściowe 2 2 52" xfId="14835"/>
    <cellStyle name="Dane wyjściowe 2 2 52 2" xfId="14836"/>
    <cellStyle name="Dane wyjściowe 2 2 52 3" xfId="14837"/>
    <cellStyle name="Dane wyjściowe 2 2 53" xfId="14838"/>
    <cellStyle name="Dane wyjściowe 2 2 53 2" xfId="14839"/>
    <cellStyle name="Dane wyjściowe 2 2 53 3" xfId="14840"/>
    <cellStyle name="Dane wyjściowe 2 2 54" xfId="14841"/>
    <cellStyle name="Dane wyjściowe 2 2 54 2" xfId="14842"/>
    <cellStyle name="Dane wyjściowe 2 2 54 3" xfId="14843"/>
    <cellStyle name="Dane wyjściowe 2 2 55" xfId="14844"/>
    <cellStyle name="Dane wyjściowe 2 2 55 2" xfId="14845"/>
    <cellStyle name="Dane wyjściowe 2 2 55 3" xfId="14846"/>
    <cellStyle name="Dane wyjściowe 2 2 56" xfId="14847"/>
    <cellStyle name="Dane wyjściowe 2 2 56 2" xfId="14848"/>
    <cellStyle name="Dane wyjściowe 2 2 56 3" xfId="14849"/>
    <cellStyle name="Dane wyjściowe 2 2 57" xfId="14850"/>
    <cellStyle name="Dane wyjściowe 2 2 58" xfId="14851"/>
    <cellStyle name="Dane wyjściowe 2 2 59" xfId="14852"/>
    <cellStyle name="Dane wyjściowe 2 2 6" xfId="14853"/>
    <cellStyle name="Dane wyjściowe 2 2 6 2" xfId="14854"/>
    <cellStyle name="Dane wyjściowe 2 2 6 3" xfId="14855"/>
    <cellStyle name="Dane wyjściowe 2 2 6 4" xfId="14856"/>
    <cellStyle name="Dane wyjściowe 2 2 7" xfId="14857"/>
    <cellStyle name="Dane wyjściowe 2 2 7 2" xfId="14858"/>
    <cellStyle name="Dane wyjściowe 2 2 7 3" xfId="14859"/>
    <cellStyle name="Dane wyjściowe 2 2 7 4" xfId="14860"/>
    <cellStyle name="Dane wyjściowe 2 2 8" xfId="14861"/>
    <cellStyle name="Dane wyjściowe 2 2 8 2" xfId="14862"/>
    <cellStyle name="Dane wyjściowe 2 2 8 3" xfId="14863"/>
    <cellStyle name="Dane wyjściowe 2 2 8 4" xfId="14864"/>
    <cellStyle name="Dane wyjściowe 2 2 9" xfId="14865"/>
    <cellStyle name="Dane wyjściowe 2 2 9 2" xfId="14866"/>
    <cellStyle name="Dane wyjściowe 2 2 9 3" xfId="14867"/>
    <cellStyle name="Dane wyjściowe 2 2 9 4" xfId="14868"/>
    <cellStyle name="Dane wyjściowe 2 20" xfId="14869"/>
    <cellStyle name="Dane wyjściowe 2 20 10" xfId="14870"/>
    <cellStyle name="Dane wyjściowe 2 20 10 2" xfId="14871"/>
    <cellStyle name="Dane wyjściowe 2 20 10 3" xfId="14872"/>
    <cellStyle name="Dane wyjściowe 2 20 10 4" xfId="14873"/>
    <cellStyle name="Dane wyjściowe 2 20 11" xfId="14874"/>
    <cellStyle name="Dane wyjściowe 2 20 11 2" xfId="14875"/>
    <cellStyle name="Dane wyjściowe 2 20 11 3" xfId="14876"/>
    <cellStyle name="Dane wyjściowe 2 20 11 4" xfId="14877"/>
    <cellStyle name="Dane wyjściowe 2 20 12" xfId="14878"/>
    <cellStyle name="Dane wyjściowe 2 20 12 2" xfId="14879"/>
    <cellStyle name="Dane wyjściowe 2 20 12 3" xfId="14880"/>
    <cellStyle name="Dane wyjściowe 2 20 12 4" xfId="14881"/>
    <cellStyle name="Dane wyjściowe 2 20 13" xfId="14882"/>
    <cellStyle name="Dane wyjściowe 2 20 13 2" xfId="14883"/>
    <cellStyle name="Dane wyjściowe 2 20 13 3" xfId="14884"/>
    <cellStyle name="Dane wyjściowe 2 20 13 4" xfId="14885"/>
    <cellStyle name="Dane wyjściowe 2 20 14" xfId="14886"/>
    <cellStyle name="Dane wyjściowe 2 20 14 2" xfId="14887"/>
    <cellStyle name="Dane wyjściowe 2 20 14 3" xfId="14888"/>
    <cellStyle name="Dane wyjściowe 2 20 14 4" xfId="14889"/>
    <cellStyle name="Dane wyjściowe 2 20 15" xfId="14890"/>
    <cellStyle name="Dane wyjściowe 2 20 15 2" xfId="14891"/>
    <cellStyle name="Dane wyjściowe 2 20 15 3" xfId="14892"/>
    <cellStyle name="Dane wyjściowe 2 20 15 4" xfId="14893"/>
    <cellStyle name="Dane wyjściowe 2 20 16" xfId="14894"/>
    <cellStyle name="Dane wyjściowe 2 20 16 2" xfId="14895"/>
    <cellStyle name="Dane wyjściowe 2 20 16 3" xfId="14896"/>
    <cellStyle name="Dane wyjściowe 2 20 16 4" xfId="14897"/>
    <cellStyle name="Dane wyjściowe 2 20 17" xfId="14898"/>
    <cellStyle name="Dane wyjściowe 2 20 17 2" xfId="14899"/>
    <cellStyle name="Dane wyjściowe 2 20 17 3" xfId="14900"/>
    <cellStyle name="Dane wyjściowe 2 20 17 4" xfId="14901"/>
    <cellStyle name="Dane wyjściowe 2 20 18" xfId="14902"/>
    <cellStyle name="Dane wyjściowe 2 20 18 2" xfId="14903"/>
    <cellStyle name="Dane wyjściowe 2 20 18 3" xfId="14904"/>
    <cellStyle name="Dane wyjściowe 2 20 18 4" xfId="14905"/>
    <cellStyle name="Dane wyjściowe 2 20 19" xfId="14906"/>
    <cellStyle name="Dane wyjściowe 2 20 19 2" xfId="14907"/>
    <cellStyle name="Dane wyjściowe 2 20 19 3" xfId="14908"/>
    <cellStyle name="Dane wyjściowe 2 20 19 4" xfId="14909"/>
    <cellStyle name="Dane wyjściowe 2 20 2" xfId="14910"/>
    <cellStyle name="Dane wyjściowe 2 20 2 2" xfId="14911"/>
    <cellStyle name="Dane wyjściowe 2 20 2 3" xfId="14912"/>
    <cellStyle name="Dane wyjściowe 2 20 2 4" xfId="14913"/>
    <cellStyle name="Dane wyjściowe 2 20 20" xfId="14914"/>
    <cellStyle name="Dane wyjściowe 2 20 20 2" xfId="14915"/>
    <cellStyle name="Dane wyjściowe 2 20 20 3" xfId="14916"/>
    <cellStyle name="Dane wyjściowe 2 20 20 4" xfId="14917"/>
    <cellStyle name="Dane wyjściowe 2 20 21" xfId="14918"/>
    <cellStyle name="Dane wyjściowe 2 20 21 2" xfId="14919"/>
    <cellStyle name="Dane wyjściowe 2 20 21 3" xfId="14920"/>
    <cellStyle name="Dane wyjściowe 2 20 22" xfId="14921"/>
    <cellStyle name="Dane wyjściowe 2 20 22 2" xfId="14922"/>
    <cellStyle name="Dane wyjściowe 2 20 22 3" xfId="14923"/>
    <cellStyle name="Dane wyjściowe 2 20 23" xfId="14924"/>
    <cellStyle name="Dane wyjściowe 2 20 23 2" xfId="14925"/>
    <cellStyle name="Dane wyjściowe 2 20 23 3" xfId="14926"/>
    <cellStyle name="Dane wyjściowe 2 20 24" xfId="14927"/>
    <cellStyle name="Dane wyjściowe 2 20 24 2" xfId="14928"/>
    <cellStyle name="Dane wyjściowe 2 20 24 3" xfId="14929"/>
    <cellStyle name="Dane wyjściowe 2 20 25" xfId="14930"/>
    <cellStyle name="Dane wyjściowe 2 20 25 2" xfId="14931"/>
    <cellStyle name="Dane wyjściowe 2 20 25 3" xfId="14932"/>
    <cellStyle name="Dane wyjściowe 2 20 26" xfId="14933"/>
    <cellStyle name="Dane wyjściowe 2 20 26 2" xfId="14934"/>
    <cellStyle name="Dane wyjściowe 2 20 26 3" xfId="14935"/>
    <cellStyle name="Dane wyjściowe 2 20 27" xfId="14936"/>
    <cellStyle name="Dane wyjściowe 2 20 27 2" xfId="14937"/>
    <cellStyle name="Dane wyjściowe 2 20 27 3" xfId="14938"/>
    <cellStyle name="Dane wyjściowe 2 20 28" xfId="14939"/>
    <cellStyle name="Dane wyjściowe 2 20 28 2" xfId="14940"/>
    <cellStyle name="Dane wyjściowe 2 20 28 3" xfId="14941"/>
    <cellStyle name="Dane wyjściowe 2 20 29" xfId="14942"/>
    <cellStyle name="Dane wyjściowe 2 20 29 2" xfId="14943"/>
    <cellStyle name="Dane wyjściowe 2 20 29 3" xfId="14944"/>
    <cellStyle name="Dane wyjściowe 2 20 3" xfId="14945"/>
    <cellStyle name="Dane wyjściowe 2 20 3 2" xfId="14946"/>
    <cellStyle name="Dane wyjściowe 2 20 3 3" xfId="14947"/>
    <cellStyle name="Dane wyjściowe 2 20 3 4" xfId="14948"/>
    <cellStyle name="Dane wyjściowe 2 20 30" xfId="14949"/>
    <cellStyle name="Dane wyjściowe 2 20 30 2" xfId="14950"/>
    <cellStyle name="Dane wyjściowe 2 20 30 3" xfId="14951"/>
    <cellStyle name="Dane wyjściowe 2 20 31" xfId="14952"/>
    <cellStyle name="Dane wyjściowe 2 20 31 2" xfId="14953"/>
    <cellStyle name="Dane wyjściowe 2 20 31 3" xfId="14954"/>
    <cellStyle name="Dane wyjściowe 2 20 32" xfId="14955"/>
    <cellStyle name="Dane wyjściowe 2 20 32 2" xfId="14956"/>
    <cellStyle name="Dane wyjściowe 2 20 32 3" xfId="14957"/>
    <cellStyle name="Dane wyjściowe 2 20 33" xfId="14958"/>
    <cellStyle name="Dane wyjściowe 2 20 33 2" xfId="14959"/>
    <cellStyle name="Dane wyjściowe 2 20 33 3" xfId="14960"/>
    <cellStyle name="Dane wyjściowe 2 20 34" xfId="14961"/>
    <cellStyle name="Dane wyjściowe 2 20 34 2" xfId="14962"/>
    <cellStyle name="Dane wyjściowe 2 20 34 3" xfId="14963"/>
    <cellStyle name="Dane wyjściowe 2 20 35" xfId="14964"/>
    <cellStyle name="Dane wyjściowe 2 20 35 2" xfId="14965"/>
    <cellStyle name="Dane wyjściowe 2 20 35 3" xfId="14966"/>
    <cellStyle name="Dane wyjściowe 2 20 36" xfId="14967"/>
    <cellStyle name="Dane wyjściowe 2 20 36 2" xfId="14968"/>
    <cellStyle name="Dane wyjściowe 2 20 36 3" xfId="14969"/>
    <cellStyle name="Dane wyjściowe 2 20 37" xfId="14970"/>
    <cellStyle name="Dane wyjściowe 2 20 37 2" xfId="14971"/>
    <cellStyle name="Dane wyjściowe 2 20 37 3" xfId="14972"/>
    <cellStyle name="Dane wyjściowe 2 20 38" xfId="14973"/>
    <cellStyle name="Dane wyjściowe 2 20 38 2" xfId="14974"/>
    <cellStyle name="Dane wyjściowe 2 20 38 3" xfId="14975"/>
    <cellStyle name="Dane wyjściowe 2 20 39" xfId="14976"/>
    <cellStyle name="Dane wyjściowe 2 20 39 2" xfId="14977"/>
    <cellStyle name="Dane wyjściowe 2 20 39 3" xfId="14978"/>
    <cellStyle name="Dane wyjściowe 2 20 4" xfId="14979"/>
    <cellStyle name="Dane wyjściowe 2 20 4 2" xfId="14980"/>
    <cellStyle name="Dane wyjściowe 2 20 4 3" xfId="14981"/>
    <cellStyle name="Dane wyjściowe 2 20 4 4" xfId="14982"/>
    <cellStyle name="Dane wyjściowe 2 20 40" xfId="14983"/>
    <cellStyle name="Dane wyjściowe 2 20 40 2" xfId="14984"/>
    <cellStyle name="Dane wyjściowe 2 20 40 3" xfId="14985"/>
    <cellStyle name="Dane wyjściowe 2 20 41" xfId="14986"/>
    <cellStyle name="Dane wyjściowe 2 20 41 2" xfId="14987"/>
    <cellStyle name="Dane wyjściowe 2 20 41 3" xfId="14988"/>
    <cellStyle name="Dane wyjściowe 2 20 42" xfId="14989"/>
    <cellStyle name="Dane wyjściowe 2 20 42 2" xfId="14990"/>
    <cellStyle name="Dane wyjściowe 2 20 42 3" xfId="14991"/>
    <cellStyle name="Dane wyjściowe 2 20 43" xfId="14992"/>
    <cellStyle name="Dane wyjściowe 2 20 43 2" xfId="14993"/>
    <cellStyle name="Dane wyjściowe 2 20 43 3" xfId="14994"/>
    <cellStyle name="Dane wyjściowe 2 20 44" xfId="14995"/>
    <cellStyle name="Dane wyjściowe 2 20 44 2" xfId="14996"/>
    <cellStyle name="Dane wyjściowe 2 20 44 3" xfId="14997"/>
    <cellStyle name="Dane wyjściowe 2 20 45" xfId="14998"/>
    <cellStyle name="Dane wyjściowe 2 20 45 2" xfId="14999"/>
    <cellStyle name="Dane wyjściowe 2 20 45 3" xfId="15000"/>
    <cellStyle name="Dane wyjściowe 2 20 46" xfId="15001"/>
    <cellStyle name="Dane wyjściowe 2 20 46 2" xfId="15002"/>
    <cellStyle name="Dane wyjściowe 2 20 46 3" xfId="15003"/>
    <cellStyle name="Dane wyjściowe 2 20 47" xfId="15004"/>
    <cellStyle name="Dane wyjściowe 2 20 47 2" xfId="15005"/>
    <cellStyle name="Dane wyjściowe 2 20 47 3" xfId="15006"/>
    <cellStyle name="Dane wyjściowe 2 20 48" xfId="15007"/>
    <cellStyle name="Dane wyjściowe 2 20 48 2" xfId="15008"/>
    <cellStyle name="Dane wyjściowe 2 20 48 3" xfId="15009"/>
    <cellStyle name="Dane wyjściowe 2 20 49" xfId="15010"/>
    <cellStyle name="Dane wyjściowe 2 20 49 2" xfId="15011"/>
    <cellStyle name="Dane wyjściowe 2 20 49 3" xfId="15012"/>
    <cellStyle name="Dane wyjściowe 2 20 5" xfId="15013"/>
    <cellStyle name="Dane wyjściowe 2 20 5 2" xfId="15014"/>
    <cellStyle name="Dane wyjściowe 2 20 5 3" xfId="15015"/>
    <cellStyle name="Dane wyjściowe 2 20 5 4" xfId="15016"/>
    <cellStyle name="Dane wyjściowe 2 20 50" xfId="15017"/>
    <cellStyle name="Dane wyjściowe 2 20 50 2" xfId="15018"/>
    <cellStyle name="Dane wyjściowe 2 20 50 3" xfId="15019"/>
    <cellStyle name="Dane wyjściowe 2 20 51" xfId="15020"/>
    <cellStyle name="Dane wyjściowe 2 20 51 2" xfId="15021"/>
    <cellStyle name="Dane wyjściowe 2 20 51 3" xfId="15022"/>
    <cellStyle name="Dane wyjściowe 2 20 52" xfId="15023"/>
    <cellStyle name="Dane wyjściowe 2 20 52 2" xfId="15024"/>
    <cellStyle name="Dane wyjściowe 2 20 52 3" xfId="15025"/>
    <cellStyle name="Dane wyjściowe 2 20 53" xfId="15026"/>
    <cellStyle name="Dane wyjściowe 2 20 53 2" xfId="15027"/>
    <cellStyle name="Dane wyjściowe 2 20 53 3" xfId="15028"/>
    <cellStyle name="Dane wyjściowe 2 20 54" xfId="15029"/>
    <cellStyle name="Dane wyjściowe 2 20 54 2" xfId="15030"/>
    <cellStyle name="Dane wyjściowe 2 20 54 3" xfId="15031"/>
    <cellStyle name="Dane wyjściowe 2 20 55" xfId="15032"/>
    <cellStyle name="Dane wyjściowe 2 20 55 2" xfId="15033"/>
    <cellStyle name="Dane wyjściowe 2 20 55 3" xfId="15034"/>
    <cellStyle name="Dane wyjściowe 2 20 56" xfId="15035"/>
    <cellStyle name="Dane wyjściowe 2 20 56 2" xfId="15036"/>
    <cellStyle name="Dane wyjściowe 2 20 56 3" xfId="15037"/>
    <cellStyle name="Dane wyjściowe 2 20 57" xfId="15038"/>
    <cellStyle name="Dane wyjściowe 2 20 58" xfId="15039"/>
    <cellStyle name="Dane wyjściowe 2 20 6" xfId="15040"/>
    <cellStyle name="Dane wyjściowe 2 20 6 2" xfId="15041"/>
    <cellStyle name="Dane wyjściowe 2 20 6 3" xfId="15042"/>
    <cellStyle name="Dane wyjściowe 2 20 6 4" xfId="15043"/>
    <cellStyle name="Dane wyjściowe 2 20 7" xfId="15044"/>
    <cellStyle name="Dane wyjściowe 2 20 7 2" xfId="15045"/>
    <cellStyle name="Dane wyjściowe 2 20 7 3" xfId="15046"/>
    <cellStyle name="Dane wyjściowe 2 20 7 4" xfId="15047"/>
    <cellStyle name="Dane wyjściowe 2 20 8" xfId="15048"/>
    <cellStyle name="Dane wyjściowe 2 20 8 2" xfId="15049"/>
    <cellStyle name="Dane wyjściowe 2 20 8 3" xfId="15050"/>
    <cellStyle name="Dane wyjściowe 2 20 8 4" xfId="15051"/>
    <cellStyle name="Dane wyjściowe 2 20 9" xfId="15052"/>
    <cellStyle name="Dane wyjściowe 2 20 9 2" xfId="15053"/>
    <cellStyle name="Dane wyjściowe 2 20 9 3" xfId="15054"/>
    <cellStyle name="Dane wyjściowe 2 20 9 4" xfId="15055"/>
    <cellStyle name="Dane wyjściowe 2 21" xfId="15056"/>
    <cellStyle name="Dane wyjściowe 2 21 10" xfId="15057"/>
    <cellStyle name="Dane wyjściowe 2 21 10 2" xfId="15058"/>
    <cellStyle name="Dane wyjściowe 2 21 10 3" xfId="15059"/>
    <cellStyle name="Dane wyjściowe 2 21 10 4" xfId="15060"/>
    <cellStyle name="Dane wyjściowe 2 21 11" xfId="15061"/>
    <cellStyle name="Dane wyjściowe 2 21 11 2" xfId="15062"/>
    <cellStyle name="Dane wyjściowe 2 21 11 3" xfId="15063"/>
    <cellStyle name="Dane wyjściowe 2 21 11 4" xfId="15064"/>
    <cellStyle name="Dane wyjściowe 2 21 12" xfId="15065"/>
    <cellStyle name="Dane wyjściowe 2 21 12 2" xfId="15066"/>
    <cellStyle name="Dane wyjściowe 2 21 12 3" xfId="15067"/>
    <cellStyle name="Dane wyjściowe 2 21 12 4" xfId="15068"/>
    <cellStyle name="Dane wyjściowe 2 21 13" xfId="15069"/>
    <cellStyle name="Dane wyjściowe 2 21 13 2" xfId="15070"/>
    <cellStyle name="Dane wyjściowe 2 21 13 3" xfId="15071"/>
    <cellStyle name="Dane wyjściowe 2 21 13 4" xfId="15072"/>
    <cellStyle name="Dane wyjściowe 2 21 14" xfId="15073"/>
    <cellStyle name="Dane wyjściowe 2 21 14 2" xfId="15074"/>
    <cellStyle name="Dane wyjściowe 2 21 14 3" xfId="15075"/>
    <cellStyle name="Dane wyjściowe 2 21 14 4" xfId="15076"/>
    <cellStyle name="Dane wyjściowe 2 21 15" xfId="15077"/>
    <cellStyle name="Dane wyjściowe 2 21 15 2" xfId="15078"/>
    <cellStyle name="Dane wyjściowe 2 21 15 3" xfId="15079"/>
    <cellStyle name="Dane wyjściowe 2 21 15 4" xfId="15080"/>
    <cellStyle name="Dane wyjściowe 2 21 16" xfId="15081"/>
    <cellStyle name="Dane wyjściowe 2 21 16 2" xfId="15082"/>
    <cellStyle name="Dane wyjściowe 2 21 16 3" xfId="15083"/>
    <cellStyle name="Dane wyjściowe 2 21 16 4" xfId="15084"/>
    <cellStyle name="Dane wyjściowe 2 21 17" xfId="15085"/>
    <cellStyle name="Dane wyjściowe 2 21 17 2" xfId="15086"/>
    <cellStyle name="Dane wyjściowe 2 21 17 3" xfId="15087"/>
    <cellStyle name="Dane wyjściowe 2 21 17 4" xfId="15088"/>
    <cellStyle name="Dane wyjściowe 2 21 18" xfId="15089"/>
    <cellStyle name="Dane wyjściowe 2 21 18 2" xfId="15090"/>
    <cellStyle name="Dane wyjściowe 2 21 18 3" xfId="15091"/>
    <cellStyle name="Dane wyjściowe 2 21 18 4" xfId="15092"/>
    <cellStyle name="Dane wyjściowe 2 21 19" xfId="15093"/>
    <cellStyle name="Dane wyjściowe 2 21 19 2" xfId="15094"/>
    <cellStyle name="Dane wyjściowe 2 21 19 3" xfId="15095"/>
    <cellStyle name="Dane wyjściowe 2 21 19 4" xfId="15096"/>
    <cellStyle name="Dane wyjściowe 2 21 2" xfId="15097"/>
    <cellStyle name="Dane wyjściowe 2 21 2 2" xfId="15098"/>
    <cellStyle name="Dane wyjściowe 2 21 2 3" xfId="15099"/>
    <cellStyle name="Dane wyjściowe 2 21 2 4" xfId="15100"/>
    <cellStyle name="Dane wyjściowe 2 21 20" xfId="15101"/>
    <cellStyle name="Dane wyjściowe 2 21 20 2" xfId="15102"/>
    <cellStyle name="Dane wyjściowe 2 21 20 3" xfId="15103"/>
    <cellStyle name="Dane wyjściowe 2 21 20 4" xfId="15104"/>
    <cellStyle name="Dane wyjściowe 2 21 21" xfId="15105"/>
    <cellStyle name="Dane wyjściowe 2 21 21 2" xfId="15106"/>
    <cellStyle name="Dane wyjściowe 2 21 21 3" xfId="15107"/>
    <cellStyle name="Dane wyjściowe 2 21 22" xfId="15108"/>
    <cellStyle name="Dane wyjściowe 2 21 22 2" xfId="15109"/>
    <cellStyle name="Dane wyjściowe 2 21 22 3" xfId="15110"/>
    <cellStyle name="Dane wyjściowe 2 21 23" xfId="15111"/>
    <cellStyle name="Dane wyjściowe 2 21 23 2" xfId="15112"/>
    <cellStyle name="Dane wyjściowe 2 21 23 3" xfId="15113"/>
    <cellStyle name="Dane wyjściowe 2 21 24" xfId="15114"/>
    <cellStyle name="Dane wyjściowe 2 21 24 2" xfId="15115"/>
    <cellStyle name="Dane wyjściowe 2 21 24 3" xfId="15116"/>
    <cellStyle name="Dane wyjściowe 2 21 25" xfId="15117"/>
    <cellStyle name="Dane wyjściowe 2 21 25 2" xfId="15118"/>
    <cellStyle name="Dane wyjściowe 2 21 25 3" xfId="15119"/>
    <cellStyle name="Dane wyjściowe 2 21 26" xfId="15120"/>
    <cellStyle name="Dane wyjściowe 2 21 26 2" xfId="15121"/>
    <cellStyle name="Dane wyjściowe 2 21 26 3" xfId="15122"/>
    <cellStyle name="Dane wyjściowe 2 21 27" xfId="15123"/>
    <cellStyle name="Dane wyjściowe 2 21 27 2" xfId="15124"/>
    <cellStyle name="Dane wyjściowe 2 21 27 3" xfId="15125"/>
    <cellStyle name="Dane wyjściowe 2 21 28" xfId="15126"/>
    <cellStyle name="Dane wyjściowe 2 21 28 2" xfId="15127"/>
    <cellStyle name="Dane wyjściowe 2 21 28 3" xfId="15128"/>
    <cellStyle name="Dane wyjściowe 2 21 29" xfId="15129"/>
    <cellStyle name="Dane wyjściowe 2 21 29 2" xfId="15130"/>
    <cellStyle name="Dane wyjściowe 2 21 29 3" xfId="15131"/>
    <cellStyle name="Dane wyjściowe 2 21 3" xfId="15132"/>
    <cellStyle name="Dane wyjściowe 2 21 3 2" xfId="15133"/>
    <cellStyle name="Dane wyjściowe 2 21 3 3" xfId="15134"/>
    <cellStyle name="Dane wyjściowe 2 21 3 4" xfId="15135"/>
    <cellStyle name="Dane wyjściowe 2 21 30" xfId="15136"/>
    <cellStyle name="Dane wyjściowe 2 21 30 2" xfId="15137"/>
    <cellStyle name="Dane wyjściowe 2 21 30 3" xfId="15138"/>
    <cellStyle name="Dane wyjściowe 2 21 31" xfId="15139"/>
    <cellStyle name="Dane wyjściowe 2 21 31 2" xfId="15140"/>
    <cellStyle name="Dane wyjściowe 2 21 31 3" xfId="15141"/>
    <cellStyle name="Dane wyjściowe 2 21 32" xfId="15142"/>
    <cellStyle name="Dane wyjściowe 2 21 32 2" xfId="15143"/>
    <cellStyle name="Dane wyjściowe 2 21 32 3" xfId="15144"/>
    <cellStyle name="Dane wyjściowe 2 21 33" xfId="15145"/>
    <cellStyle name="Dane wyjściowe 2 21 33 2" xfId="15146"/>
    <cellStyle name="Dane wyjściowe 2 21 33 3" xfId="15147"/>
    <cellStyle name="Dane wyjściowe 2 21 34" xfId="15148"/>
    <cellStyle name="Dane wyjściowe 2 21 34 2" xfId="15149"/>
    <cellStyle name="Dane wyjściowe 2 21 34 3" xfId="15150"/>
    <cellStyle name="Dane wyjściowe 2 21 35" xfId="15151"/>
    <cellStyle name="Dane wyjściowe 2 21 35 2" xfId="15152"/>
    <cellStyle name="Dane wyjściowe 2 21 35 3" xfId="15153"/>
    <cellStyle name="Dane wyjściowe 2 21 36" xfId="15154"/>
    <cellStyle name="Dane wyjściowe 2 21 36 2" xfId="15155"/>
    <cellStyle name="Dane wyjściowe 2 21 36 3" xfId="15156"/>
    <cellStyle name="Dane wyjściowe 2 21 37" xfId="15157"/>
    <cellStyle name="Dane wyjściowe 2 21 37 2" xfId="15158"/>
    <cellStyle name="Dane wyjściowe 2 21 37 3" xfId="15159"/>
    <cellStyle name="Dane wyjściowe 2 21 38" xfId="15160"/>
    <cellStyle name="Dane wyjściowe 2 21 38 2" xfId="15161"/>
    <cellStyle name="Dane wyjściowe 2 21 38 3" xfId="15162"/>
    <cellStyle name="Dane wyjściowe 2 21 39" xfId="15163"/>
    <cellStyle name="Dane wyjściowe 2 21 39 2" xfId="15164"/>
    <cellStyle name="Dane wyjściowe 2 21 39 3" xfId="15165"/>
    <cellStyle name="Dane wyjściowe 2 21 4" xfId="15166"/>
    <cellStyle name="Dane wyjściowe 2 21 4 2" xfId="15167"/>
    <cellStyle name="Dane wyjściowe 2 21 4 3" xfId="15168"/>
    <cellStyle name="Dane wyjściowe 2 21 4 4" xfId="15169"/>
    <cellStyle name="Dane wyjściowe 2 21 40" xfId="15170"/>
    <cellStyle name="Dane wyjściowe 2 21 40 2" xfId="15171"/>
    <cellStyle name="Dane wyjściowe 2 21 40 3" xfId="15172"/>
    <cellStyle name="Dane wyjściowe 2 21 41" xfId="15173"/>
    <cellStyle name="Dane wyjściowe 2 21 41 2" xfId="15174"/>
    <cellStyle name="Dane wyjściowe 2 21 41 3" xfId="15175"/>
    <cellStyle name="Dane wyjściowe 2 21 42" xfId="15176"/>
    <cellStyle name="Dane wyjściowe 2 21 42 2" xfId="15177"/>
    <cellStyle name="Dane wyjściowe 2 21 42 3" xfId="15178"/>
    <cellStyle name="Dane wyjściowe 2 21 43" xfId="15179"/>
    <cellStyle name="Dane wyjściowe 2 21 43 2" xfId="15180"/>
    <cellStyle name="Dane wyjściowe 2 21 43 3" xfId="15181"/>
    <cellStyle name="Dane wyjściowe 2 21 44" xfId="15182"/>
    <cellStyle name="Dane wyjściowe 2 21 44 2" xfId="15183"/>
    <cellStyle name="Dane wyjściowe 2 21 44 3" xfId="15184"/>
    <cellStyle name="Dane wyjściowe 2 21 45" xfId="15185"/>
    <cellStyle name="Dane wyjściowe 2 21 45 2" xfId="15186"/>
    <cellStyle name="Dane wyjściowe 2 21 45 3" xfId="15187"/>
    <cellStyle name="Dane wyjściowe 2 21 46" xfId="15188"/>
    <cellStyle name="Dane wyjściowe 2 21 46 2" xfId="15189"/>
    <cellStyle name="Dane wyjściowe 2 21 46 3" xfId="15190"/>
    <cellStyle name="Dane wyjściowe 2 21 47" xfId="15191"/>
    <cellStyle name="Dane wyjściowe 2 21 47 2" xfId="15192"/>
    <cellStyle name="Dane wyjściowe 2 21 47 3" xfId="15193"/>
    <cellStyle name="Dane wyjściowe 2 21 48" xfId="15194"/>
    <cellStyle name="Dane wyjściowe 2 21 48 2" xfId="15195"/>
    <cellStyle name="Dane wyjściowe 2 21 48 3" xfId="15196"/>
    <cellStyle name="Dane wyjściowe 2 21 49" xfId="15197"/>
    <cellStyle name="Dane wyjściowe 2 21 49 2" xfId="15198"/>
    <cellStyle name="Dane wyjściowe 2 21 49 3" xfId="15199"/>
    <cellStyle name="Dane wyjściowe 2 21 5" xfId="15200"/>
    <cellStyle name="Dane wyjściowe 2 21 5 2" xfId="15201"/>
    <cellStyle name="Dane wyjściowe 2 21 5 3" xfId="15202"/>
    <cellStyle name="Dane wyjściowe 2 21 5 4" xfId="15203"/>
    <cellStyle name="Dane wyjściowe 2 21 50" xfId="15204"/>
    <cellStyle name="Dane wyjściowe 2 21 50 2" xfId="15205"/>
    <cellStyle name="Dane wyjściowe 2 21 50 3" xfId="15206"/>
    <cellStyle name="Dane wyjściowe 2 21 51" xfId="15207"/>
    <cellStyle name="Dane wyjściowe 2 21 51 2" xfId="15208"/>
    <cellStyle name="Dane wyjściowe 2 21 51 3" xfId="15209"/>
    <cellStyle name="Dane wyjściowe 2 21 52" xfId="15210"/>
    <cellStyle name="Dane wyjściowe 2 21 52 2" xfId="15211"/>
    <cellStyle name="Dane wyjściowe 2 21 52 3" xfId="15212"/>
    <cellStyle name="Dane wyjściowe 2 21 53" xfId="15213"/>
    <cellStyle name="Dane wyjściowe 2 21 53 2" xfId="15214"/>
    <cellStyle name="Dane wyjściowe 2 21 53 3" xfId="15215"/>
    <cellStyle name="Dane wyjściowe 2 21 54" xfId="15216"/>
    <cellStyle name="Dane wyjściowe 2 21 54 2" xfId="15217"/>
    <cellStyle name="Dane wyjściowe 2 21 54 3" xfId="15218"/>
    <cellStyle name="Dane wyjściowe 2 21 55" xfId="15219"/>
    <cellStyle name="Dane wyjściowe 2 21 55 2" xfId="15220"/>
    <cellStyle name="Dane wyjściowe 2 21 55 3" xfId="15221"/>
    <cellStyle name="Dane wyjściowe 2 21 56" xfId="15222"/>
    <cellStyle name="Dane wyjściowe 2 21 56 2" xfId="15223"/>
    <cellStyle name="Dane wyjściowe 2 21 56 3" xfId="15224"/>
    <cellStyle name="Dane wyjściowe 2 21 57" xfId="15225"/>
    <cellStyle name="Dane wyjściowe 2 21 58" xfId="15226"/>
    <cellStyle name="Dane wyjściowe 2 21 6" xfId="15227"/>
    <cellStyle name="Dane wyjściowe 2 21 6 2" xfId="15228"/>
    <cellStyle name="Dane wyjściowe 2 21 6 3" xfId="15229"/>
    <cellStyle name="Dane wyjściowe 2 21 6 4" xfId="15230"/>
    <cellStyle name="Dane wyjściowe 2 21 7" xfId="15231"/>
    <cellStyle name="Dane wyjściowe 2 21 7 2" xfId="15232"/>
    <cellStyle name="Dane wyjściowe 2 21 7 3" xfId="15233"/>
    <cellStyle name="Dane wyjściowe 2 21 7 4" xfId="15234"/>
    <cellStyle name="Dane wyjściowe 2 21 8" xfId="15235"/>
    <cellStyle name="Dane wyjściowe 2 21 8 2" xfId="15236"/>
    <cellStyle name="Dane wyjściowe 2 21 8 3" xfId="15237"/>
    <cellStyle name="Dane wyjściowe 2 21 8 4" xfId="15238"/>
    <cellStyle name="Dane wyjściowe 2 21 9" xfId="15239"/>
    <cellStyle name="Dane wyjściowe 2 21 9 2" xfId="15240"/>
    <cellStyle name="Dane wyjściowe 2 21 9 3" xfId="15241"/>
    <cellStyle name="Dane wyjściowe 2 21 9 4" xfId="15242"/>
    <cellStyle name="Dane wyjściowe 2 22" xfId="15243"/>
    <cellStyle name="Dane wyjściowe 2 22 10" xfId="15244"/>
    <cellStyle name="Dane wyjściowe 2 22 10 2" xfId="15245"/>
    <cellStyle name="Dane wyjściowe 2 22 10 3" xfId="15246"/>
    <cellStyle name="Dane wyjściowe 2 22 10 4" xfId="15247"/>
    <cellStyle name="Dane wyjściowe 2 22 11" xfId="15248"/>
    <cellStyle name="Dane wyjściowe 2 22 11 2" xfId="15249"/>
    <cellStyle name="Dane wyjściowe 2 22 11 3" xfId="15250"/>
    <cellStyle name="Dane wyjściowe 2 22 11 4" xfId="15251"/>
    <cellStyle name="Dane wyjściowe 2 22 12" xfId="15252"/>
    <cellStyle name="Dane wyjściowe 2 22 12 2" xfId="15253"/>
    <cellStyle name="Dane wyjściowe 2 22 12 3" xfId="15254"/>
    <cellStyle name="Dane wyjściowe 2 22 12 4" xfId="15255"/>
    <cellStyle name="Dane wyjściowe 2 22 13" xfId="15256"/>
    <cellStyle name="Dane wyjściowe 2 22 13 2" xfId="15257"/>
    <cellStyle name="Dane wyjściowe 2 22 13 3" xfId="15258"/>
    <cellStyle name="Dane wyjściowe 2 22 13 4" xfId="15259"/>
    <cellStyle name="Dane wyjściowe 2 22 14" xfId="15260"/>
    <cellStyle name="Dane wyjściowe 2 22 14 2" xfId="15261"/>
    <cellStyle name="Dane wyjściowe 2 22 14 3" xfId="15262"/>
    <cellStyle name="Dane wyjściowe 2 22 14 4" xfId="15263"/>
    <cellStyle name="Dane wyjściowe 2 22 15" xfId="15264"/>
    <cellStyle name="Dane wyjściowe 2 22 15 2" xfId="15265"/>
    <cellStyle name="Dane wyjściowe 2 22 15 3" xfId="15266"/>
    <cellStyle name="Dane wyjściowe 2 22 15 4" xfId="15267"/>
    <cellStyle name="Dane wyjściowe 2 22 16" xfId="15268"/>
    <cellStyle name="Dane wyjściowe 2 22 16 2" xfId="15269"/>
    <cellStyle name="Dane wyjściowe 2 22 16 3" xfId="15270"/>
    <cellStyle name="Dane wyjściowe 2 22 16 4" xfId="15271"/>
    <cellStyle name="Dane wyjściowe 2 22 17" xfId="15272"/>
    <cellStyle name="Dane wyjściowe 2 22 17 2" xfId="15273"/>
    <cellStyle name="Dane wyjściowe 2 22 17 3" xfId="15274"/>
    <cellStyle name="Dane wyjściowe 2 22 17 4" xfId="15275"/>
    <cellStyle name="Dane wyjściowe 2 22 18" xfId="15276"/>
    <cellStyle name="Dane wyjściowe 2 22 18 2" xfId="15277"/>
    <cellStyle name="Dane wyjściowe 2 22 18 3" xfId="15278"/>
    <cellStyle name="Dane wyjściowe 2 22 18 4" xfId="15279"/>
    <cellStyle name="Dane wyjściowe 2 22 19" xfId="15280"/>
    <cellStyle name="Dane wyjściowe 2 22 19 2" xfId="15281"/>
    <cellStyle name="Dane wyjściowe 2 22 19 3" xfId="15282"/>
    <cellStyle name="Dane wyjściowe 2 22 19 4" xfId="15283"/>
    <cellStyle name="Dane wyjściowe 2 22 2" xfId="15284"/>
    <cellStyle name="Dane wyjściowe 2 22 2 2" xfId="15285"/>
    <cellStyle name="Dane wyjściowe 2 22 2 3" xfId="15286"/>
    <cellStyle name="Dane wyjściowe 2 22 2 4" xfId="15287"/>
    <cellStyle name="Dane wyjściowe 2 22 20" xfId="15288"/>
    <cellStyle name="Dane wyjściowe 2 22 20 2" xfId="15289"/>
    <cellStyle name="Dane wyjściowe 2 22 20 3" xfId="15290"/>
    <cellStyle name="Dane wyjściowe 2 22 20 4" xfId="15291"/>
    <cellStyle name="Dane wyjściowe 2 22 21" xfId="15292"/>
    <cellStyle name="Dane wyjściowe 2 22 21 2" xfId="15293"/>
    <cellStyle name="Dane wyjściowe 2 22 21 3" xfId="15294"/>
    <cellStyle name="Dane wyjściowe 2 22 22" xfId="15295"/>
    <cellStyle name="Dane wyjściowe 2 22 22 2" xfId="15296"/>
    <cellStyle name="Dane wyjściowe 2 22 22 3" xfId="15297"/>
    <cellStyle name="Dane wyjściowe 2 22 23" xfId="15298"/>
    <cellStyle name="Dane wyjściowe 2 22 23 2" xfId="15299"/>
    <cellStyle name="Dane wyjściowe 2 22 23 3" xfId="15300"/>
    <cellStyle name="Dane wyjściowe 2 22 24" xfId="15301"/>
    <cellStyle name="Dane wyjściowe 2 22 24 2" xfId="15302"/>
    <cellStyle name="Dane wyjściowe 2 22 24 3" xfId="15303"/>
    <cellStyle name="Dane wyjściowe 2 22 25" xfId="15304"/>
    <cellStyle name="Dane wyjściowe 2 22 25 2" xfId="15305"/>
    <cellStyle name="Dane wyjściowe 2 22 25 3" xfId="15306"/>
    <cellStyle name="Dane wyjściowe 2 22 26" xfId="15307"/>
    <cellStyle name="Dane wyjściowe 2 22 26 2" xfId="15308"/>
    <cellStyle name="Dane wyjściowe 2 22 26 3" xfId="15309"/>
    <cellStyle name="Dane wyjściowe 2 22 27" xfId="15310"/>
    <cellStyle name="Dane wyjściowe 2 22 27 2" xfId="15311"/>
    <cellStyle name="Dane wyjściowe 2 22 27 3" xfId="15312"/>
    <cellStyle name="Dane wyjściowe 2 22 28" xfId="15313"/>
    <cellStyle name="Dane wyjściowe 2 22 28 2" xfId="15314"/>
    <cellStyle name="Dane wyjściowe 2 22 28 3" xfId="15315"/>
    <cellStyle name="Dane wyjściowe 2 22 29" xfId="15316"/>
    <cellStyle name="Dane wyjściowe 2 22 29 2" xfId="15317"/>
    <cellStyle name="Dane wyjściowe 2 22 29 3" xfId="15318"/>
    <cellStyle name="Dane wyjściowe 2 22 3" xfId="15319"/>
    <cellStyle name="Dane wyjściowe 2 22 3 2" xfId="15320"/>
    <cellStyle name="Dane wyjściowe 2 22 3 3" xfId="15321"/>
    <cellStyle name="Dane wyjściowe 2 22 3 4" xfId="15322"/>
    <cellStyle name="Dane wyjściowe 2 22 30" xfId="15323"/>
    <cellStyle name="Dane wyjściowe 2 22 30 2" xfId="15324"/>
    <cellStyle name="Dane wyjściowe 2 22 30 3" xfId="15325"/>
    <cellStyle name="Dane wyjściowe 2 22 31" xfId="15326"/>
    <cellStyle name="Dane wyjściowe 2 22 31 2" xfId="15327"/>
    <cellStyle name="Dane wyjściowe 2 22 31 3" xfId="15328"/>
    <cellStyle name="Dane wyjściowe 2 22 32" xfId="15329"/>
    <cellStyle name="Dane wyjściowe 2 22 32 2" xfId="15330"/>
    <cellStyle name="Dane wyjściowe 2 22 32 3" xfId="15331"/>
    <cellStyle name="Dane wyjściowe 2 22 33" xfId="15332"/>
    <cellStyle name="Dane wyjściowe 2 22 33 2" xfId="15333"/>
    <cellStyle name="Dane wyjściowe 2 22 33 3" xfId="15334"/>
    <cellStyle name="Dane wyjściowe 2 22 34" xfId="15335"/>
    <cellStyle name="Dane wyjściowe 2 22 34 2" xfId="15336"/>
    <cellStyle name="Dane wyjściowe 2 22 34 3" xfId="15337"/>
    <cellStyle name="Dane wyjściowe 2 22 35" xfId="15338"/>
    <cellStyle name="Dane wyjściowe 2 22 35 2" xfId="15339"/>
    <cellStyle name="Dane wyjściowe 2 22 35 3" xfId="15340"/>
    <cellStyle name="Dane wyjściowe 2 22 36" xfId="15341"/>
    <cellStyle name="Dane wyjściowe 2 22 36 2" xfId="15342"/>
    <cellStyle name="Dane wyjściowe 2 22 36 3" xfId="15343"/>
    <cellStyle name="Dane wyjściowe 2 22 37" xfId="15344"/>
    <cellStyle name="Dane wyjściowe 2 22 37 2" xfId="15345"/>
    <cellStyle name="Dane wyjściowe 2 22 37 3" xfId="15346"/>
    <cellStyle name="Dane wyjściowe 2 22 38" xfId="15347"/>
    <cellStyle name="Dane wyjściowe 2 22 38 2" xfId="15348"/>
    <cellStyle name="Dane wyjściowe 2 22 38 3" xfId="15349"/>
    <cellStyle name="Dane wyjściowe 2 22 39" xfId="15350"/>
    <cellStyle name="Dane wyjściowe 2 22 39 2" xfId="15351"/>
    <cellStyle name="Dane wyjściowe 2 22 39 3" xfId="15352"/>
    <cellStyle name="Dane wyjściowe 2 22 4" xfId="15353"/>
    <cellStyle name="Dane wyjściowe 2 22 4 2" xfId="15354"/>
    <cellStyle name="Dane wyjściowe 2 22 4 3" xfId="15355"/>
    <cellStyle name="Dane wyjściowe 2 22 4 4" xfId="15356"/>
    <cellStyle name="Dane wyjściowe 2 22 40" xfId="15357"/>
    <cellStyle name="Dane wyjściowe 2 22 40 2" xfId="15358"/>
    <cellStyle name="Dane wyjściowe 2 22 40 3" xfId="15359"/>
    <cellStyle name="Dane wyjściowe 2 22 41" xfId="15360"/>
    <cellStyle name="Dane wyjściowe 2 22 41 2" xfId="15361"/>
    <cellStyle name="Dane wyjściowe 2 22 41 3" xfId="15362"/>
    <cellStyle name="Dane wyjściowe 2 22 42" xfId="15363"/>
    <cellStyle name="Dane wyjściowe 2 22 42 2" xfId="15364"/>
    <cellStyle name="Dane wyjściowe 2 22 42 3" xfId="15365"/>
    <cellStyle name="Dane wyjściowe 2 22 43" xfId="15366"/>
    <cellStyle name="Dane wyjściowe 2 22 43 2" xfId="15367"/>
    <cellStyle name="Dane wyjściowe 2 22 43 3" xfId="15368"/>
    <cellStyle name="Dane wyjściowe 2 22 44" xfId="15369"/>
    <cellStyle name="Dane wyjściowe 2 22 44 2" xfId="15370"/>
    <cellStyle name="Dane wyjściowe 2 22 44 3" xfId="15371"/>
    <cellStyle name="Dane wyjściowe 2 22 45" xfId="15372"/>
    <cellStyle name="Dane wyjściowe 2 22 45 2" xfId="15373"/>
    <cellStyle name="Dane wyjściowe 2 22 45 3" xfId="15374"/>
    <cellStyle name="Dane wyjściowe 2 22 46" xfId="15375"/>
    <cellStyle name="Dane wyjściowe 2 22 46 2" xfId="15376"/>
    <cellStyle name="Dane wyjściowe 2 22 46 3" xfId="15377"/>
    <cellStyle name="Dane wyjściowe 2 22 47" xfId="15378"/>
    <cellStyle name="Dane wyjściowe 2 22 47 2" xfId="15379"/>
    <cellStyle name="Dane wyjściowe 2 22 47 3" xfId="15380"/>
    <cellStyle name="Dane wyjściowe 2 22 48" xfId="15381"/>
    <cellStyle name="Dane wyjściowe 2 22 48 2" xfId="15382"/>
    <cellStyle name="Dane wyjściowe 2 22 48 3" xfId="15383"/>
    <cellStyle name="Dane wyjściowe 2 22 49" xfId="15384"/>
    <cellStyle name="Dane wyjściowe 2 22 49 2" xfId="15385"/>
    <cellStyle name="Dane wyjściowe 2 22 49 3" xfId="15386"/>
    <cellStyle name="Dane wyjściowe 2 22 5" xfId="15387"/>
    <cellStyle name="Dane wyjściowe 2 22 5 2" xfId="15388"/>
    <cellStyle name="Dane wyjściowe 2 22 5 3" xfId="15389"/>
    <cellStyle name="Dane wyjściowe 2 22 5 4" xfId="15390"/>
    <cellStyle name="Dane wyjściowe 2 22 50" xfId="15391"/>
    <cellStyle name="Dane wyjściowe 2 22 50 2" xfId="15392"/>
    <cellStyle name="Dane wyjściowe 2 22 50 3" xfId="15393"/>
    <cellStyle name="Dane wyjściowe 2 22 51" xfId="15394"/>
    <cellStyle name="Dane wyjściowe 2 22 51 2" xfId="15395"/>
    <cellStyle name="Dane wyjściowe 2 22 51 3" xfId="15396"/>
    <cellStyle name="Dane wyjściowe 2 22 52" xfId="15397"/>
    <cellStyle name="Dane wyjściowe 2 22 52 2" xfId="15398"/>
    <cellStyle name="Dane wyjściowe 2 22 52 3" xfId="15399"/>
    <cellStyle name="Dane wyjściowe 2 22 53" xfId="15400"/>
    <cellStyle name="Dane wyjściowe 2 22 53 2" xfId="15401"/>
    <cellStyle name="Dane wyjściowe 2 22 53 3" xfId="15402"/>
    <cellStyle name="Dane wyjściowe 2 22 54" xfId="15403"/>
    <cellStyle name="Dane wyjściowe 2 22 54 2" xfId="15404"/>
    <cellStyle name="Dane wyjściowe 2 22 54 3" xfId="15405"/>
    <cellStyle name="Dane wyjściowe 2 22 55" xfId="15406"/>
    <cellStyle name="Dane wyjściowe 2 22 55 2" xfId="15407"/>
    <cellStyle name="Dane wyjściowe 2 22 55 3" xfId="15408"/>
    <cellStyle name="Dane wyjściowe 2 22 56" xfId="15409"/>
    <cellStyle name="Dane wyjściowe 2 22 56 2" xfId="15410"/>
    <cellStyle name="Dane wyjściowe 2 22 56 3" xfId="15411"/>
    <cellStyle name="Dane wyjściowe 2 22 57" xfId="15412"/>
    <cellStyle name="Dane wyjściowe 2 22 58" xfId="15413"/>
    <cellStyle name="Dane wyjściowe 2 22 6" xfId="15414"/>
    <cellStyle name="Dane wyjściowe 2 22 6 2" xfId="15415"/>
    <cellStyle name="Dane wyjściowe 2 22 6 3" xfId="15416"/>
    <cellStyle name="Dane wyjściowe 2 22 6 4" xfId="15417"/>
    <cellStyle name="Dane wyjściowe 2 22 7" xfId="15418"/>
    <cellStyle name="Dane wyjściowe 2 22 7 2" xfId="15419"/>
    <cellStyle name="Dane wyjściowe 2 22 7 3" xfId="15420"/>
    <cellStyle name="Dane wyjściowe 2 22 7 4" xfId="15421"/>
    <cellStyle name="Dane wyjściowe 2 22 8" xfId="15422"/>
    <cellStyle name="Dane wyjściowe 2 22 8 2" xfId="15423"/>
    <cellStyle name="Dane wyjściowe 2 22 8 3" xfId="15424"/>
    <cellStyle name="Dane wyjściowe 2 22 8 4" xfId="15425"/>
    <cellStyle name="Dane wyjściowe 2 22 9" xfId="15426"/>
    <cellStyle name="Dane wyjściowe 2 22 9 2" xfId="15427"/>
    <cellStyle name="Dane wyjściowe 2 22 9 3" xfId="15428"/>
    <cellStyle name="Dane wyjściowe 2 22 9 4" xfId="15429"/>
    <cellStyle name="Dane wyjściowe 2 23" xfId="15430"/>
    <cellStyle name="Dane wyjściowe 2 23 10" xfId="15431"/>
    <cellStyle name="Dane wyjściowe 2 23 10 2" xfId="15432"/>
    <cellStyle name="Dane wyjściowe 2 23 10 3" xfId="15433"/>
    <cellStyle name="Dane wyjściowe 2 23 10 4" xfId="15434"/>
    <cellStyle name="Dane wyjściowe 2 23 11" xfId="15435"/>
    <cellStyle name="Dane wyjściowe 2 23 11 2" xfId="15436"/>
    <cellStyle name="Dane wyjściowe 2 23 11 3" xfId="15437"/>
    <cellStyle name="Dane wyjściowe 2 23 11 4" xfId="15438"/>
    <cellStyle name="Dane wyjściowe 2 23 12" xfId="15439"/>
    <cellStyle name="Dane wyjściowe 2 23 12 2" xfId="15440"/>
    <cellStyle name="Dane wyjściowe 2 23 12 3" xfId="15441"/>
    <cellStyle name="Dane wyjściowe 2 23 12 4" xfId="15442"/>
    <cellStyle name="Dane wyjściowe 2 23 13" xfId="15443"/>
    <cellStyle name="Dane wyjściowe 2 23 13 2" xfId="15444"/>
    <cellStyle name="Dane wyjściowe 2 23 13 3" xfId="15445"/>
    <cellStyle name="Dane wyjściowe 2 23 13 4" xfId="15446"/>
    <cellStyle name="Dane wyjściowe 2 23 14" xfId="15447"/>
    <cellStyle name="Dane wyjściowe 2 23 14 2" xfId="15448"/>
    <cellStyle name="Dane wyjściowe 2 23 14 3" xfId="15449"/>
    <cellStyle name="Dane wyjściowe 2 23 14 4" xfId="15450"/>
    <cellStyle name="Dane wyjściowe 2 23 15" xfId="15451"/>
    <cellStyle name="Dane wyjściowe 2 23 15 2" xfId="15452"/>
    <cellStyle name="Dane wyjściowe 2 23 15 3" xfId="15453"/>
    <cellStyle name="Dane wyjściowe 2 23 15 4" xfId="15454"/>
    <cellStyle name="Dane wyjściowe 2 23 16" xfId="15455"/>
    <cellStyle name="Dane wyjściowe 2 23 16 2" xfId="15456"/>
    <cellStyle name="Dane wyjściowe 2 23 16 3" xfId="15457"/>
    <cellStyle name="Dane wyjściowe 2 23 16 4" xfId="15458"/>
    <cellStyle name="Dane wyjściowe 2 23 17" xfId="15459"/>
    <cellStyle name="Dane wyjściowe 2 23 17 2" xfId="15460"/>
    <cellStyle name="Dane wyjściowe 2 23 17 3" xfId="15461"/>
    <cellStyle name="Dane wyjściowe 2 23 17 4" xfId="15462"/>
    <cellStyle name="Dane wyjściowe 2 23 18" xfId="15463"/>
    <cellStyle name="Dane wyjściowe 2 23 18 2" xfId="15464"/>
    <cellStyle name="Dane wyjściowe 2 23 18 3" xfId="15465"/>
    <cellStyle name="Dane wyjściowe 2 23 18 4" xfId="15466"/>
    <cellStyle name="Dane wyjściowe 2 23 19" xfId="15467"/>
    <cellStyle name="Dane wyjściowe 2 23 19 2" xfId="15468"/>
    <cellStyle name="Dane wyjściowe 2 23 19 3" xfId="15469"/>
    <cellStyle name="Dane wyjściowe 2 23 19 4" xfId="15470"/>
    <cellStyle name="Dane wyjściowe 2 23 2" xfId="15471"/>
    <cellStyle name="Dane wyjściowe 2 23 2 2" xfId="15472"/>
    <cellStyle name="Dane wyjściowe 2 23 2 3" xfId="15473"/>
    <cellStyle name="Dane wyjściowe 2 23 2 4" xfId="15474"/>
    <cellStyle name="Dane wyjściowe 2 23 20" xfId="15475"/>
    <cellStyle name="Dane wyjściowe 2 23 20 2" xfId="15476"/>
    <cellStyle name="Dane wyjściowe 2 23 20 3" xfId="15477"/>
    <cellStyle name="Dane wyjściowe 2 23 20 4" xfId="15478"/>
    <cellStyle name="Dane wyjściowe 2 23 21" xfId="15479"/>
    <cellStyle name="Dane wyjściowe 2 23 21 2" xfId="15480"/>
    <cellStyle name="Dane wyjściowe 2 23 21 3" xfId="15481"/>
    <cellStyle name="Dane wyjściowe 2 23 22" xfId="15482"/>
    <cellStyle name="Dane wyjściowe 2 23 22 2" xfId="15483"/>
    <cellStyle name="Dane wyjściowe 2 23 22 3" xfId="15484"/>
    <cellStyle name="Dane wyjściowe 2 23 23" xfId="15485"/>
    <cellStyle name="Dane wyjściowe 2 23 23 2" xfId="15486"/>
    <cellStyle name="Dane wyjściowe 2 23 23 3" xfId="15487"/>
    <cellStyle name="Dane wyjściowe 2 23 24" xfId="15488"/>
    <cellStyle name="Dane wyjściowe 2 23 24 2" xfId="15489"/>
    <cellStyle name="Dane wyjściowe 2 23 24 3" xfId="15490"/>
    <cellStyle name="Dane wyjściowe 2 23 25" xfId="15491"/>
    <cellStyle name="Dane wyjściowe 2 23 25 2" xfId="15492"/>
    <cellStyle name="Dane wyjściowe 2 23 25 3" xfId="15493"/>
    <cellStyle name="Dane wyjściowe 2 23 26" xfId="15494"/>
    <cellStyle name="Dane wyjściowe 2 23 26 2" xfId="15495"/>
    <cellStyle name="Dane wyjściowe 2 23 26 3" xfId="15496"/>
    <cellStyle name="Dane wyjściowe 2 23 27" xfId="15497"/>
    <cellStyle name="Dane wyjściowe 2 23 27 2" xfId="15498"/>
    <cellStyle name="Dane wyjściowe 2 23 27 3" xfId="15499"/>
    <cellStyle name="Dane wyjściowe 2 23 28" xfId="15500"/>
    <cellStyle name="Dane wyjściowe 2 23 28 2" xfId="15501"/>
    <cellStyle name="Dane wyjściowe 2 23 28 3" xfId="15502"/>
    <cellStyle name="Dane wyjściowe 2 23 29" xfId="15503"/>
    <cellStyle name="Dane wyjściowe 2 23 29 2" xfId="15504"/>
    <cellStyle name="Dane wyjściowe 2 23 29 3" xfId="15505"/>
    <cellStyle name="Dane wyjściowe 2 23 3" xfId="15506"/>
    <cellStyle name="Dane wyjściowe 2 23 3 2" xfId="15507"/>
    <cellStyle name="Dane wyjściowe 2 23 3 3" xfId="15508"/>
    <cellStyle name="Dane wyjściowe 2 23 3 4" xfId="15509"/>
    <cellStyle name="Dane wyjściowe 2 23 30" xfId="15510"/>
    <cellStyle name="Dane wyjściowe 2 23 30 2" xfId="15511"/>
    <cellStyle name="Dane wyjściowe 2 23 30 3" xfId="15512"/>
    <cellStyle name="Dane wyjściowe 2 23 31" xfId="15513"/>
    <cellStyle name="Dane wyjściowe 2 23 31 2" xfId="15514"/>
    <cellStyle name="Dane wyjściowe 2 23 31 3" xfId="15515"/>
    <cellStyle name="Dane wyjściowe 2 23 32" xfId="15516"/>
    <cellStyle name="Dane wyjściowe 2 23 32 2" xfId="15517"/>
    <cellStyle name="Dane wyjściowe 2 23 32 3" xfId="15518"/>
    <cellStyle name="Dane wyjściowe 2 23 33" xfId="15519"/>
    <cellStyle name="Dane wyjściowe 2 23 33 2" xfId="15520"/>
    <cellStyle name="Dane wyjściowe 2 23 33 3" xfId="15521"/>
    <cellStyle name="Dane wyjściowe 2 23 34" xfId="15522"/>
    <cellStyle name="Dane wyjściowe 2 23 34 2" xfId="15523"/>
    <cellStyle name="Dane wyjściowe 2 23 34 3" xfId="15524"/>
    <cellStyle name="Dane wyjściowe 2 23 35" xfId="15525"/>
    <cellStyle name="Dane wyjściowe 2 23 35 2" xfId="15526"/>
    <cellStyle name="Dane wyjściowe 2 23 35 3" xfId="15527"/>
    <cellStyle name="Dane wyjściowe 2 23 36" xfId="15528"/>
    <cellStyle name="Dane wyjściowe 2 23 36 2" xfId="15529"/>
    <cellStyle name="Dane wyjściowe 2 23 36 3" xfId="15530"/>
    <cellStyle name="Dane wyjściowe 2 23 37" xfId="15531"/>
    <cellStyle name="Dane wyjściowe 2 23 37 2" xfId="15532"/>
    <cellStyle name="Dane wyjściowe 2 23 37 3" xfId="15533"/>
    <cellStyle name="Dane wyjściowe 2 23 38" xfId="15534"/>
    <cellStyle name="Dane wyjściowe 2 23 38 2" xfId="15535"/>
    <cellStyle name="Dane wyjściowe 2 23 38 3" xfId="15536"/>
    <cellStyle name="Dane wyjściowe 2 23 39" xfId="15537"/>
    <cellStyle name="Dane wyjściowe 2 23 39 2" xfId="15538"/>
    <cellStyle name="Dane wyjściowe 2 23 39 3" xfId="15539"/>
    <cellStyle name="Dane wyjściowe 2 23 4" xfId="15540"/>
    <cellStyle name="Dane wyjściowe 2 23 4 2" xfId="15541"/>
    <cellStyle name="Dane wyjściowe 2 23 4 3" xfId="15542"/>
    <cellStyle name="Dane wyjściowe 2 23 4 4" xfId="15543"/>
    <cellStyle name="Dane wyjściowe 2 23 40" xfId="15544"/>
    <cellStyle name="Dane wyjściowe 2 23 40 2" xfId="15545"/>
    <cellStyle name="Dane wyjściowe 2 23 40 3" xfId="15546"/>
    <cellStyle name="Dane wyjściowe 2 23 41" xfId="15547"/>
    <cellStyle name="Dane wyjściowe 2 23 41 2" xfId="15548"/>
    <cellStyle name="Dane wyjściowe 2 23 41 3" xfId="15549"/>
    <cellStyle name="Dane wyjściowe 2 23 42" xfId="15550"/>
    <cellStyle name="Dane wyjściowe 2 23 42 2" xfId="15551"/>
    <cellStyle name="Dane wyjściowe 2 23 42 3" xfId="15552"/>
    <cellStyle name="Dane wyjściowe 2 23 43" xfId="15553"/>
    <cellStyle name="Dane wyjściowe 2 23 43 2" xfId="15554"/>
    <cellStyle name="Dane wyjściowe 2 23 43 3" xfId="15555"/>
    <cellStyle name="Dane wyjściowe 2 23 44" xfId="15556"/>
    <cellStyle name="Dane wyjściowe 2 23 44 2" xfId="15557"/>
    <cellStyle name="Dane wyjściowe 2 23 44 3" xfId="15558"/>
    <cellStyle name="Dane wyjściowe 2 23 45" xfId="15559"/>
    <cellStyle name="Dane wyjściowe 2 23 45 2" xfId="15560"/>
    <cellStyle name="Dane wyjściowe 2 23 45 3" xfId="15561"/>
    <cellStyle name="Dane wyjściowe 2 23 46" xfId="15562"/>
    <cellStyle name="Dane wyjściowe 2 23 46 2" xfId="15563"/>
    <cellStyle name="Dane wyjściowe 2 23 46 3" xfId="15564"/>
    <cellStyle name="Dane wyjściowe 2 23 47" xfId="15565"/>
    <cellStyle name="Dane wyjściowe 2 23 47 2" xfId="15566"/>
    <cellStyle name="Dane wyjściowe 2 23 47 3" xfId="15567"/>
    <cellStyle name="Dane wyjściowe 2 23 48" xfId="15568"/>
    <cellStyle name="Dane wyjściowe 2 23 48 2" xfId="15569"/>
    <cellStyle name="Dane wyjściowe 2 23 48 3" xfId="15570"/>
    <cellStyle name="Dane wyjściowe 2 23 49" xfId="15571"/>
    <cellStyle name="Dane wyjściowe 2 23 49 2" xfId="15572"/>
    <cellStyle name="Dane wyjściowe 2 23 49 3" xfId="15573"/>
    <cellStyle name="Dane wyjściowe 2 23 5" xfId="15574"/>
    <cellStyle name="Dane wyjściowe 2 23 5 2" xfId="15575"/>
    <cellStyle name="Dane wyjściowe 2 23 5 3" xfId="15576"/>
    <cellStyle name="Dane wyjściowe 2 23 5 4" xfId="15577"/>
    <cellStyle name="Dane wyjściowe 2 23 50" xfId="15578"/>
    <cellStyle name="Dane wyjściowe 2 23 50 2" xfId="15579"/>
    <cellStyle name="Dane wyjściowe 2 23 50 3" xfId="15580"/>
    <cellStyle name="Dane wyjściowe 2 23 51" xfId="15581"/>
    <cellStyle name="Dane wyjściowe 2 23 51 2" xfId="15582"/>
    <cellStyle name="Dane wyjściowe 2 23 51 3" xfId="15583"/>
    <cellStyle name="Dane wyjściowe 2 23 52" xfId="15584"/>
    <cellStyle name="Dane wyjściowe 2 23 52 2" xfId="15585"/>
    <cellStyle name="Dane wyjściowe 2 23 52 3" xfId="15586"/>
    <cellStyle name="Dane wyjściowe 2 23 53" xfId="15587"/>
    <cellStyle name="Dane wyjściowe 2 23 53 2" xfId="15588"/>
    <cellStyle name="Dane wyjściowe 2 23 53 3" xfId="15589"/>
    <cellStyle name="Dane wyjściowe 2 23 54" xfId="15590"/>
    <cellStyle name="Dane wyjściowe 2 23 54 2" xfId="15591"/>
    <cellStyle name="Dane wyjściowe 2 23 54 3" xfId="15592"/>
    <cellStyle name="Dane wyjściowe 2 23 55" xfId="15593"/>
    <cellStyle name="Dane wyjściowe 2 23 55 2" xfId="15594"/>
    <cellStyle name="Dane wyjściowe 2 23 55 3" xfId="15595"/>
    <cellStyle name="Dane wyjściowe 2 23 56" xfId="15596"/>
    <cellStyle name="Dane wyjściowe 2 23 56 2" xfId="15597"/>
    <cellStyle name="Dane wyjściowe 2 23 56 3" xfId="15598"/>
    <cellStyle name="Dane wyjściowe 2 23 57" xfId="15599"/>
    <cellStyle name="Dane wyjściowe 2 23 58" xfId="15600"/>
    <cellStyle name="Dane wyjściowe 2 23 6" xfId="15601"/>
    <cellStyle name="Dane wyjściowe 2 23 6 2" xfId="15602"/>
    <cellStyle name="Dane wyjściowe 2 23 6 3" xfId="15603"/>
    <cellStyle name="Dane wyjściowe 2 23 6 4" xfId="15604"/>
    <cellStyle name="Dane wyjściowe 2 23 7" xfId="15605"/>
    <cellStyle name="Dane wyjściowe 2 23 7 2" xfId="15606"/>
    <cellStyle name="Dane wyjściowe 2 23 7 3" xfId="15607"/>
    <cellStyle name="Dane wyjściowe 2 23 7 4" xfId="15608"/>
    <cellStyle name="Dane wyjściowe 2 23 8" xfId="15609"/>
    <cellStyle name="Dane wyjściowe 2 23 8 2" xfId="15610"/>
    <cellStyle name="Dane wyjściowe 2 23 8 3" xfId="15611"/>
    <cellStyle name="Dane wyjściowe 2 23 8 4" xfId="15612"/>
    <cellStyle name="Dane wyjściowe 2 23 9" xfId="15613"/>
    <cellStyle name="Dane wyjściowe 2 23 9 2" xfId="15614"/>
    <cellStyle name="Dane wyjściowe 2 23 9 3" xfId="15615"/>
    <cellStyle name="Dane wyjściowe 2 23 9 4" xfId="15616"/>
    <cellStyle name="Dane wyjściowe 2 24" xfId="15617"/>
    <cellStyle name="Dane wyjściowe 2 24 10" xfId="15618"/>
    <cellStyle name="Dane wyjściowe 2 24 10 2" xfId="15619"/>
    <cellStyle name="Dane wyjściowe 2 24 10 3" xfId="15620"/>
    <cellStyle name="Dane wyjściowe 2 24 10 4" xfId="15621"/>
    <cellStyle name="Dane wyjściowe 2 24 11" xfId="15622"/>
    <cellStyle name="Dane wyjściowe 2 24 11 2" xfId="15623"/>
    <cellStyle name="Dane wyjściowe 2 24 11 3" xfId="15624"/>
    <cellStyle name="Dane wyjściowe 2 24 11 4" xfId="15625"/>
    <cellStyle name="Dane wyjściowe 2 24 12" xfId="15626"/>
    <cellStyle name="Dane wyjściowe 2 24 12 2" xfId="15627"/>
    <cellStyle name="Dane wyjściowe 2 24 12 3" xfId="15628"/>
    <cellStyle name="Dane wyjściowe 2 24 12 4" xfId="15629"/>
    <cellStyle name="Dane wyjściowe 2 24 13" xfId="15630"/>
    <cellStyle name="Dane wyjściowe 2 24 13 2" xfId="15631"/>
    <cellStyle name="Dane wyjściowe 2 24 13 3" xfId="15632"/>
    <cellStyle name="Dane wyjściowe 2 24 13 4" xfId="15633"/>
    <cellStyle name="Dane wyjściowe 2 24 14" xfId="15634"/>
    <cellStyle name="Dane wyjściowe 2 24 14 2" xfId="15635"/>
    <cellStyle name="Dane wyjściowe 2 24 14 3" xfId="15636"/>
    <cellStyle name="Dane wyjściowe 2 24 14 4" xfId="15637"/>
    <cellStyle name="Dane wyjściowe 2 24 15" xfId="15638"/>
    <cellStyle name="Dane wyjściowe 2 24 15 2" xfId="15639"/>
    <cellStyle name="Dane wyjściowe 2 24 15 3" xfId="15640"/>
    <cellStyle name="Dane wyjściowe 2 24 15 4" xfId="15641"/>
    <cellStyle name="Dane wyjściowe 2 24 16" xfId="15642"/>
    <cellStyle name="Dane wyjściowe 2 24 16 2" xfId="15643"/>
    <cellStyle name="Dane wyjściowe 2 24 16 3" xfId="15644"/>
    <cellStyle name="Dane wyjściowe 2 24 16 4" xfId="15645"/>
    <cellStyle name="Dane wyjściowe 2 24 17" xfId="15646"/>
    <cellStyle name="Dane wyjściowe 2 24 17 2" xfId="15647"/>
    <cellStyle name="Dane wyjściowe 2 24 17 3" xfId="15648"/>
    <cellStyle name="Dane wyjściowe 2 24 17 4" xfId="15649"/>
    <cellStyle name="Dane wyjściowe 2 24 18" xfId="15650"/>
    <cellStyle name="Dane wyjściowe 2 24 18 2" xfId="15651"/>
    <cellStyle name="Dane wyjściowe 2 24 18 3" xfId="15652"/>
    <cellStyle name="Dane wyjściowe 2 24 18 4" xfId="15653"/>
    <cellStyle name="Dane wyjściowe 2 24 19" xfId="15654"/>
    <cellStyle name="Dane wyjściowe 2 24 19 2" xfId="15655"/>
    <cellStyle name="Dane wyjściowe 2 24 19 3" xfId="15656"/>
    <cellStyle name="Dane wyjściowe 2 24 19 4" xfId="15657"/>
    <cellStyle name="Dane wyjściowe 2 24 2" xfId="15658"/>
    <cellStyle name="Dane wyjściowe 2 24 2 2" xfId="15659"/>
    <cellStyle name="Dane wyjściowe 2 24 2 3" xfId="15660"/>
    <cellStyle name="Dane wyjściowe 2 24 2 4" xfId="15661"/>
    <cellStyle name="Dane wyjściowe 2 24 20" xfId="15662"/>
    <cellStyle name="Dane wyjściowe 2 24 20 2" xfId="15663"/>
    <cellStyle name="Dane wyjściowe 2 24 20 3" xfId="15664"/>
    <cellStyle name="Dane wyjściowe 2 24 20 4" xfId="15665"/>
    <cellStyle name="Dane wyjściowe 2 24 21" xfId="15666"/>
    <cellStyle name="Dane wyjściowe 2 24 21 2" xfId="15667"/>
    <cellStyle name="Dane wyjściowe 2 24 21 3" xfId="15668"/>
    <cellStyle name="Dane wyjściowe 2 24 22" xfId="15669"/>
    <cellStyle name="Dane wyjściowe 2 24 22 2" xfId="15670"/>
    <cellStyle name="Dane wyjściowe 2 24 22 3" xfId="15671"/>
    <cellStyle name="Dane wyjściowe 2 24 23" xfId="15672"/>
    <cellStyle name="Dane wyjściowe 2 24 23 2" xfId="15673"/>
    <cellStyle name="Dane wyjściowe 2 24 23 3" xfId="15674"/>
    <cellStyle name="Dane wyjściowe 2 24 24" xfId="15675"/>
    <cellStyle name="Dane wyjściowe 2 24 24 2" xfId="15676"/>
    <cellStyle name="Dane wyjściowe 2 24 24 3" xfId="15677"/>
    <cellStyle name="Dane wyjściowe 2 24 25" xfId="15678"/>
    <cellStyle name="Dane wyjściowe 2 24 25 2" xfId="15679"/>
    <cellStyle name="Dane wyjściowe 2 24 25 3" xfId="15680"/>
    <cellStyle name="Dane wyjściowe 2 24 26" xfId="15681"/>
    <cellStyle name="Dane wyjściowe 2 24 26 2" xfId="15682"/>
    <cellStyle name="Dane wyjściowe 2 24 26 3" xfId="15683"/>
    <cellStyle name="Dane wyjściowe 2 24 27" xfId="15684"/>
    <cellStyle name="Dane wyjściowe 2 24 27 2" xfId="15685"/>
    <cellStyle name="Dane wyjściowe 2 24 27 3" xfId="15686"/>
    <cellStyle name="Dane wyjściowe 2 24 28" xfId="15687"/>
    <cellStyle name="Dane wyjściowe 2 24 28 2" xfId="15688"/>
    <cellStyle name="Dane wyjściowe 2 24 28 3" xfId="15689"/>
    <cellStyle name="Dane wyjściowe 2 24 29" xfId="15690"/>
    <cellStyle name="Dane wyjściowe 2 24 29 2" xfId="15691"/>
    <cellStyle name="Dane wyjściowe 2 24 29 3" xfId="15692"/>
    <cellStyle name="Dane wyjściowe 2 24 3" xfId="15693"/>
    <cellStyle name="Dane wyjściowe 2 24 3 2" xfId="15694"/>
    <cellStyle name="Dane wyjściowe 2 24 3 3" xfId="15695"/>
    <cellStyle name="Dane wyjściowe 2 24 3 4" xfId="15696"/>
    <cellStyle name="Dane wyjściowe 2 24 30" xfId="15697"/>
    <cellStyle name="Dane wyjściowe 2 24 30 2" xfId="15698"/>
    <cellStyle name="Dane wyjściowe 2 24 30 3" xfId="15699"/>
    <cellStyle name="Dane wyjściowe 2 24 31" xfId="15700"/>
    <cellStyle name="Dane wyjściowe 2 24 31 2" xfId="15701"/>
    <cellStyle name="Dane wyjściowe 2 24 31 3" xfId="15702"/>
    <cellStyle name="Dane wyjściowe 2 24 32" xfId="15703"/>
    <cellStyle name="Dane wyjściowe 2 24 32 2" xfId="15704"/>
    <cellStyle name="Dane wyjściowe 2 24 32 3" xfId="15705"/>
    <cellStyle name="Dane wyjściowe 2 24 33" xfId="15706"/>
    <cellStyle name="Dane wyjściowe 2 24 33 2" xfId="15707"/>
    <cellStyle name="Dane wyjściowe 2 24 33 3" xfId="15708"/>
    <cellStyle name="Dane wyjściowe 2 24 34" xfId="15709"/>
    <cellStyle name="Dane wyjściowe 2 24 34 2" xfId="15710"/>
    <cellStyle name="Dane wyjściowe 2 24 34 3" xfId="15711"/>
    <cellStyle name="Dane wyjściowe 2 24 35" xfId="15712"/>
    <cellStyle name="Dane wyjściowe 2 24 35 2" xfId="15713"/>
    <cellStyle name="Dane wyjściowe 2 24 35 3" xfId="15714"/>
    <cellStyle name="Dane wyjściowe 2 24 36" xfId="15715"/>
    <cellStyle name="Dane wyjściowe 2 24 36 2" xfId="15716"/>
    <cellStyle name="Dane wyjściowe 2 24 36 3" xfId="15717"/>
    <cellStyle name="Dane wyjściowe 2 24 37" xfId="15718"/>
    <cellStyle name="Dane wyjściowe 2 24 37 2" xfId="15719"/>
    <cellStyle name="Dane wyjściowe 2 24 37 3" xfId="15720"/>
    <cellStyle name="Dane wyjściowe 2 24 38" xfId="15721"/>
    <cellStyle name="Dane wyjściowe 2 24 38 2" xfId="15722"/>
    <cellStyle name="Dane wyjściowe 2 24 38 3" xfId="15723"/>
    <cellStyle name="Dane wyjściowe 2 24 39" xfId="15724"/>
    <cellStyle name="Dane wyjściowe 2 24 39 2" xfId="15725"/>
    <cellStyle name="Dane wyjściowe 2 24 39 3" xfId="15726"/>
    <cellStyle name="Dane wyjściowe 2 24 4" xfId="15727"/>
    <cellStyle name="Dane wyjściowe 2 24 4 2" xfId="15728"/>
    <cellStyle name="Dane wyjściowe 2 24 4 3" xfId="15729"/>
    <cellStyle name="Dane wyjściowe 2 24 4 4" xfId="15730"/>
    <cellStyle name="Dane wyjściowe 2 24 40" xfId="15731"/>
    <cellStyle name="Dane wyjściowe 2 24 40 2" xfId="15732"/>
    <cellStyle name="Dane wyjściowe 2 24 40 3" xfId="15733"/>
    <cellStyle name="Dane wyjściowe 2 24 41" xfId="15734"/>
    <cellStyle name="Dane wyjściowe 2 24 41 2" xfId="15735"/>
    <cellStyle name="Dane wyjściowe 2 24 41 3" xfId="15736"/>
    <cellStyle name="Dane wyjściowe 2 24 42" xfId="15737"/>
    <cellStyle name="Dane wyjściowe 2 24 42 2" xfId="15738"/>
    <cellStyle name="Dane wyjściowe 2 24 42 3" xfId="15739"/>
    <cellStyle name="Dane wyjściowe 2 24 43" xfId="15740"/>
    <cellStyle name="Dane wyjściowe 2 24 43 2" xfId="15741"/>
    <cellStyle name="Dane wyjściowe 2 24 43 3" xfId="15742"/>
    <cellStyle name="Dane wyjściowe 2 24 44" xfId="15743"/>
    <cellStyle name="Dane wyjściowe 2 24 44 2" xfId="15744"/>
    <cellStyle name="Dane wyjściowe 2 24 44 3" xfId="15745"/>
    <cellStyle name="Dane wyjściowe 2 24 45" xfId="15746"/>
    <cellStyle name="Dane wyjściowe 2 24 45 2" xfId="15747"/>
    <cellStyle name="Dane wyjściowe 2 24 45 3" xfId="15748"/>
    <cellStyle name="Dane wyjściowe 2 24 46" xfId="15749"/>
    <cellStyle name="Dane wyjściowe 2 24 46 2" xfId="15750"/>
    <cellStyle name="Dane wyjściowe 2 24 46 3" xfId="15751"/>
    <cellStyle name="Dane wyjściowe 2 24 47" xfId="15752"/>
    <cellStyle name="Dane wyjściowe 2 24 47 2" xfId="15753"/>
    <cellStyle name="Dane wyjściowe 2 24 47 3" xfId="15754"/>
    <cellStyle name="Dane wyjściowe 2 24 48" xfId="15755"/>
    <cellStyle name="Dane wyjściowe 2 24 48 2" xfId="15756"/>
    <cellStyle name="Dane wyjściowe 2 24 48 3" xfId="15757"/>
    <cellStyle name="Dane wyjściowe 2 24 49" xfId="15758"/>
    <cellStyle name="Dane wyjściowe 2 24 49 2" xfId="15759"/>
    <cellStyle name="Dane wyjściowe 2 24 49 3" xfId="15760"/>
    <cellStyle name="Dane wyjściowe 2 24 5" xfId="15761"/>
    <cellStyle name="Dane wyjściowe 2 24 5 2" xfId="15762"/>
    <cellStyle name="Dane wyjściowe 2 24 5 3" xfId="15763"/>
    <cellStyle name="Dane wyjściowe 2 24 5 4" xfId="15764"/>
    <cellStyle name="Dane wyjściowe 2 24 50" xfId="15765"/>
    <cellStyle name="Dane wyjściowe 2 24 50 2" xfId="15766"/>
    <cellStyle name="Dane wyjściowe 2 24 50 3" xfId="15767"/>
    <cellStyle name="Dane wyjściowe 2 24 51" xfId="15768"/>
    <cellStyle name="Dane wyjściowe 2 24 51 2" xfId="15769"/>
    <cellStyle name="Dane wyjściowe 2 24 51 3" xfId="15770"/>
    <cellStyle name="Dane wyjściowe 2 24 52" xfId="15771"/>
    <cellStyle name="Dane wyjściowe 2 24 52 2" xfId="15772"/>
    <cellStyle name="Dane wyjściowe 2 24 52 3" xfId="15773"/>
    <cellStyle name="Dane wyjściowe 2 24 53" xfId="15774"/>
    <cellStyle name="Dane wyjściowe 2 24 53 2" xfId="15775"/>
    <cellStyle name="Dane wyjściowe 2 24 53 3" xfId="15776"/>
    <cellStyle name="Dane wyjściowe 2 24 54" xfId="15777"/>
    <cellStyle name="Dane wyjściowe 2 24 54 2" xfId="15778"/>
    <cellStyle name="Dane wyjściowe 2 24 54 3" xfId="15779"/>
    <cellStyle name="Dane wyjściowe 2 24 55" xfId="15780"/>
    <cellStyle name="Dane wyjściowe 2 24 55 2" xfId="15781"/>
    <cellStyle name="Dane wyjściowe 2 24 55 3" xfId="15782"/>
    <cellStyle name="Dane wyjściowe 2 24 56" xfId="15783"/>
    <cellStyle name="Dane wyjściowe 2 24 56 2" xfId="15784"/>
    <cellStyle name="Dane wyjściowe 2 24 56 3" xfId="15785"/>
    <cellStyle name="Dane wyjściowe 2 24 57" xfId="15786"/>
    <cellStyle name="Dane wyjściowe 2 24 58" xfId="15787"/>
    <cellStyle name="Dane wyjściowe 2 24 6" xfId="15788"/>
    <cellStyle name="Dane wyjściowe 2 24 6 2" xfId="15789"/>
    <cellStyle name="Dane wyjściowe 2 24 6 3" xfId="15790"/>
    <cellStyle name="Dane wyjściowe 2 24 6 4" xfId="15791"/>
    <cellStyle name="Dane wyjściowe 2 24 7" xfId="15792"/>
    <cellStyle name="Dane wyjściowe 2 24 7 2" xfId="15793"/>
    <cellStyle name="Dane wyjściowe 2 24 7 3" xfId="15794"/>
    <cellStyle name="Dane wyjściowe 2 24 7 4" xfId="15795"/>
    <cellStyle name="Dane wyjściowe 2 24 8" xfId="15796"/>
    <cellStyle name="Dane wyjściowe 2 24 8 2" xfId="15797"/>
    <cellStyle name="Dane wyjściowe 2 24 8 3" xfId="15798"/>
    <cellStyle name="Dane wyjściowe 2 24 8 4" xfId="15799"/>
    <cellStyle name="Dane wyjściowe 2 24 9" xfId="15800"/>
    <cellStyle name="Dane wyjściowe 2 24 9 2" xfId="15801"/>
    <cellStyle name="Dane wyjściowe 2 24 9 3" xfId="15802"/>
    <cellStyle name="Dane wyjściowe 2 24 9 4" xfId="15803"/>
    <cellStyle name="Dane wyjściowe 2 25" xfId="15804"/>
    <cellStyle name="Dane wyjściowe 2 25 10" xfId="15805"/>
    <cellStyle name="Dane wyjściowe 2 25 10 2" xfId="15806"/>
    <cellStyle name="Dane wyjściowe 2 25 10 3" xfId="15807"/>
    <cellStyle name="Dane wyjściowe 2 25 10 4" xfId="15808"/>
    <cellStyle name="Dane wyjściowe 2 25 11" xfId="15809"/>
    <cellStyle name="Dane wyjściowe 2 25 11 2" xfId="15810"/>
    <cellStyle name="Dane wyjściowe 2 25 11 3" xfId="15811"/>
    <cellStyle name="Dane wyjściowe 2 25 11 4" xfId="15812"/>
    <cellStyle name="Dane wyjściowe 2 25 12" xfId="15813"/>
    <cellStyle name="Dane wyjściowe 2 25 12 2" xfId="15814"/>
    <cellStyle name="Dane wyjściowe 2 25 12 3" xfId="15815"/>
    <cellStyle name="Dane wyjściowe 2 25 12 4" xfId="15816"/>
    <cellStyle name="Dane wyjściowe 2 25 13" xfId="15817"/>
    <cellStyle name="Dane wyjściowe 2 25 13 2" xfId="15818"/>
    <cellStyle name="Dane wyjściowe 2 25 13 3" xfId="15819"/>
    <cellStyle name="Dane wyjściowe 2 25 13 4" xfId="15820"/>
    <cellStyle name="Dane wyjściowe 2 25 14" xfId="15821"/>
    <cellStyle name="Dane wyjściowe 2 25 14 2" xfId="15822"/>
    <cellStyle name="Dane wyjściowe 2 25 14 3" xfId="15823"/>
    <cellStyle name="Dane wyjściowe 2 25 14 4" xfId="15824"/>
    <cellStyle name="Dane wyjściowe 2 25 15" xfId="15825"/>
    <cellStyle name="Dane wyjściowe 2 25 15 2" xfId="15826"/>
    <cellStyle name="Dane wyjściowe 2 25 15 3" xfId="15827"/>
    <cellStyle name="Dane wyjściowe 2 25 15 4" xfId="15828"/>
    <cellStyle name="Dane wyjściowe 2 25 16" xfId="15829"/>
    <cellStyle name="Dane wyjściowe 2 25 16 2" xfId="15830"/>
    <cellStyle name="Dane wyjściowe 2 25 16 3" xfId="15831"/>
    <cellStyle name="Dane wyjściowe 2 25 16 4" xfId="15832"/>
    <cellStyle name="Dane wyjściowe 2 25 17" xfId="15833"/>
    <cellStyle name="Dane wyjściowe 2 25 17 2" xfId="15834"/>
    <cellStyle name="Dane wyjściowe 2 25 17 3" xfId="15835"/>
    <cellStyle name="Dane wyjściowe 2 25 17 4" xfId="15836"/>
    <cellStyle name="Dane wyjściowe 2 25 18" xfId="15837"/>
    <cellStyle name="Dane wyjściowe 2 25 18 2" xfId="15838"/>
    <cellStyle name="Dane wyjściowe 2 25 18 3" xfId="15839"/>
    <cellStyle name="Dane wyjściowe 2 25 18 4" xfId="15840"/>
    <cellStyle name="Dane wyjściowe 2 25 19" xfId="15841"/>
    <cellStyle name="Dane wyjściowe 2 25 19 2" xfId="15842"/>
    <cellStyle name="Dane wyjściowe 2 25 19 3" xfId="15843"/>
    <cellStyle name="Dane wyjściowe 2 25 19 4" xfId="15844"/>
    <cellStyle name="Dane wyjściowe 2 25 2" xfId="15845"/>
    <cellStyle name="Dane wyjściowe 2 25 2 2" xfId="15846"/>
    <cellStyle name="Dane wyjściowe 2 25 2 3" xfId="15847"/>
    <cellStyle name="Dane wyjściowe 2 25 2 4" xfId="15848"/>
    <cellStyle name="Dane wyjściowe 2 25 20" xfId="15849"/>
    <cellStyle name="Dane wyjściowe 2 25 20 2" xfId="15850"/>
    <cellStyle name="Dane wyjściowe 2 25 20 3" xfId="15851"/>
    <cellStyle name="Dane wyjściowe 2 25 20 4" xfId="15852"/>
    <cellStyle name="Dane wyjściowe 2 25 21" xfId="15853"/>
    <cellStyle name="Dane wyjściowe 2 25 21 2" xfId="15854"/>
    <cellStyle name="Dane wyjściowe 2 25 21 3" xfId="15855"/>
    <cellStyle name="Dane wyjściowe 2 25 22" xfId="15856"/>
    <cellStyle name="Dane wyjściowe 2 25 22 2" xfId="15857"/>
    <cellStyle name="Dane wyjściowe 2 25 22 3" xfId="15858"/>
    <cellStyle name="Dane wyjściowe 2 25 23" xfId="15859"/>
    <cellStyle name="Dane wyjściowe 2 25 23 2" xfId="15860"/>
    <cellStyle name="Dane wyjściowe 2 25 23 3" xfId="15861"/>
    <cellStyle name="Dane wyjściowe 2 25 24" xfId="15862"/>
    <cellStyle name="Dane wyjściowe 2 25 24 2" xfId="15863"/>
    <cellStyle name="Dane wyjściowe 2 25 24 3" xfId="15864"/>
    <cellStyle name="Dane wyjściowe 2 25 25" xfId="15865"/>
    <cellStyle name="Dane wyjściowe 2 25 25 2" xfId="15866"/>
    <cellStyle name="Dane wyjściowe 2 25 25 3" xfId="15867"/>
    <cellStyle name="Dane wyjściowe 2 25 26" xfId="15868"/>
    <cellStyle name="Dane wyjściowe 2 25 26 2" xfId="15869"/>
    <cellStyle name="Dane wyjściowe 2 25 26 3" xfId="15870"/>
    <cellStyle name="Dane wyjściowe 2 25 27" xfId="15871"/>
    <cellStyle name="Dane wyjściowe 2 25 27 2" xfId="15872"/>
    <cellStyle name="Dane wyjściowe 2 25 27 3" xfId="15873"/>
    <cellStyle name="Dane wyjściowe 2 25 28" xfId="15874"/>
    <cellStyle name="Dane wyjściowe 2 25 28 2" xfId="15875"/>
    <cellStyle name="Dane wyjściowe 2 25 28 3" xfId="15876"/>
    <cellStyle name="Dane wyjściowe 2 25 29" xfId="15877"/>
    <cellStyle name="Dane wyjściowe 2 25 29 2" xfId="15878"/>
    <cellStyle name="Dane wyjściowe 2 25 29 3" xfId="15879"/>
    <cellStyle name="Dane wyjściowe 2 25 3" xfId="15880"/>
    <cellStyle name="Dane wyjściowe 2 25 3 2" xfId="15881"/>
    <cellStyle name="Dane wyjściowe 2 25 3 3" xfId="15882"/>
    <cellStyle name="Dane wyjściowe 2 25 3 4" xfId="15883"/>
    <cellStyle name="Dane wyjściowe 2 25 30" xfId="15884"/>
    <cellStyle name="Dane wyjściowe 2 25 30 2" xfId="15885"/>
    <cellStyle name="Dane wyjściowe 2 25 30 3" xfId="15886"/>
    <cellStyle name="Dane wyjściowe 2 25 31" xfId="15887"/>
    <cellStyle name="Dane wyjściowe 2 25 31 2" xfId="15888"/>
    <cellStyle name="Dane wyjściowe 2 25 31 3" xfId="15889"/>
    <cellStyle name="Dane wyjściowe 2 25 32" xfId="15890"/>
    <cellStyle name="Dane wyjściowe 2 25 32 2" xfId="15891"/>
    <cellStyle name="Dane wyjściowe 2 25 32 3" xfId="15892"/>
    <cellStyle name="Dane wyjściowe 2 25 33" xfId="15893"/>
    <cellStyle name="Dane wyjściowe 2 25 33 2" xfId="15894"/>
    <cellStyle name="Dane wyjściowe 2 25 33 3" xfId="15895"/>
    <cellStyle name="Dane wyjściowe 2 25 34" xfId="15896"/>
    <cellStyle name="Dane wyjściowe 2 25 34 2" xfId="15897"/>
    <cellStyle name="Dane wyjściowe 2 25 34 3" xfId="15898"/>
    <cellStyle name="Dane wyjściowe 2 25 35" xfId="15899"/>
    <cellStyle name="Dane wyjściowe 2 25 35 2" xfId="15900"/>
    <cellStyle name="Dane wyjściowe 2 25 35 3" xfId="15901"/>
    <cellStyle name="Dane wyjściowe 2 25 36" xfId="15902"/>
    <cellStyle name="Dane wyjściowe 2 25 36 2" xfId="15903"/>
    <cellStyle name="Dane wyjściowe 2 25 36 3" xfId="15904"/>
    <cellStyle name="Dane wyjściowe 2 25 37" xfId="15905"/>
    <cellStyle name="Dane wyjściowe 2 25 37 2" xfId="15906"/>
    <cellStyle name="Dane wyjściowe 2 25 37 3" xfId="15907"/>
    <cellStyle name="Dane wyjściowe 2 25 38" xfId="15908"/>
    <cellStyle name="Dane wyjściowe 2 25 38 2" xfId="15909"/>
    <cellStyle name="Dane wyjściowe 2 25 38 3" xfId="15910"/>
    <cellStyle name="Dane wyjściowe 2 25 39" xfId="15911"/>
    <cellStyle name="Dane wyjściowe 2 25 39 2" xfId="15912"/>
    <cellStyle name="Dane wyjściowe 2 25 39 3" xfId="15913"/>
    <cellStyle name="Dane wyjściowe 2 25 4" xfId="15914"/>
    <cellStyle name="Dane wyjściowe 2 25 4 2" xfId="15915"/>
    <cellStyle name="Dane wyjściowe 2 25 4 3" xfId="15916"/>
    <cellStyle name="Dane wyjściowe 2 25 4 4" xfId="15917"/>
    <cellStyle name="Dane wyjściowe 2 25 40" xfId="15918"/>
    <cellStyle name="Dane wyjściowe 2 25 40 2" xfId="15919"/>
    <cellStyle name="Dane wyjściowe 2 25 40 3" xfId="15920"/>
    <cellStyle name="Dane wyjściowe 2 25 41" xfId="15921"/>
    <cellStyle name="Dane wyjściowe 2 25 41 2" xfId="15922"/>
    <cellStyle name="Dane wyjściowe 2 25 41 3" xfId="15923"/>
    <cellStyle name="Dane wyjściowe 2 25 42" xfId="15924"/>
    <cellStyle name="Dane wyjściowe 2 25 42 2" xfId="15925"/>
    <cellStyle name="Dane wyjściowe 2 25 42 3" xfId="15926"/>
    <cellStyle name="Dane wyjściowe 2 25 43" xfId="15927"/>
    <cellStyle name="Dane wyjściowe 2 25 43 2" xfId="15928"/>
    <cellStyle name="Dane wyjściowe 2 25 43 3" xfId="15929"/>
    <cellStyle name="Dane wyjściowe 2 25 44" xfId="15930"/>
    <cellStyle name="Dane wyjściowe 2 25 44 2" xfId="15931"/>
    <cellStyle name="Dane wyjściowe 2 25 44 3" xfId="15932"/>
    <cellStyle name="Dane wyjściowe 2 25 45" xfId="15933"/>
    <cellStyle name="Dane wyjściowe 2 25 45 2" xfId="15934"/>
    <cellStyle name="Dane wyjściowe 2 25 45 3" xfId="15935"/>
    <cellStyle name="Dane wyjściowe 2 25 46" xfId="15936"/>
    <cellStyle name="Dane wyjściowe 2 25 46 2" xfId="15937"/>
    <cellStyle name="Dane wyjściowe 2 25 46 3" xfId="15938"/>
    <cellStyle name="Dane wyjściowe 2 25 47" xfId="15939"/>
    <cellStyle name="Dane wyjściowe 2 25 47 2" xfId="15940"/>
    <cellStyle name="Dane wyjściowe 2 25 47 3" xfId="15941"/>
    <cellStyle name="Dane wyjściowe 2 25 48" xfId="15942"/>
    <cellStyle name="Dane wyjściowe 2 25 48 2" xfId="15943"/>
    <cellStyle name="Dane wyjściowe 2 25 48 3" xfId="15944"/>
    <cellStyle name="Dane wyjściowe 2 25 49" xfId="15945"/>
    <cellStyle name="Dane wyjściowe 2 25 49 2" xfId="15946"/>
    <cellStyle name="Dane wyjściowe 2 25 49 3" xfId="15947"/>
    <cellStyle name="Dane wyjściowe 2 25 5" xfId="15948"/>
    <cellStyle name="Dane wyjściowe 2 25 5 2" xfId="15949"/>
    <cellStyle name="Dane wyjściowe 2 25 5 3" xfId="15950"/>
    <cellStyle name="Dane wyjściowe 2 25 5 4" xfId="15951"/>
    <cellStyle name="Dane wyjściowe 2 25 50" xfId="15952"/>
    <cellStyle name="Dane wyjściowe 2 25 50 2" xfId="15953"/>
    <cellStyle name="Dane wyjściowe 2 25 50 3" xfId="15954"/>
    <cellStyle name="Dane wyjściowe 2 25 51" xfId="15955"/>
    <cellStyle name="Dane wyjściowe 2 25 51 2" xfId="15956"/>
    <cellStyle name="Dane wyjściowe 2 25 51 3" xfId="15957"/>
    <cellStyle name="Dane wyjściowe 2 25 52" xfId="15958"/>
    <cellStyle name="Dane wyjściowe 2 25 52 2" xfId="15959"/>
    <cellStyle name="Dane wyjściowe 2 25 52 3" xfId="15960"/>
    <cellStyle name="Dane wyjściowe 2 25 53" xfId="15961"/>
    <cellStyle name="Dane wyjściowe 2 25 53 2" xfId="15962"/>
    <cellStyle name="Dane wyjściowe 2 25 53 3" xfId="15963"/>
    <cellStyle name="Dane wyjściowe 2 25 54" xfId="15964"/>
    <cellStyle name="Dane wyjściowe 2 25 54 2" xfId="15965"/>
    <cellStyle name="Dane wyjściowe 2 25 54 3" xfId="15966"/>
    <cellStyle name="Dane wyjściowe 2 25 55" xfId="15967"/>
    <cellStyle name="Dane wyjściowe 2 25 55 2" xfId="15968"/>
    <cellStyle name="Dane wyjściowe 2 25 55 3" xfId="15969"/>
    <cellStyle name="Dane wyjściowe 2 25 56" xfId="15970"/>
    <cellStyle name="Dane wyjściowe 2 25 56 2" xfId="15971"/>
    <cellStyle name="Dane wyjściowe 2 25 56 3" xfId="15972"/>
    <cellStyle name="Dane wyjściowe 2 25 57" xfId="15973"/>
    <cellStyle name="Dane wyjściowe 2 25 58" xfId="15974"/>
    <cellStyle name="Dane wyjściowe 2 25 6" xfId="15975"/>
    <cellStyle name="Dane wyjściowe 2 25 6 2" xfId="15976"/>
    <cellStyle name="Dane wyjściowe 2 25 6 3" xfId="15977"/>
    <cellStyle name="Dane wyjściowe 2 25 6 4" xfId="15978"/>
    <cellStyle name="Dane wyjściowe 2 25 7" xfId="15979"/>
    <cellStyle name="Dane wyjściowe 2 25 7 2" xfId="15980"/>
    <cellStyle name="Dane wyjściowe 2 25 7 3" xfId="15981"/>
    <cellStyle name="Dane wyjściowe 2 25 7 4" xfId="15982"/>
    <cellStyle name="Dane wyjściowe 2 25 8" xfId="15983"/>
    <cellStyle name="Dane wyjściowe 2 25 8 2" xfId="15984"/>
    <cellStyle name="Dane wyjściowe 2 25 8 3" xfId="15985"/>
    <cellStyle name="Dane wyjściowe 2 25 8 4" xfId="15986"/>
    <cellStyle name="Dane wyjściowe 2 25 9" xfId="15987"/>
    <cellStyle name="Dane wyjściowe 2 25 9 2" xfId="15988"/>
    <cellStyle name="Dane wyjściowe 2 25 9 3" xfId="15989"/>
    <cellStyle name="Dane wyjściowe 2 25 9 4" xfId="15990"/>
    <cellStyle name="Dane wyjściowe 2 26" xfId="15991"/>
    <cellStyle name="Dane wyjściowe 2 26 10" xfId="15992"/>
    <cellStyle name="Dane wyjściowe 2 26 10 2" xfId="15993"/>
    <cellStyle name="Dane wyjściowe 2 26 10 3" xfId="15994"/>
    <cellStyle name="Dane wyjściowe 2 26 10 4" xfId="15995"/>
    <cellStyle name="Dane wyjściowe 2 26 11" xfId="15996"/>
    <cellStyle name="Dane wyjściowe 2 26 11 2" xfId="15997"/>
    <cellStyle name="Dane wyjściowe 2 26 11 3" xfId="15998"/>
    <cellStyle name="Dane wyjściowe 2 26 11 4" xfId="15999"/>
    <cellStyle name="Dane wyjściowe 2 26 12" xfId="16000"/>
    <cellStyle name="Dane wyjściowe 2 26 12 2" xfId="16001"/>
    <cellStyle name="Dane wyjściowe 2 26 12 3" xfId="16002"/>
    <cellStyle name="Dane wyjściowe 2 26 12 4" xfId="16003"/>
    <cellStyle name="Dane wyjściowe 2 26 13" xfId="16004"/>
    <cellStyle name="Dane wyjściowe 2 26 13 2" xfId="16005"/>
    <cellStyle name="Dane wyjściowe 2 26 13 3" xfId="16006"/>
    <cellStyle name="Dane wyjściowe 2 26 13 4" xfId="16007"/>
    <cellStyle name="Dane wyjściowe 2 26 14" xfId="16008"/>
    <cellStyle name="Dane wyjściowe 2 26 14 2" xfId="16009"/>
    <cellStyle name="Dane wyjściowe 2 26 14 3" xfId="16010"/>
    <cellStyle name="Dane wyjściowe 2 26 14 4" xfId="16011"/>
    <cellStyle name="Dane wyjściowe 2 26 15" xfId="16012"/>
    <cellStyle name="Dane wyjściowe 2 26 15 2" xfId="16013"/>
    <cellStyle name="Dane wyjściowe 2 26 15 3" xfId="16014"/>
    <cellStyle name="Dane wyjściowe 2 26 15 4" xfId="16015"/>
    <cellStyle name="Dane wyjściowe 2 26 16" xfId="16016"/>
    <cellStyle name="Dane wyjściowe 2 26 16 2" xfId="16017"/>
    <cellStyle name="Dane wyjściowe 2 26 16 3" xfId="16018"/>
    <cellStyle name="Dane wyjściowe 2 26 16 4" xfId="16019"/>
    <cellStyle name="Dane wyjściowe 2 26 17" xfId="16020"/>
    <cellStyle name="Dane wyjściowe 2 26 17 2" xfId="16021"/>
    <cellStyle name="Dane wyjściowe 2 26 17 3" xfId="16022"/>
    <cellStyle name="Dane wyjściowe 2 26 17 4" xfId="16023"/>
    <cellStyle name="Dane wyjściowe 2 26 18" xfId="16024"/>
    <cellStyle name="Dane wyjściowe 2 26 18 2" xfId="16025"/>
    <cellStyle name="Dane wyjściowe 2 26 18 3" xfId="16026"/>
    <cellStyle name="Dane wyjściowe 2 26 18 4" xfId="16027"/>
    <cellStyle name="Dane wyjściowe 2 26 19" xfId="16028"/>
    <cellStyle name="Dane wyjściowe 2 26 19 2" xfId="16029"/>
    <cellStyle name="Dane wyjściowe 2 26 19 3" xfId="16030"/>
    <cellStyle name="Dane wyjściowe 2 26 19 4" xfId="16031"/>
    <cellStyle name="Dane wyjściowe 2 26 2" xfId="16032"/>
    <cellStyle name="Dane wyjściowe 2 26 2 2" xfId="16033"/>
    <cellStyle name="Dane wyjściowe 2 26 2 3" xfId="16034"/>
    <cellStyle name="Dane wyjściowe 2 26 2 4" xfId="16035"/>
    <cellStyle name="Dane wyjściowe 2 26 20" xfId="16036"/>
    <cellStyle name="Dane wyjściowe 2 26 20 2" xfId="16037"/>
    <cellStyle name="Dane wyjściowe 2 26 20 3" xfId="16038"/>
    <cellStyle name="Dane wyjściowe 2 26 20 4" xfId="16039"/>
    <cellStyle name="Dane wyjściowe 2 26 21" xfId="16040"/>
    <cellStyle name="Dane wyjściowe 2 26 21 2" xfId="16041"/>
    <cellStyle name="Dane wyjściowe 2 26 21 3" xfId="16042"/>
    <cellStyle name="Dane wyjściowe 2 26 22" xfId="16043"/>
    <cellStyle name="Dane wyjściowe 2 26 22 2" xfId="16044"/>
    <cellStyle name="Dane wyjściowe 2 26 22 3" xfId="16045"/>
    <cellStyle name="Dane wyjściowe 2 26 23" xfId="16046"/>
    <cellStyle name="Dane wyjściowe 2 26 23 2" xfId="16047"/>
    <cellStyle name="Dane wyjściowe 2 26 23 3" xfId="16048"/>
    <cellStyle name="Dane wyjściowe 2 26 24" xfId="16049"/>
    <cellStyle name="Dane wyjściowe 2 26 24 2" xfId="16050"/>
    <cellStyle name="Dane wyjściowe 2 26 24 3" xfId="16051"/>
    <cellStyle name="Dane wyjściowe 2 26 25" xfId="16052"/>
    <cellStyle name="Dane wyjściowe 2 26 25 2" xfId="16053"/>
    <cellStyle name="Dane wyjściowe 2 26 25 3" xfId="16054"/>
    <cellStyle name="Dane wyjściowe 2 26 26" xfId="16055"/>
    <cellStyle name="Dane wyjściowe 2 26 26 2" xfId="16056"/>
    <cellStyle name="Dane wyjściowe 2 26 26 3" xfId="16057"/>
    <cellStyle name="Dane wyjściowe 2 26 27" xfId="16058"/>
    <cellStyle name="Dane wyjściowe 2 26 27 2" xfId="16059"/>
    <cellStyle name="Dane wyjściowe 2 26 27 3" xfId="16060"/>
    <cellStyle name="Dane wyjściowe 2 26 28" xfId="16061"/>
    <cellStyle name="Dane wyjściowe 2 26 28 2" xfId="16062"/>
    <cellStyle name="Dane wyjściowe 2 26 28 3" xfId="16063"/>
    <cellStyle name="Dane wyjściowe 2 26 29" xfId="16064"/>
    <cellStyle name="Dane wyjściowe 2 26 29 2" xfId="16065"/>
    <cellStyle name="Dane wyjściowe 2 26 29 3" xfId="16066"/>
    <cellStyle name="Dane wyjściowe 2 26 3" xfId="16067"/>
    <cellStyle name="Dane wyjściowe 2 26 3 2" xfId="16068"/>
    <cellStyle name="Dane wyjściowe 2 26 3 3" xfId="16069"/>
    <cellStyle name="Dane wyjściowe 2 26 3 4" xfId="16070"/>
    <cellStyle name="Dane wyjściowe 2 26 30" xfId="16071"/>
    <cellStyle name="Dane wyjściowe 2 26 30 2" xfId="16072"/>
    <cellStyle name="Dane wyjściowe 2 26 30 3" xfId="16073"/>
    <cellStyle name="Dane wyjściowe 2 26 31" xfId="16074"/>
    <cellStyle name="Dane wyjściowe 2 26 31 2" xfId="16075"/>
    <cellStyle name="Dane wyjściowe 2 26 31 3" xfId="16076"/>
    <cellStyle name="Dane wyjściowe 2 26 32" xfId="16077"/>
    <cellStyle name="Dane wyjściowe 2 26 32 2" xfId="16078"/>
    <cellStyle name="Dane wyjściowe 2 26 32 3" xfId="16079"/>
    <cellStyle name="Dane wyjściowe 2 26 33" xfId="16080"/>
    <cellStyle name="Dane wyjściowe 2 26 33 2" xfId="16081"/>
    <cellStyle name="Dane wyjściowe 2 26 33 3" xfId="16082"/>
    <cellStyle name="Dane wyjściowe 2 26 34" xfId="16083"/>
    <cellStyle name="Dane wyjściowe 2 26 34 2" xfId="16084"/>
    <cellStyle name="Dane wyjściowe 2 26 34 3" xfId="16085"/>
    <cellStyle name="Dane wyjściowe 2 26 35" xfId="16086"/>
    <cellStyle name="Dane wyjściowe 2 26 35 2" xfId="16087"/>
    <cellStyle name="Dane wyjściowe 2 26 35 3" xfId="16088"/>
    <cellStyle name="Dane wyjściowe 2 26 36" xfId="16089"/>
    <cellStyle name="Dane wyjściowe 2 26 36 2" xfId="16090"/>
    <cellStyle name="Dane wyjściowe 2 26 36 3" xfId="16091"/>
    <cellStyle name="Dane wyjściowe 2 26 37" xfId="16092"/>
    <cellStyle name="Dane wyjściowe 2 26 37 2" xfId="16093"/>
    <cellStyle name="Dane wyjściowe 2 26 37 3" xfId="16094"/>
    <cellStyle name="Dane wyjściowe 2 26 38" xfId="16095"/>
    <cellStyle name="Dane wyjściowe 2 26 38 2" xfId="16096"/>
    <cellStyle name="Dane wyjściowe 2 26 38 3" xfId="16097"/>
    <cellStyle name="Dane wyjściowe 2 26 39" xfId="16098"/>
    <cellStyle name="Dane wyjściowe 2 26 39 2" xfId="16099"/>
    <cellStyle name="Dane wyjściowe 2 26 39 3" xfId="16100"/>
    <cellStyle name="Dane wyjściowe 2 26 4" xfId="16101"/>
    <cellStyle name="Dane wyjściowe 2 26 4 2" xfId="16102"/>
    <cellStyle name="Dane wyjściowe 2 26 4 3" xfId="16103"/>
    <cellStyle name="Dane wyjściowe 2 26 4 4" xfId="16104"/>
    <cellStyle name="Dane wyjściowe 2 26 40" xfId="16105"/>
    <cellStyle name="Dane wyjściowe 2 26 40 2" xfId="16106"/>
    <cellStyle name="Dane wyjściowe 2 26 40 3" xfId="16107"/>
    <cellStyle name="Dane wyjściowe 2 26 41" xfId="16108"/>
    <cellStyle name="Dane wyjściowe 2 26 41 2" xfId="16109"/>
    <cellStyle name="Dane wyjściowe 2 26 41 3" xfId="16110"/>
    <cellStyle name="Dane wyjściowe 2 26 42" xfId="16111"/>
    <cellStyle name="Dane wyjściowe 2 26 42 2" xfId="16112"/>
    <cellStyle name="Dane wyjściowe 2 26 42 3" xfId="16113"/>
    <cellStyle name="Dane wyjściowe 2 26 43" xfId="16114"/>
    <cellStyle name="Dane wyjściowe 2 26 43 2" xfId="16115"/>
    <cellStyle name="Dane wyjściowe 2 26 43 3" xfId="16116"/>
    <cellStyle name="Dane wyjściowe 2 26 44" xfId="16117"/>
    <cellStyle name="Dane wyjściowe 2 26 44 2" xfId="16118"/>
    <cellStyle name="Dane wyjściowe 2 26 44 3" xfId="16119"/>
    <cellStyle name="Dane wyjściowe 2 26 45" xfId="16120"/>
    <cellStyle name="Dane wyjściowe 2 26 45 2" xfId="16121"/>
    <cellStyle name="Dane wyjściowe 2 26 45 3" xfId="16122"/>
    <cellStyle name="Dane wyjściowe 2 26 46" xfId="16123"/>
    <cellStyle name="Dane wyjściowe 2 26 46 2" xfId="16124"/>
    <cellStyle name="Dane wyjściowe 2 26 46 3" xfId="16125"/>
    <cellStyle name="Dane wyjściowe 2 26 47" xfId="16126"/>
    <cellStyle name="Dane wyjściowe 2 26 47 2" xfId="16127"/>
    <cellStyle name="Dane wyjściowe 2 26 47 3" xfId="16128"/>
    <cellStyle name="Dane wyjściowe 2 26 48" xfId="16129"/>
    <cellStyle name="Dane wyjściowe 2 26 48 2" xfId="16130"/>
    <cellStyle name="Dane wyjściowe 2 26 48 3" xfId="16131"/>
    <cellStyle name="Dane wyjściowe 2 26 49" xfId="16132"/>
    <cellStyle name="Dane wyjściowe 2 26 49 2" xfId="16133"/>
    <cellStyle name="Dane wyjściowe 2 26 49 3" xfId="16134"/>
    <cellStyle name="Dane wyjściowe 2 26 5" xfId="16135"/>
    <cellStyle name="Dane wyjściowe 2 26 5 2" xfId="16136"/>
    <cellStyle name="Dane wyjściowe 2 26 5 3" xfId="16137"/>
    <cellStyle name="Dane wyjściowe 2 26 5 4" xfId="16138"/>
    <cellStyle name="Dane wyjściowe 2 26 50" xfId="16139"/>
    <cellStyle name="Dane wyjściowe 2 26 50 2" xfId="16140"/>
    <cellStyle name="Dane wyjściowe 2 26 50 3" xfId="16141"/>
    <cellStyle name="Dane wyjściowe 2 26 51" xfId="16142"/>
    <cellStyle name="Dane wyjściowe 2 26 51 2" xfId="16143"/>
    <cellStyle name="Dane wyjściowe 2 26 51 3" xfId="16144"/>
    <cellStyle name="Dane wyjściowe 2 26 52" xfId="16145"/>
    <cellStyle name="Dane wyjściowe 2 26 52 2" xfId="16146"/>
    <cellStyle name="Dane wyjściowe 2 26 52 3" xfId="16147"/>
    <cellStyle name="Dane wyjściowe 2 26 53" xfId="16148"/>
    <cellStyle name="Dane wyjściowe 2 26 53 2" xfId="16149"/>
    <cellStyle name="Dane wyjściowe 2 26 53 3" xfId="16150"/>
    <cellStyle name="Dane wyjściowe 2 26 54" xfId="16151"/>
    <cellStyle name="Dane wyjściowe 2 26 54 2" xfId="16152"/>
    <cellStyle name="Dane wyjściowe 2 26 54 3" xfId="16153"/>
    <cellStyle name="Dane wyjściowe 2 26 55" xfId="16154"/>
    <cellStyle name="Dane wyjściowe 2 26 55 2" xfId="16155"/>
    <cellStyle name="Dane wyjściowe 2 26 55 3" xfId="16156"/>
    <cellStyle name="Dane wyjściowe 2 26 56" xfId="16157"/>
    <cellStyle name="Dane wyjściowe 2 26 56 2" xfId="16158"/>
    <cellStyle name="Dane wyjściowe 2 26 56 3" xfId="16159"/>
    <cellStyle name="Dane wyjściowe 2 26 57" xfId="16160"/>
    <cellStyle name="Dane wyjściowe 2 26 58" xfId="16161"/>
    <cellStyle name="Dane wyjściowe 2 26 6" xfId="16162"/>
    <cellStyle name="Dane wyjściowe 2 26 6 2" xfId="16163"/>
    <cellStyle name="Dane wyjściowe 2 26 6 3" xfId="16164"/>
    <cellStyle name="Dane wyjściowe 2 26 6 4" xfId="16165"/>
    <cellStyle name="Dane wyjściowe 2 26 7" xfId="16166"/>
    <cellStyle name="Dane wyjściowe 2 26 7 2" xfId="16167"/>
    <cellStyle name="Dane wyjściowe 2 26 7 3" xfId="16168"/>
    <cellStyle name="Dane wyjściowe 2 26 7 4" xfId="16169"/>
    <cellStyle name="Dane wyjściowe 2 26 8" xfId="16170"/>
    <cellStyle name="Dane wyjściowe 2 26 8 2" xfId="16171"/>
    <cellStyle name="Dane wyjściowe 2 26 8 3" xfId="16172"/>
    <cellStyle name="Dane wyjściowe 2 26 8 4" xfId="16173"/>
    <cellStyle name="Dane wyjściowe 2 26 9" xfId="16174"/>
    <cellStyle name="Dane wyjściowe 2 26 9 2" xfId="16175"/>
    <cellStyle name="Dane wyjściowe 2 26 9 3" xfId="16176"/>
    <cellStyle name="Dane wyjściowe 2 26 9 4" xfId="16177"/>
    <cellStyle name="Dane wyjściowe 2 27" xfId="16178"/>
    <cellStyle name="Dane wyjściowe 2 27 10" xfId="16179"/>
    <cellStyle name="Dane wyjściowe 2 27 10 2" xfId="16180"/>
    <cellStyle name="Dane wyjściowe 2 27 10 3" xfId="16181"/>
    <cellStyle name="Dane wyjściowe 2 27 10 4" xfId="16182"/>
    <cellStyle name="Dane wyjściowe 2 27 11" xfId="16183"/>
    <cellStyle name="Dane wyjściowe 2 27 11 2" xfId="16184"/>
    <cellStyle name="Dane wyjściowe 2 27 11 3" xfId="16185"/>
    <cellStyle name="Dane wyjściowe 2 27 11 4" xfId="16186"/>
    <cellStyle name="Dane wyjściowe 2 27 12" xfId="16187"/>
    <cellStyle name="Dane wyjściowe 2 27 12 2" xfId="16188"/>
    <cellStyle name="Dane wyjściowe 2 27 12 3" xfId="16189"/>
    <cellStyle name="Dane wyjściowe 2 27 12 4" xfId="16190"/>
    <cellStyle name="Dane wyjściowe 2 27 13" xfId="16191"/>
    <cellStyle name="Dane wyjściowe 2 27 13 2" xfId="16192"/>
    <cellStyle name="Dane wyjściowe 2 27 13 3" xfId="16193"/>
    <cellStyle name="Dane wyjściowe 2 27 13 4" xfId="16194"/>
    <cellStyle name="Dane wyjściowe 2 27 14" xfId="16195"/>
    <cellStyle name="Dane wyjściowe 2 27 14 2" xfId="16196"/>
    <cellStyle name="Dane wyjściowe 2 27 14 3" xfId="16197"/>
    <cellStyle name="Dane wyjściowe 2 27 14 4" xfId="16198"/>
    <cellStyle name="Dane wyjściowe 2 27 15" xfId="16199"/>
    <cellStyle name="Dane wyjściowe 2 27 15 2" xfId="16200"/>
    <cellStyle name="Dane wyjściowe 2 27 15 3" xfId="16201"/>
    <cellStyle name="Dane wyjściowe 2 27 15 4" xfId="16202"/>
    <cellStyle name="Dane wyjściowe 2 27 16" xfId="16203"/>
    <cellStyle name="Dane wyjściowe 2 27 16 2" xfId="16204"/>
    <cellStyle name="Dane wyjściowe 2 27 16 3" xfId="16205"/>
    <cellStyle name="Dane wyjściowe 2 27 16 4" xfId="16206"/>
    <cellStyle name="Dane wyjściowe 2 27 17" xfId="16207"/>
    <cellStyle name="Dane wyjściowe 2 27 17 2" xfId="16208"/>
    <cellStyle name="Dane wyjściowe 2 27 17 3" xfId="16209"/>
    <cellStyle name="Dane wyjściowe 2 27 17 4" xfId="16210"/>
    <cellStyle name="Dane wyjściowe 2 27 18" xfId="16211"/>
    <cellStyle name="Dane wyjściowe 2 27 18 2" xfId="16212"/>
    <cellStyle name="Dane wyjściowe 2 27 18 3" xfId="16213"/>
    <cellStyle name="Dane wyjściowe 2 27 18 4" xfId="16214"/>
    <cellStyle name="Dane wyjściowe 2 27 19" xfId="16215"/>
    <cellStyle name="Dane wyjściowe 2 27 19 2" xfId="16216"/>
    <cellStyle name="Dane wyjściowe 2 27 19 3" xfId="16217"/>
    <cellStyle name="Dane wyjściowe 2 27 19 4" xfId="16218"/>
    <cellStyle name="Dane wyjściowe 2 27 2" xfId="16219"/>
    <cellStyle name="Dane wyjściowe 2 27 2 2" xfId="16220"/>
    <cellStyle name="Dane wyjściowe 2 27 2 3" xfId="16221"/>
    <cellStyle name="Dane wyjściowe 2 27 2 4" xfId="16222"/>
    <cellStyle name="Dane wyjściowe 2 27 20" xfId="16223"/>
    <cellStyle name="Dane wyjściowe 2 27 20 2" xfId="16224"/>
    <cellStyle name="Dane wyjściowe 2 27 20 3" xfId="16225"/>
    <cellStyle name="Dane wyjściowe 2 27 20 4" xfId="16226"/>
    <cellStyle name="Dane wyjściowe 2 27 21" xfId="16227"/>
    <cellStyle name="Dane wyjściowe 2 27 21 2" xfId="16228"/>
    <cellStyle name="Dane wyjściowe 2 27 21 3" xfId="16229"/>
    <cellStyle name="Dane wyjściowe 2 27 22" xfId="16230"/>
    <cellStyle name="Dane wyjściowe 2 27 22 2" xfId="16231"/>
    <cellStyle name="Dane wyjściowe 2 27 22 3" xfId="16232"/>
    <cellStyle name="Dane wyjściowe 2 27 23" xfId="16233"/>
    <cellStyle name="Dane wyjściowe 2 27 23 2" xfId="16234"/>
    <cellStyle name="Dane wyjściowe 2 27 23 3" xfId="16235"/>
    <cellStyle name="Dane wyjściowe 2 27 24" xfId="16236"/>
    <cellStyle name="Dane wyjściowe 2 27 24 2" xfId="16237"/>
    <cellStyle name="Dane wyjściowe 2 27 24 3" xfId="16238"/>
    <cellStyle name="Dane wyjściowe 2 27 25" xfId="16239"/>
    <cellStyle name="Dane wyjściowe 2 27 25 2" xfId="16240"/>
    <cellStyle name="Dane wyjściowe 2 27 25 3" xfId="16241"/>
    <cellStyle name="Dane wyjściowe 2 27 26" xfId="16242"/>
    <cellStyle name="Dane wyjściowe 2 27 26 2" xfId="16243"/>
    <cellStyle name="Dane wyjściowe 2 27 26 3" xfId="16244"/>
    <cellStyle name="Dane wyjściowe 2 27 27" xfId="16245"/>
    <cellStyle name="Dane wyjściowe 2 27 27 2" xfId="16246"/>
    <cellStyle name="Dane wyjściowe 2 27 27 3" xfId="16247"/>
    <cellStyle name="Dane wyjściowe 2 27 28" xfId="16248"/>
    <cellStyle name="Dane wyjściowe 2 27 28 2" xfId="16249"/>
    <cellStyle name="Dane wyjściowe 2 27 28 3" xfId="16250"/>
    <cellStyle name="Dane wyjściowe 2 27 29" xfId="16251"/>
    <cellStyle name="Dane wyjściowe 2 27 29 2" xfId="16252"/>
    <cellStyle name="Dane wyjściowe 2 27 29 3" xfId="16253"/>
    <cellStyle name="Dane wyjściowe 2 27 3" xfId="16254"/>
    <cellStyle name="Dane wyjściowe 2 27 3 2" xfId="16255"/>
    <cellStyle name="Dane wyjściowe 2 27 3 3" xfId="16256"/>
    <cellStyle name="Dane wyjściowe 2 27 3 4" xfId="16257"/>
    <cellStyle name="Dane wyjściowe 2 27 30" xfId="16258"/>
    <cellStyle name="Dane wyjściowe 2 27 30 2" xfId="16259"/>
    <cellStyle name="Dane wyjściowe 2 27 30 3" xfId="16260"/>
    <cellStyle name="Dane wyjściowe 2 27 31" xfId="16261"/>
    <cellStyle name="Dane wyjściowe 2 27 31 2" xfId="16262"/>
    <cellStyle name="Dane wyjściowe 2 27 31 3" xfId="16263"/>
    <cellStyle name="Dane wyjściowe 2 27 32" xfId="16264"/>
    <cellStyle name="Dane wyjściowe 2 27 32 2" xfId="16265"/>
    <cellStyle name="Dane wyjściowe 2 27 32 3" xfId="16266"/>
    <cellStyle name="Dane wyjściowe 2 27 33" xfId="16267"/>
    <cellStyle name="Dane wyjściowe 2 27 33 2" xfId="16268"/>
    <cellStyle name="Dane wyjściowe 2 27 33 3" xfId="16269"/>
    <cellStyle name="Dane wyjściowe 2 27 34" xfId="16270"/>
    <cellStyle name="Dane wyjściowe 2 27 34 2" xfId="16271"/>
    <cellStyle name="Dane wyjściowe 2 27 34 3" xfId="16272"/>
    <cellStyle name="Dane wyjściowe 2 27 35" xfId="16273"/>
    <cellStyle name="Dane wyjściowe 2 27 35 2" xfId="16274"/>
    <cellStyle name="Dane wyjściowe 2 27 35 3" xfId="16275"/>
    <cellStyle name="Dane wyjściowe 2 27 36" xfId="16276"/>
    <cellStyle name="Dane wyjściowe 2 27 36 2" xfId="16277"/>
    <cellStyle name="Dane wyjściowe 2 27 36 3" xfId="16278"/>
    <cellStyle name="Dane wyjściowe 2 27 37" xfId="16279"/>
    <cellStyle name="Dane wyjściowe 2 27 37 2" xfId="16280"/>
    <cellStyle name="Dane wyjściowe 2 27 37 3" xfId="16281"/>
    <cellStyle name="Dane wyjściowe 2 27 38" xfId="16282"/>
    <cellStyle name="Dane wyjściowe 2 27 38 2" xfId="16283"/>
    <cellStyle name="Dane wyjściowe 2 27 38 3" xfId="16284"/>
    <cellStyle name="Dane wyjściowe 2 27 39" xfId="16285"/>
    <cellStyle name="Dane wyjściowe 2 27 39 2" xfId="16286"/>
    <cellStyle name="Dane wyjściowe 2 27 39 3" xfId="16287"/>
    <cellStyle name="Dane wyjściowe 2 27 4" xfId="16288"/>
    <cellStyle name="Dane wyjściowe 2 27 4 2" xfId="16289"/>
    <cellStyle name="Dane wyjściowe 2 27 4 3" xfId="16290"/>
    <cellStyle name="Dane wyjściowe 2 27 4 4" xfId="16291"/>
    <cellStyle name="Dane wyjściowe 2 27 40" xfId="16292"/>
    <cellStyle name="Dane wyjściowe 2 27 40 2" xfId="16293"/>
    <cellStyle name="Dane wyjściowe 2 27 40 3" xfId="16294"/>
    <cellStyle name="Dane wyjściowe 2 27 41" xfId="16295"/>
    <cellStyle name="Dane wyjściowe 2 27 41 2" xfId="16296"/>
    <cellStyle name="Dane wyjściowe 2 27 41 3" xfId="16297"/>
    <cellStyle name="Dane wyjściowe 2 27 42" xfId="16298"/>
    <cellStyle name="Dane wyjściowe 2 27 42 2" xfId="16299"/>
    <cellStyle name="Dane wyjściowe 2 27 42 3" xfId="16300"/>
    <cellStyle name="Dane wyjściowe 2 27 43" xfId="16301"/>
    <cellStyle name="Dane wyjściowe 2 27 43 2" xfId="16302"/>
    <cellStyle name="Dane wyjściowe 2 27 43 3" xfId="16303"/>
    <cellStyle name="Dane wyjściowe 2 27 44" xfId="16304"/>
    <cellStyle name="Dane wyjściowe 2 27 44 2" xfId="16305"/>
    <cellStyle name="Dane wyjściowe 2 27 44 3" xfId="16306"/>
    <cellStyle name="Dane wyjściowe 2 27 45" xfId="16307"/>
    <cellStyle name="Dane wyjściowe 2 27 45 2" xfId="16308"/>
    <cellStyle name="Dane wyjściowe 2 27 45 3" xfId="16309"/>
    <cellStyle name="Dane wyjściowe 2 27 46" xfId="16310"/>
    <cellStyle name="Dane wyjściowe 2 27 46 2" xfId="16311"/>
    <cellStyle name="Dane wyjściowe 2 27 46 3" xfId="16312"/>
    <cellStyle name="Dane wyjściowe 2 27 47" xfId="16313"/>
    <cellStyle name="Dane wyjściowe 2 27 47 2" xfId="16314"/>
    <cellStyle name="Dane wyjściowe 2 27 47 3" xfId="16315"/>
    <cellStyle name="Dane wyjściowe 2 27 48" xfId="16316"/>
    <cellStyle name="Dane wyjściowe 2 27 48 2" xfId="16317"/>
    <cellStyle name="Dane wyjściowe 2 27 48 3" xfId="16318"/>
    <cellStyle name="Dane wyjściowe 2 27 49" xfId="16319"/>
    <cellStyle name="Dane wyjściowe 2 27 49 2" xfId="16320"/>
    <cellStyle name="Dane wyjściowe 2 27 49 3" xfId="16321"/>
    <cellStyle name="Dane wyjściowe 2 27 5" xfId="16322"/>
    <cellStyle name="Dane wyjściowe 2 27 5 2" xfId="16323"/>
    <cellStyle name="Dane wyjściowe 2 27 5 3" xfId="16324"/>
    <cellStyle name="Dane wyjściowe 2 27 5 4" xfId="16325"/>
    <cellStyle name="Dane wyjściowe 2 27 50" xfId="16326"/>
    <cellStyle name="Dane wyjściowe 2 27 50 2" xfId="16327"/>
    <cellStyle name="Dane wyjściowe 2 27 50 3" xfId="16328"/>
    <cellStyle name="Dane wyjściowe 2 27 51" xfId="16329"/>
    <cellStyle name="Dane wyjściowe 2 27 51 2" xfId="16330"/>
    <cellStyle name="Dane wyjściowe 2 27 51 3" xfId="16331"/>
    <cellStyle name="Dane wyjściowe 2 27 52" xfId="16332"/>
    <cellStyle name="Dane wyjściowe 2 27 52 2" xfId="16333"/>
    <cellStyle name="Dane wyjściowe 2 27 52 3" xfId="16334"/>
    <cellStyle name="Dane wyjściowe 2 27 53" xfId="16335"/>
    <cellStyle name="Dane wyjściowe 2 27 53 2" xfId="16336"/>
    <cellStyle name="Dane wyjściowe 2 27 53 3" xfId="16337"/>
    <cellStyle name="Dane wyjściowe 2 27 54" xfId="16338"/>
    <cellStyle name="Dane wyjściowe 2 27 54 2" xfId="16339"/>
    <cellStyle name="Dane wyjściowe 2 27 54 3" xfId="16340"/>
    <cellStyle name="Dane wyjściowe 2 27 55" xfId="16341"/>
    <cellStyle name="Dane wyjściowe 2 27 55 2" xfId="16342"/>
    <cellStyle name="Dane wyjściowe 2 27 55 3" xfId="16343"/>
    <cellStyle name="Dane wyjściowe 2 27 56" xfId="16344"/>
    <cellStyle name="Dane wyjściowe 2 27 56 2" xfId="16345"/>
    <cellStyle name="Dane wyjściowe 2 27 56 3" xfId="16346"/>
    <cellStyle name="Dane wyjściowe 2 27 57" xfId="16347"/>
    <cellStyle name="Dane wyjściowe 2 27 58" xfId="16348"/>
    <cellStyle name="Dane wyjściowe 2 27 6" xfId="16349"/>
    <cellStyle name="Dane wyjściowe 2 27 6 2" xfId="16350"/>
    <cellStyle name="Dane wyjściowe 2 27 6 3" xfId="16351"/>
    <cellStyle name="Dane wyjściowe 2 27 6 4" xfId="16352"/>
    <cellStyle name="Dane wyjściowe 2 27 7" xfId="16353"/>
    <cellStyle name="Dane wyjściowe 2 27 7 2" xfId="16354"/>
    <cellStyle name="Dane wyjściowe 2 27 7 3" xfId="16355"/>
    <cellStyle name="Dane wyjściowe 2 27 7 4" xfId="16356"/>
    <cellStyle name="Dane wyjściowe 2 27 8" xfId="16357"/>
    <cellStyle name="Dane wyjściowe 2 27 8 2" xfId="16358"/>
    <cellStyle name="Dane wyjściowe 2 27 8 3" xfId="16359"/>
    <cellStyle name="Dane wyjściowe 2 27 8 4" xfId="16360"/>
    <cellStyle name="Dane wyjściowe 2 27 9" xfId="16361"/>
    <cellStyle name="Dane wyjściowe 2 27 9 2" xfId="16362"/>
    <cellStyle name="Dane wyjściowe 2 27 9 3" xfId="16363"/>
    <cellStyle name="Dane wyjściowe 2 27 9 4" xfId="16364"/>
    <cellStyle name="Dane wyjściowe 2 28" xfId="16365"/>
    <cellStyle name="Dane wyjściowe 2 28 10" xfId="16366"/>
    <cellStyle name="Dane wyjściowe 2 28 10 2" xfId="16367"/>
    <cellStyle name="Dane wyjściowe 2 28 10 3" xfId="16368"/>
    <cellStyle name="Dane wyjściowe 2 28 10 4" xfId="16369"/>
    <cellStyle name="Dane wyjściowe 2 28 11" xfId="16370"/>
    <cellStyle name="Dane wyjściowe 2 28 11 2" xfId="16371"/>
    <cellStyle name="Dane wyjściowe 2 28 11 3" xfId="16372"/>
    <cellStyle name="Dane wyjściowe 2 28 11 4" xfId="16373"/>
    <cellStyle name="Dane wyjściowe 2 28 12" xfId="16374"/>
    <cellStyle name="Dane wyjściowe 2 28 12 2" xfId="16375"/>
    <cellStyle name="Dane wyjściowe 2 28 12 3" xfId="16376"/>
    <cellStyle name="Dane wyjściowe 2 28 12 4" xfId="16377"/>
    <cellStyle name="Dane wyjściowe 2 28 13" xfId="16378"/>
    <cellStyle name="Dane wyjściowe 2 28 13 2" xfId="16379"/>
    <cellStyle name="Dane wyjściowe 2 28 13 3" xfId="16380"/>
    <cellStyle name="Dane wyjściowe 2 28 13 4" xfId="16381"/>
    <cellStyle name="Dane wyjściowe 2 28 14" xfId="16382"/>
    <cellStyle name="Dane wyjściowe 2 28 14 2" xfId="16383"/>
    <cellStyle name="Dane wyjściowe 2 28 14 3" xfId="16384"/>
    <cellStyle name="Dane wyjściowe 2 28 14 4" xfId="16385"/>
    <cellStyle name="Dane wyjściowe 2 28 15" xfId="16386"/>
    <cellStyle name="Dane wyjściowe 2 28 15 2" xfId="16387"/>
    <cellStyle name="Dane wyjściowe 2 28 15 3" xfId="16388"/>
    <cellStyle name="Dane wyjściowe 2 28 15 4" xfId="16389"/>
    <cellStyle name="Dane wyjściowe 2 28 16" xfId="16390"/>
    <cellStyle name="Dane wyjściowe 2 28 16 2" xfId="16391"/>
    <cellStyle name="Dane wyjściowe 2 28 16 3" xfId="16392"/>
    <cellStyle name="Dane wyjściowe 2 28 16 4" xfId="16393"/>
    <cellStyle name="Dane wyjściowe 2 28 17" xfId="16394"/>
    <cellStyle name="Dane wyjściowe 2 28 17 2" xfId="16395"/>
    <cellStyle name="Dane wyjściowe 2 28 17 3" xfId="16396"/>
    <cellStyle name="Dane wyjściowe 2 28 17 4" xfId="16397"/>
    <cellStyle name="Dane wyjściowe 2 28 18" xfId="16398"/>
    <cellStyle name="Dane wyjściowe 2 28 18 2" xfId="16399"/>
    <cellStyle name="Dane wyjściowe 2 28 18 3" xfId="16400"/>
    <cellStyle name="Dane wyjściowe 2 28 18 4" xfId="16401"/>
    <cellStyle name="Dane wyjściowe 2 28 19" xfId="16402"/>
    <cellStyle name="Dane wyjściowe 2 28 19 2" xfId="16403"/>
    <cellStyle name="Dane wyjściowe 2 28 19 3" xfId="16404"/>
    <cellStyle name="Dane wyjściowe 2 28 19 4" xfId="16405"/>
    <cellStyle name="Dane wyjściowe 2 28 2" xfId="16406"/>
    <cellStyle name="Dane wyjściowe 2 28 2 2" xfId="16407"/>
    <cellStyle name="Dane wyjściowe 2 28 2 3" xfId="16408"/>
    <cellStyle name="Dane wyjściowe 2 28 2 4" xfId="16409"/>
    <cellStyle name="Dane wyjściowe 2 28 20" xfId="16410"/>
    <cellStyle name="Dane wyjściowe 2 28 20 2" xfId="16411"/>
    <cellStyle name="Dane wyjściowe 2 28 20 3" xfId="16412"/>
    <cellStyle name="Dane wyjściowe 2 28 20 4" xfId="16413"/>
    <cellStyle name="Dane wyjściowe 2 28 21" xfId="16414"/>
    <cellStyle name="Dane wyjściowe 2 28 21 2" xfId="16415"/>
    <cellStyle name="Dane wyjściowe 2 28 21 3" xfId="16416"/>
    <cellStyle name="Dane wyjściowe 2 28 22" xfId="16417"/>
    <cellStyle name="Dane wyjściowe 2 28 22 2" xfId="16418"/>
    <cellStyle name="Dane wyjściowe 2 28 22 3" xfId="16419"/>
    <cellStyle name="Dane wyjściowe 2 28 23" xfId="16420"/>
    <cellStyle name="Dane wyjściowe 2 28 23 2" xfId="16421"/>
    <cellStyle name="Dane wyjściowe 2 28 23 3" xfId="16422"/>
    <cellStyle name="Dane wyjściowe 2 28 24" xfId="16423"/>
    <cellStyle name="Dane wyjściowe 2 28 24 2" xfId="16424"/>
    <cellStyle name="Dane wyjściowe 2 28 24 3" xfId="16425"/>
    <cellStyle name="Dane wyjściowe 2 28 25" xfId="16426"/>
    <cellStyle name="Dane wyjściowe 2 28 25 2" xfId="16427"/>
    <cellStyle name="Dane wyjściowe 2 28 25 3" xfId="16428"/>
    <cellStyle name="Dane wyjściowe 2 28 26" xfId="16429"/>
    <cellStyle name="Dane wyjściowe 2 28 26 2" xfId="16430"/>
    <cellStyle name="Dane wyjściowe 2 28 26 3" xfId="16431"/>
    <cellStyle name="Dane wyjściowe 2 28 27" xfId="16432"/>
    <cellStyle name="Dane wyjściowe 2 28 27 2" xfId="16433"/>
    <cellStyle name="Dane wyjściowe 2 28 27 3" xfId="16434"/>
    <cellStyle name="Dane wyjściowe 2 28 28" xfId="16435"/>
    <cellStyle name="Dane wyjściowe 2 28 28 2" xfId="16436"/>
    <cellStyle name="Dane wyjściowe 2 28 28 3" xfId="16437"/>
    <cellStyle name="Dane wyjściowe 2 28 29" xfId="16438"/>
    <cellStyle name="Dane wyjściowe 2 28 29 2" xfId="16439"/>
    <cellStyle name="Dane wyjściowe 2 28 29 3" xfId="16440"/>
    <cellStyle name="Dane wyjściowe 2 28 3" xfId="16441"/>
    <cellStyle name="Dane wyjściowe 2 28 3 2" xfId="16442"/>
    <cellStyle name="Dane wyjściowe 2 28 3 3" xfId="16443"/>
    <cellStyle name="Dane wyjściowe 2 28 3 4" xfId="16444"/>
    <cellStyle name="Dane wyjściowe 2 28 30" xfId="16445"/>
    <cellStyle name="Dane wyjściowe 2 28 30 2" xfId="16446"/>
    <cellStyle name="Dane wyjściowe 2 28 30 3" xfId="16447"/>
    <cellStyle name="Dane wyjściowe 2 28 31" xfId="16448"/>
    <cellStyle name="Dane wyjściowe 2 28 31 2" xfId="16449"/>
    <cellStyle name="Dane wyjściowe 2 28 31 3" xfId="16450"/>
    <cellStyle name="Dane wyjściowe 2 28 32" xfId="16451"/>
    <cellStyle name="Dane wyjściowe 2 28 32 2" xfId="16452"/>
    <cellStyle name="Dane wyjściowe 2 28 32 3" xfId="16453"/>
    <cellStyle name="Dane wyjściowe 2 28 33" xfId="16454"/>
    <cellStyle name="Dane wyjściowe 2 28 33 2" xfId="16455"/>
    <cellStyle name="Dane wyjściowe 2 28 33 3" xfId="16456"/>
    <cellStyle name="Dane wyjściowe 2 28 34" xfId="16457"/>
    <cellStyle name="Dane wyjściowe 2 28 34 2" xfId="16458"/>
    <cellStyle name="Dane wyjściowe 2 28 34 3" xfId="16459"/>
    <cellStyle name="Dane wyjściowe 2 28 35" xfId="16460"/>
    <cellStyle name="Dane wyjściowe 2 28 35 2" xfId="16461"/>
    <cellStyle name="Dane wyjściowe 2 28 35 3" xfId="16462"/>
    <cellStyle name="Dane wyjściowe 2 28 36" xfId="16463"/>
    <cellStyle name="Dane wyjściowe 2 28 36 2" xfId="16464"/>
    <cellStyle name="Dane wyjściowe 2 28 36 3" xfId="16465"/>
    <cellStyle name="Dane wyjściowe 2 28 37" xfId="16466"/>
    <cellStyle name="Dane wyjściowe 2 28 37 2" xfId="16467"/>
    <cellStyle name="Dane wyjściowe 2 28 37 3" xfId="16468"/>
    <cellStyle name="Dane wyjściowe 2 28 38" xfId="16469"/>
    <cellStyle name="Dane wyjściowe 2 28 38 2" xfId="16470"/>
    <cellStyle name="Dane wyjściowe 2 28 38 3" xfId="16471"/>
    <cellStyle name="Dane wyjściowe 2 28 39" xfId="16472"/>
    <cellStyle name="Dane wyjściowe 2 28 39 2" xfId="16473"/>
    <cellStyle name="Dane wyjściowe 2 28 39 3" xfId="16474"/>
    <cellStyle name="Dane wyjściowe 2 28 4" xfId="16475"/>
    <cellStyle name="Dane wyjściowe 2 28 4 2" xfId="16476"/>
    <cellStyle name="Dane wyjściowe 2 28 4 3" xfId="16477"/>
    <cellStyle name="Dane wyjściowe 2 28 4 4" xfId="16478"/>
    <cellStyle name="Dane wyjściowe 2 28 40" xfId="16479"/>
    <cellStyle name="Dane wyjściowe 2 28 40 2" xfId="16480"/>
    <cellStyle name="Dane wyjściowe 2 28 40 3" xfId="16481"/>
    <cellStyle name="Dane wyjściowe 2 28 41" xfId="16482"/>
    <cellStyle name="Dane wyjściowe 2 28 41 2" xfId="16483"/>
    <cellStyle name="Dane wyjściowe 2 28 41 3" xfId="16484"/>
    <cellStyle name="Dane wyjściowe 2 28 42" xfId="16485"/>
    <cellStyle name="Dane wyjściowe 2 28 42 2" xfId="16486"/>
    <cellStyle name="Dane wyjściowe 2 28 42 3" xfId="16487"/>
    <cellStyle name="Dane wyjściowe 2 28 43" xfId="16488"/>
    <cellStyle name="Dane wyjściowe 2 28 43 2" xfId="16489"/>
    <cellStyle name="Dane wyjściowe 2 28 43 3" xfId="16490"/>
    <cellStyle name="Dane wyjściowe 2 28 44" xfId="16491"/>
    <cellStyle name="Dane wyjściowe 2 28 44 2" xfId="16492"/>
    <cellStyle name="Dane wyjściowe 2 28 44 3" xfId="16493"/>
    <cellStyle name="Dane wyjściowe 2 28 45" xfId="16494"/>
    <cellStyle name="Dane wyjściowe 2 28 45 2" xfId="16495"/>
    <cellStyle name="Dane wyjściowe 2 28 45 3" xfId="16496"/>
    <cellStyle name="Dane wyjściowe 2 28 46" xfId="16497"/>
    <cellStyle name="Dane wyjściowe 2 28 46 2" xfId="16498"/>
    <cellStyle name="Dane wyjściowe 2 28 46 3" xfId="16499"/>
    <cellStyle name="Dane wyjściowe 2 28 47" xfId="16500"/>
    <cellStyle name="Dane wyjściowe 2 28 47 2" xfId="16501"/>
    <cellStyle name="Dane wyjściowe 2 28 47 3" xfId="16502"/>
    <cellStyle name="Dane wyjściowe 2 28 48" xfId="16503"/>
    <cellStyle name="Dane wyjściowe 2 28 48 2" xfId="16504"/>
    <cellStyle name="Dane wyjściowe 2 28 48 3" xfId="16505"/>
    <cellStyle name="Dane wyjściowe 2 28 49" xfId="16506"/>
    <cellStyle name="Dane wyjściowe 2 28 49 2" xfId="16507"/>
    <cellStyle name="Dane wyjściowe 2 28 49 3" xfId="16508"/>
    <cellStyle name="Dane wyjściowe 2 28 5" xfId="16509"/>
    <cellStyle name="Dane wyjściowe 2 28 5 2" xfId="16510"/>
    <cellStyle name="Dane wyjściowe 2 28 5 3" xfId="16511"/>
    <cellStyle name="Dane wyjściowe 2 28 5 4" xfId="16512"/>
    <cellStyle name="Dane wyjściowe 2 28 50" xfId="16513"/>
    <cellStyle name="Dane wyjściowe 2 28 50 2" xfId="16514"/>
    <cellStyle name="Dane wyjściowe 2 28 50 3" xfId="16515"/>
    <cellStyle name="Dane wyjściowe 2 28 51" xfId="16516"/>
    <cellStyle name="Dane wyjściowe 2 28 51 2" xfId="16517"/>
    <cellStyle name="Dane wyjściowe 2 28 51 3" xfId="16518"/>
    <cellStyle name="Dane wyjściowe 2 28 52" xfId="16519"/>
    <cellStyle name="Dane wyjściowe 2 28 52 2" xfId="16520"/>
    <cellStyle name="Dane wyjściowe 2 28 52 3" xfId="16521"/>
    <cellStyle name="Dane wyjściowe 2 28 53" xfId="16522"/>
    <cellStyle name="Dane wyjściowe 2 28 53 2" xfId="16523"/>
    <cellStyle name="Dane wyjściowe 2 28 53 3" xfId="16524"/>
    <cellStyle name="Dane wyjściowe 2 28 54" xfId="16525"/>
    <cellStyle name="Dane wyjściowe 2 28 54 2" xfId="16526"/>
    <cellStyle name="Dane wyjściowe 2 28 54 3" xfId="16527"/>
    <cellStyle name="Dane wyjściowe 2 28 55" xfId="16528"/>
    <cellStyle name="Dane wyjściowe 2 28 55 2" xfId="16529"/>
    <cellStyle name="Dane wyjściowe 2 28 55 3" xfId="16530"/>
    <cellStyle name="Dane wyjściowe 2 28 56" xfId="16531"/>
    <cellStyle name="Dane wyjściowe 2 28 56 2" xfId="16532"/>
    <cellStyle name="Dane wyjściowe 2 28 56 3" xfId="16533"/>
    <cellStyle name="Dane wyjściowe 2 28 57" xfId="16534"/>
    <cellStyle name="Dane wyjściowe 2 28 58" xfId="16535"/>
    <cellStyle name="Dane wyjściowe 2 28 6" xfId="16536"/>
    <cellStyle name="Dane wyjściowe 2 28 6 2" xfId="16537"/>
    <cellStyle name="Dane wyjściowe 2 28 6 3" xfId="16538"/>
    <cellStyle name="Dane wyjściowe 2 28 6 4" xfId="16539"/>
    <cellStyle name="Dane wyjściowe 2 28 7" xfId="16540"/>
    <cellStyle name="Dane wyjściowe 2 28 7 2" xfId="16541"/>
    <cellStyle name="Dane wyjściowe 2 28 7 3" xfId="16542"/>
    <cellStyle name="Dane wyjściowe 2 28 7 4" xfId="16543"/>
    <cellStyle name="Dane wyjściowe 2 28 8" xfId="16544"/>
    <cellStyle name="Dane wyjściowe 2 28 8 2" xfId="16545"/>
    <cellStyle name="Dane wyjściowe 2 28 8 3" xfId="16546"/>
    <cellStyle name="Dane wyjściowe 2 28 8 4" xfId="16547"/>
    <cellStyle name="Dane wyjściowe 2 28 9" xfId="16548"/>
    <cellStyle name="Dane wyjściowe 2 28 9 2" xfId="16549"/>
    <cellStyle name="Dane wyjściowe 2 28 9 3" xfId="16550"/>
    <cellStyle name="Dane wyjściowe 2 28 9 4" xfId="16551"/>
    <cellStyle name="Dane wyjściowe 2 29" xfId="16552"/>
    <cellStyle name="Dane wyjściowe 2 29 2" xfId="16553"/>
    <cellStyle name="Dane wyjściowe 2 29 3" xfId="16554"/>
    <cellStyle name="Dane wyjściowe 2 29 4" xfId="16555"/>
    <cellStyle name="Dane wyjściowe 2 3" xfId="16556"/>
    <cellStyle name="Dane wyjściowe 2 3 10" xfId="16557"/>
    <cellStyle name="Dane wyjściowe 2 3 10 2" xfId="16558"/>
    <cellStyle name="Dane wyjściowe 2 3 10 3" xfId="16559"/>
    <cellStyle name="Dane wyjściowe 2 3 10 4" xfId="16560"/>
    <cellStyle name="Dane wyjściowe 2 3 11" xfId="16561"/>
    <cellStyle name="Dane wyjściowe 2 3 11 2" xfId="16562"/>
    <cellStyle name="Dane wyjściowe 2 3 11 3" xfId="16563"/>
    <cellStyle name="Dane wyjściowe 2 3 11 4" xfId="16564"/>
    <cellStyle name="Dane wyjściowe 2 3 12" xfId="16565"/>
    <cellStyle name="Dane wyjściowe 2 3 12 2" xfId="16566"/>
    <cellStyle name="Dane wyjściowe 2 3 12 3" xfId="16567"/>
    <cellStyle name="Dane wyjściowe 2 3 12 4" xfId="16568"/>
    <cellStyle name="Dane wyjściowe 2 3 13" xfId="16569"/>
    <cellStyle name="Dane wyjściowe 2 3 13 2" xfId="16570"/>
    <cellStyle name="Dane wyjściowe 2 3 13 3" xfId="16571"/>
    <cellStyle name="Dane wyjściowe 2 3 13 4" xfId="16572"/>
    <cellStyle name="Dane wyjściowe 2 3 14" xfId="16573"/>
    <cellStyle name="Dane wyjściowe 2 3 14 2" xfId="16574"/>
    <cellStyle name="Dane wyjściowe 2 3 14 3" xfId="16575"/>
    <cellStyle name="Dane wyjściowe 2 3 14 4" xfId="16576"/>
    <cellStyle name="Dane wyjściowe 2 3 15" xfId="16577"/>
    <cellStyle name="Dane wyjściowe 2 3 15 2" xfId="16578"/>
    <cellStyle name="Dane wyjściowe 2 3 15 3" xfId="16579"/>
    <cellStyle name="Dane wyjściowe 2 3 15 4" xfId="16580"/>
    <cellStyle name="Dane wyjściowe 2 3 16" xfId="16581"/>
    <cellStyle name="Dane wyjściowe 2 3 16 2" xfId="16582"/>
    <cellStyle name="Dane wyjściowe 2 3 16 3" xfId="16583"/>
    <cellStyle name="Dane wyjściowe 2 3 16 4" xfId="16584"/>
    <cellStyle name="Dane wyjściowe 2 3 17" xfId="16585"/>
    <cellStyle name="Dane wyjściowe 2 3 17 2" xfId="16586"/>
    <cellStyle name="Dane wyjściowe 2 3 17 3" xfId="16587"/>
    <cellStyle name="Dane wyjściowe 2 3 17 4" xfId="16588"/>
    <cellStyle name="Dane wyjściowe 2 3 18" xfId="16589"/>
    <cellStyle name="Dane wyjściowe 2 3 18 2" xfId="16590"/>
    <cellStyle name="Dane wyjściowe 2 3 18 3" xfId="16591"/>
    <cellStyle name="Dane wyjściowe 2 3 18 4" xfId="16592"/>
    <cellStyle name="Dane wyjściowe 2 3 19" xfId="16593"/>
    <cellStyle name="Dane wyjściowe 2 3 19 2" xfId="16594"/>
    <cellStyle name="Dane wyjściowe 2 3 19 3" xfId="16595"/>
    <cellStyle name="Dane wyjściowe 2 3 19 4" xfId="16596"/>
    <cellStyle name="Dane wyjściowe 2 3 2" xfId="16597"/>
    <cellStyle name="Dane wyjściowe 2 3 2 2" xfId="16598"/>
    <cellStyle name="Dane wyjściowe 2 3 2 3" xfId="16599"/>
    <cellStyle name="Dane wyjściowe 2 3 2 4" xfId="16600"/>
    <cellStyle name="Dane wyjściowe 2 3 20" xfId="16601"/>
    <cellStyle name="Dane wyjściowe 2 3 20 2" xfId="16602"/>
    <cellStyle name="Dane wyjściowe 2 3 20 3" xfId="16603"/>
    <cellStyle name="Dane wyjściowe 2 3 20 4" xfId="16604"/>
    <cellStyle name="Dane wyjściowe 2 3 21" xfId="16605"/>
    <cellStyle name="Dane wyjściowe 2 3 21 2" xfId="16606"/>
    <cellStyle name="Dane wyjściowe 2 3 21 3" xfId="16607"/>
    <cellStyle name="Dane wyjściowe 2 3 22" xfId="16608"/>
    <cellStyle name="Dane wyjściowe 2 3 22 2" xfId="16609"/>
    <cellStyle name="Dane wyjściowe 2 3 22 3" xfId="16610"/>
    <cellStyle name="Dane wyjściowe 2 3 23" xfId="16611"/>
    <cellStyle name="Dane wyjściowe 2 3 23 2" xfId="16612"/>
    <cellStyle name="Dane wyjściowe 2 3 23 3" xfId="16613"/>
    <cellStyle name="Dane wyjściowe 2 3 24" xfId="16614"/>
    <cellStyle name="Dane wyjściowe 2 3 24 2" xfId="16615"/>
    <cellStyle name="Dane wyjściowe 2 3 24 3" xfId="16616"/>
    <cellStyle name="Dane wyjściowe 2 3 25" xfId="16617"/>
    <cellStyle name="Dane wyjściowe 2 3 25 2" xfId="16618"/>
    <cellStyle name="Dane wyjściowe 2 3 25 3" xfId="16619"/>
    <cellStyle name="Dane wyjściowe 2 3 26" xfId="16620"/>
    <cellStyle name="Dane wyjściowe 2 3 26 2" xfId="16621"/>
    <cellStyle name="Dane wyjściowe 2 3 26 3" xfId="16622"/>
    <cellStyle name="Dane wyjściowe 2 3 27" xfId="16623"/>
    <cellStyle name="Dane wyjściowe 2 3 27 2" xfId="16624"/>
    <cellStyle name="Dane wyjściowe 2 3 27 3" xfId="16625"/>
    <cellStyle name="Dane wyjściowe 2 3 28" xfId="16626"/>
    <cellStyle name="Dane wyjściowe 2 3 28 2" xfId="16627"/>
    <cellStyle name="Dane wyjściowe 2 3 28 3" xfId="16628"/>
    <cellStyle name="Dane wyjściowe 2 3 29" xfId="16629"/>
    <cellStyle name="Dane wyjściowe 2 3 29 2" xfId="16630"/>
    <cellStyle name="Dane wyjściowe 2 3 29 3" xfId="16631"/>
    <cellStyle name="Dane wyjściowe 2 3 3" xfId="16632"/>
    <cellStyle name="Dane wyjściowe 2 3 3 2" xfId="16633"/>
    <cellStyle name="Dane wyjściowe 2 3 3 3" xfId="16634"/>
    <cellStyle name="Dane wyjściowe 2 3 3 4" xfId="16635"/>
    <cellStyle name="Dane wyjściowe 2 3 30" xfId="16636"/>
    <cellStyle name="Dane wyjściowe 2 3 30 2" xfId="16637"/>
    <cellStyle name="Dane wyjściowe 2 3 30 3" xfId="16638"/>
    <cellStyle name="Dane wyjściowe 2 3 31" xfId="16639"/>
    <cellStyle name="Dane wyjściowe 2 3 31 2" xfId="16640"/>
    <cellStyle name="Dane wyjściowe 2 3 31 3" xfId="16641"/>
    <cellStyle name="Dane wyjściowe 2 3 32" xfId="16642"/>
    <cellStyle name="Dane wyjściowe 2 3 32 2" xfId="16643"/>
    <cellStyle name="Dane wyjściowe 2 3 32 3" xfId="16644"/>
    <cellStyle name="Dane wyjściowe 2 3 33" xfId="16645"/>
    <cellStyle name="Dane wyjściowe 2 3 33 2" xfId="16646"/>
    <cellStyle name="Dane wyjściowe 2 3 33 3" xfId="16647"/>
    <cellStyle name="Dane wyjściowe 2 3 34" xfId="16648"/>
    <cellStyle name="Dane wyjściowe 2 3 34 2" xfId="16649"/>
    <cellStyle name="Dane wyjściowe 2 3 34 3" xfId="16650"/>
    <cellStyle name="Dane wyjściowe 2 3 35" xfId="16651"/>
    <cellStyle name="Dane wyjściowe 2 3 35 2" xfId="16652"/>
    <cellStyle name="Dane wyjściowe 2 3 35 3" xfId="16653"/>
    <cellStyle name="Dane wyjściowe 2 3 36" xfId="16654"/>
    <cellStyle name="Dane wyjściowe 2 3 36 2" xfId="16655"/>
    <cellStyle name="Dane wyjściowe 2 3 36 3" xfId="16656"/>
    <cellStyle name="Dane wyjściowe 2 3 37" xfId="16657"/>
    <cellStyle name="Dane wyjściowe 2 3 37 2" xfId="16658"/>
    <cellStyle name="Dane wyjściowe 2 3 37 3" xfId="16659"/>
    <cellStyle name="Dane wyjściowe 2 3 38" xfId="16660"/>
    <cellStyle name="Dane wyjściowe 2 3 38 2" xfId="16661"/>
    <cellStyle name="Dane wyjściowe 2 3 38 3" xfId="16662"/>
    <cellStyle name="Dane wyjściowe 2 3 39" xfId="16663"/>
    <cellStyle name="Dane wyjściowe 2 3 39 2" xfId="16664"/>
    <cellStyle name="Dane wyjściowe 2 3 39 3" xfId="16665"/>
    <cellStyle name="Dane wyjściowe 2 3 4" xfId="16666"/>
    <cellStyle name="Dane wyjściowe 2 3 4 2" xfId="16667"/>
    <cellStyle name="Dane wyjściowe 2 3 4 3" xfId="16668"/>
    <cellStyle name="Dane wyjściowe 2 3 4 4" xfId="16669"/>
    <cellStyle name="Dane wyjściowe 2 3 40" xfId="16670"/>
    <cellStyle name="Dane wyjściowe 2 3 40 2" xfId="16671"/>
    <cellStyle name="Dane wyjściowe 2 3 40 3" xfId="16672"/>
    <cellStyle name="Dane wyjściowe 2 3 41" xfId="16673"/>
    <cellStyle name="Dane wyjściowe 2 3 41 2" xfId="16674"/>
    <cellStyle name="Dane wyjściowe 2 3 41 3" xfId="16675"/>
    <cellStyle name="Dane wyjściowe 2 3 42" xfId="16676"/>
    <cellStyle name="Dane wyjściowe 2 3 42 2" xfId="16677"/>
    <cellStyle name="Dane wyjściowe 2 3 42 3" xfId="16678"/>
    <cellStyle name="Dane wyjściowe 2 3 43" xfId="16679"/>
    <cellStyle name="Dane wyjściowe 2 3 43 2" xfId="16680"/>
    <cellStyle name="Dane wyjściowe 2 3 43 3" xfId="16681"/>
    <cellStyle name="Dane wyjściowe 2 3 44" xfId="16682"/>
    <cellStyle name="Dane wyjściowe 2 3 44 2" xfId="16683"/>
    <cellStyle name="Dane wyjściowe 2 3 44 3" xfId="16684"/>
    <cellStyle name="Dane wyjściowe 2 3 45" xfId="16685"/>
    <cellStyle name="Dane wyjściowe 2 3 45 2" xfId="16686"/>
    <cellStyle name="Dane wyjściowe 2 3 45 3" xfId="16687"/>
    <cellStyle name="Dane wyjściowe 2 3 46" xfId="16688"/>
    <cellStyle name="Dane wyjściowe 2 3 46 2" xfId="16689"/>
    <cellStyle name="Dane wyjściowe 2 3 46 3" xfId="16690"/>
    <cellStyle name="Dane wyjściowe 2 3 47" xfId="16691"/>
    <cellStyle name="Dane wyjściowe 2 3 47 2" xfId="16692"/>
    <cellStyle name="Dane wyjściowe 2 3 47 3" xfId="16693"/>
    <cellStyle name="Dane wyjściowe 2 3 48" xfId="16694"/>
    <cellStyle name="Dane wyjściowe 2 3 48 2" xfId="16695"/>
    <cellStyle name="Dane wyjściowe 2 3 48 3" xfId="16696"/>
    <cellStyle name="Dane wyjściowe 2 3 49" xfId="16697"/>
    <cellStyle name="Dane wyjściowe 2 3 49 2" xfId="16698"/>
    <cellStyle name="Dane wyjściowe 2 3 49 3" xfId="16699"/>
    <cellStyle name="Dane wyjściowe 2 3 5" xfId="16700"/>
    <cellStyle name="Dane wyjściowe 2 3 5 2" xfId="16701"/>
    <cellStyle name="Dane wyjściowe 2 3 5 3" xfId="16702"/>
    <cellStyle name="Dane wyjściowe 2 3 5 4" xfId="16703"/>
    <cellStyle name="Dane wyjściowe 2 3 50" xfId="16704"/>
    <cellStyle name="Dane wyjściowe 2 3 50 2" xfId="16705"/>
    <cellStyle name="Dane wyjściowe 2 3 50 3" xfId="16706"/>
    <cellStyle name="Dane wyjściowe 2 3 51" xfId="16707"/>
    <cellStyle name="Dane wyjściowe 2 3 51 2" xfId="16708"/>
    <cellStyle name="Dane wyjściowe 2 3 51 3" xfId="16709"/>
    <cellStyle name="Dane wyjściowe 2 3 52" xfId="16710"/>
    <cellStyle name="Dane wyjściowe 2 3 52 2" xfId="16711"/>
    <cellStyle name="Dane wyjściowe 2 3 52 3" xfId="16712"/>
    <cellStyle name="Dane wyjściowe 2 3 53" xfId="16713"/>
    <cellStyle name="Dane wyjściowe 2 3 53 2" xfId="16714"/>
    <cellStyle name="Dane wyjściowe 2 3 53 3" xfId="16715"/>
    <cellStyle name="Dane wyjściowe 2 3 54" xfId="16716"/>
    <cellStyle name="Dane wyjściowe 2 3 54 2" xfId="16717"/>
    <cellStyle name="Dane wyjściowe 2 3 54 3" xfId="16718"/>
    <cellStyle name="Dane wyjściowe 2 3 55" xfId="16719"/>
    <cellStyle name="Dane wyjściowe 2 3 55 2" xfId="16720"/>
    <cellStyle name="Dane wyjściowe 2 3 55 3" xfId="16721"/>
    <cellStyle name="Dane wyjściowe 2 3 56" xfId="16722"/>
    <cellStyle name="Dane wyjściowe 2 3 56 2" xfId="16723"/>
    <cellStyle name="Dane wyjściowe 2 3 56 3" xfId="16724"/>
    <cellStyle name="Dane wyjściowe 2 3 57" xfId="16725"/>
    <cellStyle name="Dane wyjściowe 2 3 58" xfId="16726"/>
    <cellStyle name="Dane wyjściowe 2 3 6" xfId="16727"/>
    <cellStyle name="Dane wyjściowe 2 3 6 2" xfId="16728"/>
    <cellStyle name="Dane wyjściowe 2 3 6 3" xfId="16729"/>
    <cellStyle name="Dane wyjściowe 2 3 6 4" xfId="16730"/>
    <cellStyle name="Dane wyjściowe 2 3 7" xfId="16731"/>
    <cellStyle name="Dane wyjściowe 2 3 7 2" xfId="16732"/>
    <cellStyle name="Dane wyjściowe 2 3 7 3" xfId="16733"/>
    <cellStyle name="Dane wyjściowe 2 3 7 4" xfId="16734"/>
    <cellStyle name="Dane wyjściowe 2 3 8" xfId="16735"/>
    <cellStyle name="Dane wyjściowe 2 3 8 2" xfId="16736"/>
    <cellStyle name="Dane wyjściowe 2 3 8 3" xfId="16737"/>
    <cellStyle name="Dane wyjściowe 2 3 8 4" xfId="16738"/>
    <cellStyle name="Dane wyjściowe 2 3 9" xfId="16739"/>
    <cellStyle name="Dane wyjściowe 2 3 9 2" xfId="16740"/>
    <cellStyle name="Dane wyjściowe 2 3 9 3" xfId="16741"/>
    <cellStyle name="Dane wyjściowe 2 3 9 4" xfId="16742"/>
    <cellStyle name="Dane wyjściowe 2 30" xfId="16743"/>
    <cellStyle name="Dane wyjściowe 2 30 2" xfId="16744"/>
    <cellStyle name="Dane wyjściowe 2 30 3" xfId="16745"/>
    <cellStyle name="Dane wyjściowe 2 30 4" xfId="16746"/>
    <cellStyle name="Dane wyjściowe 2 31" xfId="16747"/>
    <cellStyle name="Dane wyjściowe 2 31 2" xfId="16748"/>
    <cellStyle name="Dane wyjściowe 2 31 3" xfId="16749"/>
    <cellStyle name="Dane wyjściowe 2 31 4" xfId="16750"/>
    <cellStyle name="Dane wyjściowe 2 32" xfId="16751"/>
    <cellStyle name="Dane wyjściowe 2 32 2" xfId="16752"/>
    <cellStyle name="Dane wyjściowe 2 32 3" xfId="16753"/>
    <cellStyle name="Dane wyjściowe 2 32 4" xfId="16754"/>
    <cellStyle name="Dane wyjściowe 2 33" xfId="16755"/>
    <cellStyle name="Dane wyjściowe 2 33 2" xfId="16756"/>
    <cellStyle name="Dane wyjściowe 2 33 3" xfId="16757"/>
    <cellStyle name="Dane wyjściowe 2 33 4" xfId="16758"/>
    <cellStyle name="Dane wyjściowe 2 34" xfId="16759"/>
    <cellStyle name="Dane wyjściowe 2 34 2" xfId="16760"/>
    <cellStyle name="Dane wyjściowe 2 34 3" xfId="16761"/>
    <cellStyle name="Dane wyjściowe 2 34 4" xfId="16762"/>
    <cellStyle name="Dane wyjściowe 2 35" xfId="16763"/>
    <cellStyle name="Dane wyjściowe 2 35 2" xfId="16764"/>
    <cellStyle name="Dane wyjściowe 2 35 3" xfId="16765"/>
    <cellStyle name="Dane wyjściowe 2 35 4" xfId="16766"/>
    <cellStyle name="Dane wyjściowe 2 36" xfId="16767"/>
    <cellStyle name="Dane wyjściowe 2 36 2" xfId="16768"/>
    <cellStyle name="Dane wyjściowe 2 36 3" xfId="16769"/>
    <cellStyle name="Dane wyjściowe 2 36 4" xfId="16770"/>
    <cellStyle name="Dane wyjściowe 2 37" xfId="16771"/>
    <cellStyle name="Dane wyjściowe 2 37 2" xfId="16772"/>
    <cellStyle name="Dane wyjściowe 2 37 3" xfId="16773"/>
    <cellStyle name="Dane wyjściowe 2 37 4" xfId="16774"/>
    <cellStyle name="Dane wyjściowe 2 38" xfId="16775"/>
    <cellStyle name="Dane wyjściowe 2 38 2" xfId="16776"/>
    <cellStyle name="Dane wyjściowe 2 38 3" xfId="16777"/>
    <cellStyle name="Dane wyjściowe 2 38 4" xfId="16778"/>
    <cellStyle name="Dane wyjściowe 2 39" xfId="16779"/>
    <cellStyle name="Dane wyjściowe 2 39 2" xfId="16780"/>
    <cellStyle name="Dane wyjściowe 2 39 3" xfId="16781"/>
    <cellStyle name="Dane wyjściowe 2 39 4" xfId="16782"/>
    <cellStyle name="Dane wyjściowe 2 4" xfId="16783"/>
    <cellStyle name="Dane wyjściowe 2 4 10" xfId="16784"/>
    <cellStyle name="Dane wyjściowe 2 4 10 2" xfId="16785"/>
    <cellStyle name="Dane wyjściowe 2 4 10 3" xfId="16786"/>
    <cellStyle name="Dane wyjściowe 2 4 10 4" xfId="16787"/>
    <cellStyle name="Dane wyjściowe 2 4 11" xfId="16788"/>
    <cellStyle name="Dane wyjściowe 2 4 11 2" xfId="16789"/>
    <cellStyle name="Dane wyjściowe 2 4 11 3" xfId="16790"/>
    <cellStyle name="Dane wyjściowe 2 4 11 4" xfId="16791"/>
    <cellStyle name="Dane wyjściowe 2 4 12" xfId="16792"/>
    <cellStyle name="Dane wyjściowe 2 4 12 2" xfId="16793"/>
    <cellStyle name="Dane wyjściowe 2 4 12 3" xfId="16794"/>
    <cellStyle name="Dane wyjściowe 2 4 12 4" xfId="16795"/>
    <cellStyle name="Dane wyjściowe 2 4 13" xfId="16796"/>
    <cellStyle name="Dane wyjściowe 2 4 13 2" xfId="16797"/>
    <cellStyle name="Dane wyjściowe 2 4 13 3" xfId="16798"/>
    <cellStyle name="Dane wyjściowe 2 4 13 4" xfId="16799"/>
    <cellStyle name="Dane wyjściowe 2 4 14" xfId="16800"/>
    <cellStyle name="Dane wyjściowe 2 4 14 2" xfId="16801"/>
    <cellStyle name="Dane wyjściowe 2 4 14 3" xfId="16802"/>
    <cellStyle name="Dane wyjściowe 2 4 14 4" xfId="16803"/>
    <cellStyle name="Dane wyjściowe 2 4 15" xfId="16804"/>
    <cellStyle name="Dane wyjściowe 2 4 15 2" xfId="16805"/>
    <cellStyle name="Dane wyjściowe 2 4 15 3" xfId="16806"/>
    <cellStyle name="Dane wyjściowe 2 4 15 4" xfId="16807"/>
    <cellStyle name="Dane wyjściowe 2 4 16" xfId="16808"/>
    <cellStyle name="Dane wyjściowe 2 4 16 2" xfId="16809"/>
    <cellStyle name="Dane wyjściowe 2 4 16 3" xfId="16810"/>
    <cellStyle name="Dane wyjściowe 2 4 16 4" xfId="16811"/>
    <cellStyle name="Dane wyjściowe 2 4 17" xfId="16812"/>
    <cellStyle name="Dane wyjściowe 2 4 17 2" xfId="16813"/>
    <cellStyle name="Dane wyjściowe 2 4 17 3" xfId="16814"/>
    <cellStyle name="Dane wyjściowe 2 4 17 4" xfId="16815"/>
    <cellStyle name="Dane wyjściowe 2 4 18" xfId="16816"/>
    <cellStyle name="Dane wyjściowe 2 4 18 2" xfId="16817"/>
    <cellStyle name="Dane wyjściowe 2 4 18 3" xfId="16818"/>
    <cellStyle name="Dane wyjściowe 2 4 18 4" xfId="16819"/>
    <cellStyle name="Dane wyjściowe 2 4 19" xfId="16820"/>
    <cellStyle name="Dane wyjściowe 2 4 19 2" xfId="16821"/>
    <cellStyle name="Dane wyjściowe 2 4 19 3" xfId="16822"/>
    <cellStyle name="Dane wyjściowe 2 4 19 4" xfId="16823"/>
    <cellStyle name="Dane wyjściowe 2 4 2" xfId="16824"/>
    <cellStyle name="Dane wyjściowe 2 4 2 2" xfId="16825"/>
    <cellStyle name="Dane wyjściowe 2 4 2 3" xfId="16826"/>
    <cellStyle name="Dane wyjściowe 2 4 2 4" xfId="16827"/>
    <cellStyle name="Dane wyjściowe 2 4 20" xfId="16828"/>
    <cellStyle name="Dane wyjściowe 2 4 20 2" xfId="16829"/>
    <cellStyle name="Dane wyjściowe 2 4 20 3" xfId="16830"/>
    <cellStyle name="Dane wyjściowe 2 4 20 4" xfId="16831"/>
    <cellStyle name="Dane wyjściowe 2 4 21" xfId="16832"/>
    <cellStyle name="Dane wyjściowe 2 4 21 2" xfId="16833"/>
    <cellStyle name="Dane wyjściowe 2 4 21 3" xfId="16834"/>
    <cellStyle name="Dane wyjściowe 2 4 22" xfId="16835"/>
    <cellStyle name="Dane wyjściowe 2 4 22 2" xfId="16836"/>
    <cellStyle name="Dane wyjściowe 2 4 22 3" xfId="16837"/>
    <cellStyle name="Dane wyjściowe 2 4 23" xfId="16838"/>
    <cellStyle name="Dane wyjściowe 2 4 23 2" xfId="16839"/>
    <cellStyle name="Dane wyjściowe 2 4 23 3" xfId="16840"/>
    <cellStyle name="Dane wyjściowe 2 4 24" xfId="16841"/>
    <cellStyle name="Dane wyjściowe 2 4 24 2" xfId="16842"/>
    <cellStyle name="Dane wyjściowe 2 4 24 3" xfId="16843"/>
    <cellStyle name="Dane wyjściowe 2 4 25" xfId="16844"/>
    <cellStyle name="Dane wyjściowe 2 4 25 2" xfId="16845"/>
    <cellStyle name="Dane wyjściowe 2 4 25 3" xfId="16846"/>
    <cellStyle name="Dane wyjściowe 2 4 26" xfId="16847"/>
    <cellStyle name="Dane wyjściowe 2 4 26 2" xfId="16848"/>
    <cellStyle name="Dane wyjściowe 2 4 26 3" xfId="16849"/>
    <cellStyle name="Dane wyjściowe 2 4 27" xfId="16850"/>
    <cellStyle name="Dane wyjściowe 2 4 27 2" xfId="16851"/>
    <cellStyle name="Dane wyjściowe 2 4 27 3" xfId="16852"/>
    <cellStyle name="Dane wyjściowe 2 4 28" xfId="16853"/>
    <cellStyle name="Dane wyjściowe 2 4 28 2" xfId="16854"/>
    <cellStyle name="Dane wyjściowe 2 4 28 3" xfId="16855"/>
    <cellStyle name="Dane wyjściowe 2 4 29" xfId="16856"/>
    <cellStyle name="Dane wyjściowe 2 4 29 2" xfId="16857"/>
    <cellStyle name="Dane wyjściowe 2 4 29 3" xfId="16858"/>
    <cellStyle name="Dane wyjściowe 2 4 3" xfId="16859"/>
    <cellStyle name="Dane wyjściowe 2 4 3 2" xfId="16860"/>
    <cellStyle name="Dane wyjściowe 2 4 3 3" xfId="16861"/>
    <cellStyle name="Dane wyjściowe 2 4 3 4" xfId="16862"/>
    <cellStyle name="Dane wyjściowe 2 4 30" xfId="16863"/>
    <cellStyle name="Dane wyjściowe 2 4 30 2" xfId="16864"/>
    <cellStyle name="Dane wyjściowe 2 4 30 3" xfId="16865"/>
    <cellStyle name="Dane wyjściowe 2 4 31" xfId="16866"/>
    <cellStyle name="Dane wyjściowe 2 4 31 2" xfId="16867"/>
    <cellStyle name="Dane wyjściowe 2 4 31 3" xfId="16868"/>
    <cellStyle name="Dane wyjściowe 2 4 32" xfId="16869"/>
    <cellStyle name="Dane wyjściowe 2 4 32 2" xfId="16870"/>
    <cellStyle name="Dane wyjściowe 2 4 32 3" xfId="16871"/>
    <cellStyle name="Dane wyjściowe 2 4 33" xfId="16872"/>
    <cellStyle name="Dane wyjściowe 2 4 33 2" xfId="16873"/>
    <cellStyle name="Dane wyjściowe 2 4 33 3" xfId="16874"/>
    <cellStyle name="Dane wyjściowe 2 4 34" xfId="16875"/>
    <cellStyle name="Dane wyjściowe 2 4 34 2" xfId="16876"/>
    <cellStyle name="Dane wyjściowe 2 4 34 3" xfId="16877"/>
    <cellStyle name="Dane wyjściowe 2 4 35" xfId="16878"/>
    <cellStyle name="Dane wyjściowe 2 4 35 2" xfId="16879"/>
    <cellStyle name="Dane wyjściowe 2 4 35 3" xfId="16880"/>
    <cellStyle name="Dane wyjściowe 2 4 36" xfId="16881"/>
    <cellStyle name="Dane wyjściowe 2 4 36 2" xfId="16882"/>
    <cellStyle name="Dane wyjściowe 2 4 36 3" xfId="16883"/>
    <cellStyle name="Dane wyjściowe 2 4 37" xfId="16884"/>
    <cellStyle name="Dane wyjściowe 2 4 37 2" xfId="16885"/>
    <cellStyle name="Dane wyjściowe 2 4 37 3" xfId="16886"/>
    <cellStyle name="Dane wyjściowe 2 4 38" xfId="16887"/>
    <cellStyle name="Dane wyjściowe 2 4 38 2" xfId="16888"/>
    <cellStyle name="Dane wyjściowe 2 4 38 3" xfId="16889"/>
    <cellStyle name="Dane wyjściowe 2 4 39" xfId="16890"/>
    <cellStyle name="Dane wyjściowe 2 4 39 2" xfId="16891"/>
    <cellStyle name="Dane wyjściowe 2 4 39 3" xfId="16892"/>
    <cellStyle name="Dane wyjściowe 2 4 4" xfId="16893"/>
    <cellStyle name="Dane wyjściowe 2 4 4 2" xfId="16894"/>
    <cellStyle name="Dane wyjściowe 2 4 4 3" xfId="16895"/>
    <cellStyle name="Dane wyjściowe 2 4 4 4" xfId="16896"/>
    <cellStyle name="Dane wyjściowe 2 4 40" xfId="16897"/>
    <cellStyle name="Dane wyjściowe 2 4 40 2" xfId="16898"/>
    <cellStyle name="Dane wyjściowe 2 4 40 3" xfId="16899"/>
    <cellStyle name="Dane wyjściowe 2 4 41" xfId="16900"/>
    <cellStyle name="Dane wyjściowe 2 4 41 2" xfId="16901"/>
    <cellStyle name="Dane wyjściowe 2 4 41 3" xfId="16902"/>
    <cellStyle name="Dane wyjściowe 2 4 42" xfId="16903"/>
    <cellStyle name="Dane wyjściowe 2 4 42 2" xfId="16904"/>
    <cellStyle name="Dane wyjściowe 2 4 42 3" xfId="16905"/>
    <cellStyle name="Dane wyjściowe 2 4 43" xfId="16906"/>
    <cellStyle name="Dane wyjściowe 2 4 43 2" xfId="16907"/>
    <cellStyle name="Dane wyjściowe 2 4 43 3" xfId="16908"/>
    <cellStyle name="Dane wyjściowe 2 4 44" xfId="16909"/>
    <cellStyle name="Dane wyjściowe 2 4 44 2" xfId="16910"/>
    <cellStyle name="Dane wyjściowe 2 4 44 3" xfId="16911"/>
    <cellStyle name="Dane wyjściowe 2 4 45" xfId="16912"/>
    <cellStyle name="Dane wyjściowe 2 4 45 2" xfId="16913"/>
    <cellStyle name="Dane wyjściowe 2 4 45 3" xfId="16914"/>
    <cellStyle name="Dane wyjściowe 2 4 46" xfId="16915"/>
    <cellStyle name="Dane wyjściowe 2 4 46 2" xfId="16916"/>
    <cellStyle name="Dane wyjściowe 2 4 46 3" xfId="16917"/>
    <cellStyle name="Dane wyjściowe 2 4 47" xfId="16918"/>
    <cellStyle name="Dane wyjściowe 2 4 47 2" xfId="16919"/>
    <cellStyle name="Dane wyjściowe 2 4 47 3" xfId="16920"/>
    <cellStyle name="Dane wyjściowe 2 4 48" xfId="16921"/>
    <cellStyle name="Dane wyjściowe 2 4 48 2" xfId="16922"/>
    <cellStyle name="Dane wyjściowe 2 4 48 3" xfId="16923"/>
    <cellStyle name="Dane wyjściowe 2 4 49" xfId="16924"/>
    <cellStyle name="Dane wyjściowe 2 4 49 2" xfId="16925"/>
    <cellStyle name="Dane wyjściowe 2 4 49 3" xfId="16926"/>
    <cellStyle name="Dane wyjściowe 2 4 5" xfId="16927"/>
    <cellStyle name="Dane wyjściowe 2 4 5 2" xfId="16928"/>
    <cellStyle name="Dane wyjściowe 2 4 5 3" xfId="16929"/>
    <cellStyle name="Dane wyjściowe 2 4 5 4" xfId="16930"/>
    <cellStyle name="Dane wyjściowe 2 4 50" xfId="16931"/>
    <cellStyle name="Dane wyjściowe 2 4 50 2" xfId="16932"/>
    <cellStyle name="Dane wyjściowe 2 4 50 3" xfId="16933"/>
    <cellStyle name="Dane wyjściowe 2 4 51" xfId="16934"/>
    <cellStyle name="Dane wyjściowe 2 4 51 2" xfId="16935"/>
    <cellStyle name="Dane wyjściowe 2 4 51 3" xfId="16936"/>
    <cellStyle name="Dane wyjściowe 2 4 52" xfId="16937"/>
    <cellStyle name="Dane wyjściowe 2 4 52 2" xfId="16938"/>
    <cellStyle name="Dane wyjściowe 2 4 52 3" xfId="16939"/>
    <cellStyle name="Dane wyjściowe 2 4 53" xfId="16940"/>
    <cellStyle name="Dane wyjściowe 2 4 53 2" xfId="16941"/>
    <cellStyle name="Dane wyjściowe 2 4 53 3" xfId="16942"/>
    <cellStyle name="Dane wyjściowe 2 4 54" xfId="16943"/>
    <cellStyle name="Dane wyjściowe 2 4 54 2" xfId="16944"/>
    <cellStyle name="Dane wyjściowe 2 4 54 3" xfId="16945"/>
    <cellStyle name="Dane wyjściowe 2 4 55" xfId="16946"/>
    <cellStyle name="Dane wyjściowe 2 4 55 2" xfId="16947"/>
    <cellStyle name="Dane wyjściowe 2 4 55 3" xfId="16948"/>
    <cellStyle name="Dane wyjściowe 2 4 56" xfId="16949"/>
    <cellStyle name="Dane wyjściowe 2 4 56 2" xfId="16950"/>
    <cellStyle name="Dane wyjściowe 2 4 56 3" xfId="16951"/>
    <cellStyle name="Dane wyjściowe 2 4 57" xfId="16952"/>
    <cellStyle name="Dane wyjściowe 2 4 58" xfId="16953"/>
    <cellStyle name="Dane wyjściowe 2 4 6" xfId="16954"/>
    <cellStyle name="Dane wyjściowe 2 4 6 2" xfId="16955"/>
    <cellStyle name="Dane wyjściowe 2 4 6 3" xfId="16956"/>
    <cellStyle name="Dane wyjściowe 2 4 6 4" xfId="16957"/>
    <cellStyle name="Dane wyjściowe 2 4 7" xfId="16958"/>
    <cellStyle name="Dane wyjściowe 2 4 7 2" xfId="16959"/>
    <cellStyle name="Dane wyjściowe 2 4 7 3" xfId="16960"/>
    <cellStyle name="Dane wyjściowe 2 4 7 4" xfId="16961"/>
    <cellStyle name="Dane wyjściowe 2 4 8" xfId="16962"/>
    <cellStyle name="Dane wyjściowe 2 4 8 2" xfId="16963"/>
    <cellStyle name="Dane wyjściowe 2 4 8 3" xfId="16964"/>
    <cellStyle name="Dane wyjściowe 2 4 8 4" xfId="16965"/>
    <cellStyle name="Dane wyjściowe 2 4 9" xfId="16966"/>
    <cellStyle name="Dane wyjściowe 2 4 9 2" xfId="16967"/>
    <cellStyle name="Dane wyjściowe 2 4 9 3" xfId="16968"/>
    <cellStyle name="Dane wyjściowe 2 4 9 4" xfId="16969"/>
    <cellStyle name="Dane wyjściowe 2 40" xfId="16970"/>
    <cellStyle name="Dane wyjściowe 2 40 2" xfId="16971"/>
    <cellStyle name="Dane wyjściowe 2 40 3" xfId="16972"/>
    <cellStyle name="Dane wyjściowe 2 40 4" xfId="16973"/>
    <cellStyle name="Dane wyjściowe 2 41" xfId="16974"/>
    <cellStyle name="Dane wyjściowe 2 41 2" xfId="16975"/>
    <cellStyle name="Dane wyjściowe 2 41 3" xfId="16976"/>
    <cellStyle name="Dane wyjściowe 2 41 4" xfId="16977"/>
    <cellStyle name="Dane wyjściowe 2 42" xfId="16978"/>
    <cellStyle name="Dane wyjściowe 2 42 2" xfId="16979"/>
    <cellStyle name="Dane wyjściowe 2 42 3" xfId="16980"/>
    <cellStyle name="Dane wyjściowe 2 42 4" xfId="16981"/>
    <cellStyle name="Dane wyjściowe 2 43" xfId="16982"/>
    <cellStyle name="Dane wyjściowe 2 43 2" xfId="16983"/>
    <cellStyle name="Dane wyjściowe 2 43 3" xfId="16984"/>
    <cellStyle name="Dane wyjściowe 2 43 4" xfId="16985"/>
    <cellStyle name="Dane wyjściowe 2 44" xfId="16986"/>
    <cellStyle name="Dane wyjściowe 2 44 2" xfId="16987"/>
    <cellStyle name="Dane wyjściowe 2 44 3" xfId="16988"/>
    <cellStyle name="Dane wyjściowe 2 44 4" xfId="16989"/>
    <cellStyle name="Dane wyjściowe 2 45" xfId="16990"/>
    <cellStyle name="Dane wyjściowe 2 45 2" xfId="16991"/>
    <cellStyle name="Dane wyjściowe 2 45 3" xfId="16992"/>
    <cellStyle name="Dane wyjściowe 2 45 4" xfId="16993"/>
    <cellStyle name="Dane wyjściowe 2 46" xfId="16994"/>
    <cellStyle name="Dane wyjściowe 2 46 2" xfId="16995"/>
    <cellStyle name="Dane wyjściowe 2 46 3" xfId="16996"/>
    <cellStyle name="Dane wyjściowe 2 46 4" xfId="16997"/>
    <cellStyle name="Dane wyjściowe 2 47" xfId="16998"/>
    <cellStyle name="Dane wyjściowe 2 47 2" xfId="16999"/>
    <cellStyle name="Dane wyjściowe 2 47 3" xfId="17000"/>
    <cellStyle name="Dane wyjściowe 2 47 4" xfId="17001"/>
    <cellStyle name="Dane wyjściowe 2 48" xfId="17002"/>
    <cellStyle name="Dane wyjściowe 2 48 2" xfId="17003"/>
    <cellStyle name="Dane wyjściowe 2 48 3" xfId="17004"/>
    <cellStyle name="Dane wyjściowe 2 48 4" xfId="17005"/>
    <cellStyle name="Dane wyjściowe 2 49" xfId="17006"/>
    <cellStyle name="Dane wyjściowe 2 49 2" xfId="17007"/>
    <cellStyle name="Dane wyjściowe 2 49 3" xfId="17008"/>
    <cellStyle name="Dane wyjściowe 2 49 4" xfId="17009"/>
    <cellStyle name="Dane wyjściowe 2 5" xfId="17010"/>
    <cellStyle name="Dane wyjściowe 2 5 10" xfId="17011"/>
    <cellStyle name="Dane wyjściowe 2 5 10 2" xfId="17012"/>
    <cellStyle name="Dane wyjściowe 2 5 10 3" xfId="17013"/>
    <cellStyle name="Dane wyjściowe 2 5 10 4" xfId="17014"/>
    <cellStyle name="Dane wyjściowe 2 5 11" xfId="17015"/>
    <cellStyle name="Dane wyjściowe 2 5 11 2" xfId="17016"/>
    <cellStyle name="Dane wyjściowe 2 5 11 3" xfId="17017"/>
    <cellStyle name="Dane wyjściowe 2 5 11 4" xfId="17018"/>
    <cellStyle name="Dane wyjściowe 2 5 12" xfId="17019"/>
    <cellStyle name="Dane wyjściowe 2 5 12 2" xfId="17020"/>
    <cellStyle name="Dane wyjściowe 2 5 12 3" xfId="17021"/>
    <cellStyle name="Dane wyjściowe 2 5 12 4" xfId="17022"/>
    <cellStyle name="Dane wyjściowe 2 5 13" xfId="17023"/>
    <cellStyle name="Dane wyjściowe 2 5 13 2" xfId="17024"/>
    <cellStyle name="Dane wyjściowe 2 5 13 3" xfId="17025"/>
    <cellStyle name="Dane wyjściowe 2 5 13 4" xfId="17026"/>
    <cellStyle name="Dane wyjściowe 2 5 14" xfId="17027"/>
    <cellStyle name="Dane wyjściowe 2 5 14 2" xfId="17028"/>
    <cellStyle name="Dane wyjściowe 2 5 14 3" xfId="17029"/>
    <cellStyle name="Dane wyjściowe 2 5 14 4" xfId="17030"/>
    <cellStyle name="Dane wyjściowe 2 5 15" xfId="17031"/>
    <cellStyle name="Dane wyjściowe 2 5 15 2" xfId="17032"/>
    <cellStyle name="Dane wyjściowe 2 5 15 3" xfId="17033"/>
    <cellStyle name="Dane wyjściowe 2 5 15 4" xfId="17034"/>
    <cellStyle name="Dane wyjściowe 2 5 16" xfId="17035"/>
    <cellStyle name="Dane wyjściowe 2 5 16 2" xfId="17036"/>
    <cellStyle name="Dane wyjściowe 2 5 16 3" xfId="17037"/>
    <cellStyle name="Dane wyjściowe 2 5 16 4" xfId="17038"/>
    <cellStyle name="Dane wyjściowe 2 5 17" xfId="17039"/>
    <cellStyle name="Dane wyjściowe 2 5 17 2" xfId="17040"/>
    <cellStyle name="Dane wyjściowe 2 5 17 3" xfId="17041"/>
    <cellStyle name="Dane wyjściowe 2 5 17 4" xfId="17042"/>
    <cellStyle name="Dane wyjściowe 2 5 18" xfId="17043"/>
    <cellStyle name="Dane wyjściowe 2 5 18 2" xfId="17044"/>
    <cellStyle name="Dane wyjściowe 2 5 18 3" xfId="17045"/>
    <cellStyle name="Dane wyjściowe 2 5 18 4" xfId="17046"/>
    <cellStyle name="Dane wyjściowe 2 5 19" xfId="17047"/>
    <cellStyle name="Dane wyjściowe 2 5 19 2" xfId="17048"/>
    <cellStyle name="Dane wyjściowe 2 5 19 3" xfId="17049"/>
    <cellStyle name="Dane wyjściowe 2 5 19 4" xfId="17050"/>
    <cellStyle name="Dane wyjściowe 2 5 2" xfId="17051"/>
    <cellStyle name="Dane wyjściowe 2 5 2 2" xfId="17052"/>
    <cellStyle name="Dane wyjściowe 2 5 2 3" xfId="17053"/>
    <cellStyle name="Dane wyjściowe 2 5 2 4" xfId="17054"/>
    <cellStyle name="Dane wyjściowe 2 5 20" xfId="17055"/>
    <cellStyle name="Dane wyjściowe 2 5 20 2" xfId="17056"/>
    <cellStyle name="Dane wyjściowe 2 5 20 3" xfId="17057"/>
    <cellStyle name="Dane wyjściowe 2 5 20 4" xfId="17058"/>
    <cellStyle name="Dane wyjściowe 2 5 21" xfId="17059"/>
    <cellStyle name="Dane wyjściowe 2 5 21 2" xfId="17060"/>
    <cellStyle name="Dane wyjściowe 2 5 21 3" xfId="17061"/>
    <cellStyle name="Dane wyjściowe 2 5 22" xfId="17062"/>
    <cellStyle name="Dane wyjściowe 2 5 22 2" xfId="17063"/>
    <cellStyle name="Dane wyjściowe 2 5 22 3" xfId="17064"/>
    <cellStyle name="Dane wyjściowe 2 5 23" xfId="17065"/>
    <cellStyle name="Dane wyjściowe 2 5 23 2" xfId="17066"/>
    <cellStyle name="Dane wyjściowe 2 5 23 3" xfId="17067"/>
    <cellStyle name="Dane wyjściowe 2 5 24" xfId="17068"/>
    <cellStyle name="Dane wyjściowe 2 5 24 2" xfId="17069"/>
    <cellStyle name="Dane wyjściowe 2 5 24 3" xfId="17070"/>
    <cellStyle name="Dane wyjściowe 2 5 25" xfId="17071"/>
    <cellStyle name="Dane wyjściowe 2 5 25 2" xfId="17072"/>
    <cellStyle name="Dane wyjściowe 2 5 25 3" xfId="17073"/>
    <cellStyle name="Dane wyjściowe 2 5 26" xfId="17074"/>
    <cellStyle name="Dane wyjściowe 2 5 26 2" xfId="17075"/>
    <cellStyle name="Dane wyjściowe 2 5 26 3" xfId="17076"/>
    <cellStyle name="Dane wyjściowe 2 5 27" xfId="17077"/>
    <cellStyle name="Dane wyjściowe 2 5 27 2" xfId="17078"/>
    <cellStyle name="Dane wyjściowe 2 5 27 3" xfId="17079"/>
    <cellStyle name="Dane wyjściowe 2 5 28" xfId="17080"/>
    <cellStyle name="Dane wyjściowe 2 5 28 2" xfId="17081"/>
    <cellStyle name="Dane wyjściowe 2 5 28 3" xfId="17082"/>
    <cellStyle name="Dane wyjściowe 2 5 29" xfId="17083"/>
    <cellStyle name="Dane wyjściowe 2 5 29 2" xfId="17084"/>
    <cellStyle name="Dane wyjściowe 2 5 29 3" xfId="17085"/>
    <cellStyle name="Dane wyjściowe 2 5 3" xfId="17086"/>
    <cellStyle name="Dane wyjściowe 2 5 3 2" xfId="17087"/>
    <cellStyle name="Dane wyjściowe 2 5 3 3" xfId="17088"/>
    <cellStyle name="Dane wyjściowe 2 5 3 4" xfId="17089"/>
    <cellStyle name="Dane wyjściowe 2 5 30" xfId="17090"/>
    <cellStyle name="Dane wyjściowe 2 5 30 2" xfId="17091"/>
    <cellStyle name="Dane wyjściowe 2 5 30 3" xfId="17092"/>
    <cellStyle name="Dane wyjściowe 2 5 31" xfId="17093"/>
    <cellStyle name="Dane wyjściowe 2 5 31 2" xfId="17094"/>
    <cellStyle name="Dane wyjściowe 2 5 31 3" xfId="17095"/>
    <cellStyle name="Dane wyjściowe 2 5 32" xfId="17096"/>
    <cellStyle name="Dane wyjściowe 2 5 32 2" xfId="17097"/>
    <cellStyle name="Dane wyjściowe 2 5 32 3" xfId="17098"/>
    <cellStyle name="Dane wyjściowe 2 5 33" xfId="17099"/>
    <cellStyle name="Dane wyjściowe 2 5 33 2" xfId="17100"/>
    <cellStyle name="Dane wyjściowe 2 5 33 3" xfId="17101"/>
    <cellStyle name="Dane wyjściowe 2 5 34" xfId="17102"/>
    <cellStyle name="Dane wyjściowe 2 5 34 2" xfId="17103"/>
    <cellStyle name="Dane wyjściowe 2 5 34 3" xfId="17104"/>
    <cellStyle name="Dane wyjściowe 2 5 35" xfId="17105"/>
    <cellStyle name="Dane wyjściowe 2 5 35 2" xfId="17106"/>
    <cellStyle name="Dane wyjściowe 2 5 35 3" xfId="17107"/>
    <cellStyle name="Dane wyjściowe 2 5 36" xfId="17108"/>
    <cellStyle name="Dane wyjściowe 2 5 36 2" xfId="17109"/>
    <cellStyle name="Dane wyjściowe 2 5 36 3" xfId="17110"/>
    <cellStyle name="Dane wyjściowe 2 5 37" xfId="17111"/>
    <cellStyle name="Dane wyjściowe 2 5 37 2" xfId="17112"/>
    <cellStyle name="Dane wyjściowe 2 5 37 3" xfId="17113"/>
    <cellStyle name="Dane wyjściowe 2 5 38" xfId="17114"/>
    <cellStyle name="Dane wyjściowe 2 5 38 2" xfId="17115"/>
    <cellStyle name="Dane wyjściowe 2 5 38 3" xfId="17116"/>
    <cellStyle name="Dane wyjściowe 2 5 39" xfId="17117"/>
    <cellStyle name="Dane wyjściowe 2 5 39 2" xfId="17118"/>
    <cellStyle name="Dane wyjściowe 2 5 39 3" xfId="17119"/>
    <cellStyle name="Dane wyjściowe 2 5 4" xfId="17120"/>
    <cellStyle name="Dane wyjściowe 2 5 4 2" xfId="17121"/>
    <cellStyle name="Dane wyjściowe 2 5 4 3" xfId="17122"/>
    <cellStyle name="Dane wyjściowe 2 5 4 4" xfId="17123"/>
    <cellStyle name="Dane wyjściowe 2 5 40" xfId="17124"/>
    <cellStyle name="Dane wyjściowe 2 5 40 2" xfId="17125"/>
    <cellStyle name="Dane wyjściowe 2 5 40 3" xfId="17126"/>
    <cellStyle name="Dane wyjściowe 2 5 41" xfId="17127"/>
    <cellStyle name="Dane wyjściowe 2 5 41 2" xfId="17128"/>
    <cellStyle name="Dane wyjściowe 2 5 41 3" xfId="17129"/>
    <cellStyle name="Dane wyjściowe 2 5 42" xfId="17130"/>
    <cellStyle name="Dane wyjściowe 2 5 42 2" xfId="17131"/>
    <cellStyle name="Dane wyjściowe 2 5 42 3" xfId="17132"/>
    <cellStyle name="Dane wyjściowe 2 5 43" xfId="17133"/>
    <cellStyle name="Dane wyjściowe 2 5 43 2" xfId="17134"/>
    <cellStyle name="Dane wyjściowe 2 5 43 3" xfId="17135"/>
    <cellStyle name="Dane wyjściowe 2 5 44" xfId="17136"/>
    <cellStyle name="Dane wyjściowe 2 5 44 2" xfId="17137"/>
    <cellStyle name="Dane wyjściowe 2 5 44 3" xfId="17138"/>
    <cellStyle name="Dane wyjściowe 2 5 45" xfId="17139"/>
    <cellStyle name="Dane wyjściowe 2 5 45 2" xfId="17140"/>
    <cellStyle name="Dane wyjściowe 2 5 45 3" xfId="17141"/>
    <cellStyle name="Dane wyjściowe 2 5 46" xfId="17142"/>
    <cellStyle name="Dane wyjściowe 2 5 46 2" xfId="17143"/>
    <cellStyle name="Dane wyjściowe 2 5 46 3" xfId="17144"/>
    <cellStyle name="Dane wyjściowe 2 5 47" xfId="17145"/>
    <cellStyle name="Dane wyjściowe 2 5 47 2" xfId="17146"/>
    <cellStyle name="Dane wyjściowe 2 5 47 3" xfId="17147"/>
    <cellStyle name="Dane wyjściowe 2 5 48" xfId="17148"/>
    <cellStyle name="Dane wyjściowe 2 5 48 2" xfId="17149"/>
    <cellStyle name="Dane wyjściowe 2 5 48 3" xfId="17150"/>
    <cellStyle name="Dane wyjściowe 2 5 49" xfId="17151"/>
    <cellStyle name="Dane wyjściowe 2 5 49 2" xfId="17152"/>
    <cellStyle name="Dane wyjściowe 2 5 49 3" xfId="17153"/>
    <cellStyle name="Dane wyjściowe 2 5 5" xfId="17154"/>
    <cellStyle name="Dane wyjściowe 2 5 5 2" xfId="17155"/>
    <cellStyle name="Dane wyjściowe 2 5 5 3" xfId="17156"/>
    <cellStyle name="Dane wyjściowe 2 5 5 4" xfId="17157"/>
    <cellStyle name="Dane wyjściowe 2 5 50" xfId="17158"/>
    <cellStyle name="Dane wyjściowe 2 5 50 2" xfId="17159"/>
    <cellStyle name="Dane wyjściowe 2 5 50 3" xfId="17160"/>
    <cellStyle name="Dane wyjściowe 2 5 51" xfId="17161"/>
    <cellStyle name="Dane wyjściowe 2 5 51 2" xfId="17162"/>
    <cellStyle name="Dane wyjściowe 2 5 51 3" xfId="17163"/>
    <cellStyle name="Dane wyjściowe 2 5 52" xfId="17164"/>
    <cellStyle name="Dane wyjściowe 2 5 52 2" xfId="17165"/>
    <cellStyle name="Dane wyjściowe 2 5 52 3" xfId="17166"/>
    <cellStyle name="Dane wyjściowe 2 5 53" xfId="17167"/>
    <cellStyle name="Dane wyjściowe 2 5 53 2" xfId="17168"/>
    <cellStyle name="Dane wyjściowe 2 5 53 3" xfId="17169"/>
    <cellStyle name="Dane wyjściowe 2 5 54" xfId="17170"/>
    <cellStyle name="Dane wyjściowe 2 5 54 2" xfId="17171"/>
    <cellStyle name="Dane wyjściowe 2 5 54 3" xfId="17172"/>
    <cellStyle name="Dane wyjściowe 2 5 55" xfId="17173"/>
    <cellStyle name="Dane wyjściowe 2 5 55 2" xfId="17174"/>
    <cellStyle name="Dane wyjściowe 2 5 55 3" xfId="17175"/>
    <cellStyle name="Dane wyjściowe 2 5 56" xfId="17176"/>
    <cellStyle name="Dane wyjściowe 2 5 56 2" xfId="17177"/>
    <cellStyle name="Dane wyjściowe 2 5 56 3" xfId="17178"/>
    <cellStyle name="Dane wyjściowe 2 5 57" xfId="17179"/>
    <cellStyle name="Dane wyjściowe 2 5 58" xfId="17180"/>
    <cellStyle name="Dane wyjściowe 2 5 6" xfId="17181"/>
    <cellStyle name="Dane wyjściowe 2 5 6 2" xfId="17182"/>
    <cellStyle name="Dane wyjściowe 2 5 6 3" xfId="17183"/>
    <cellStyle name="Dane wyjściowe 2 5 6 4" xfId="17184"/>
    <cellStyle name="Dane wyjściowe 2 5 7" xfId="17185"/>
    <cellStyle name="Dane wyjściowe 2 5 7 2" xfId="17186"/>
    <cellStyle name="Dane wyjściowe 2 5 7 3" xfId="17187"/>
    <cellStyle name="Dane wyjściowe 2 5 7 4" xfId="17188"/>
    <cellStyle name="Dane wyjściowe 2 5 8" xfId="17189"/>
    <cellStyle name="Dane wyjściowe 2 5 8 2" xfId="17190"/>
    <cellStyle name="Dane wyjściowe 2 5 8 3" xfId="17191"/>
    <cellStyle name="Dane wyjściowe 2 5 8 4" xfId="17192"/>
    <cellStyle name="Dane wyjściowe 2 5 9" xfId="17193"/>
    <cellStyle name="Dane wyjściowe 2 5 9 2" xfId="17194"/>
    <cellStyle name="Dane wyjściowe 2 5 9 3" xfId="17195"/>
    <cellStyle name="Dane wyjściowe 2 5 9 4" xfId="17196"/>
    <cellStyle name="Dane wyjściowe 2 50" xfId="17197"/>
    <cellStyle name="Dane wyjściowe 2 50 2" xfId="17198"/>
    <cellStyle name="Dane wyjściowe 2 50 3" xfId="17199"/>
    <cellStyle name="Dane wyjściowe 2 50 4" xfId="17200"/>
    <cellStyle name="Dane wyjściowe 2 51" xfId="17201"/>
    <cellStyle name="Dane wyjściowe 2 51 2" xfId="17202"/>
    <cellStyle name="Dane wyjściowe 2 51 3" xfId="17203"/>
    <cellStyle name="Dane wyjściowe 2 51 4" xfId="17204"/>
    <cellStyle name="Dane wyjściowe 2 52" xfId="17205"/>
    <cellStyle name="Dane wyjściowe 2 52 2" xfId="17206"/>
    <cellStyle name="Dane wyjściowe 2 52 3" xfId="17207"/>
    <cellStyle name="Dane wyjściowe 2 52 4" xfId="17208"/>
    <cellStyle name="Dane wyjściowe 2 53" xfId="17209"/>
    <cellStyle name="Dane wyjściowe 2 53 2" xfId="17210"/>
    <cellStyle name="Dane wyjściowe 2 53 3" xfId="17211"/>
    <cellStyle name="Dane wyjściowe 2 53 4" xfId="17212"/>
    <cellStyle name="Dane wyjściowe 2 54" xfId="17213"/>
    <cellStyle name="Dane wyjściowe 2 54 2" xfId="17214"/>
    <cellStyle name="Dane wyjściowe 2 54 3" xfId="17215"/>
    <cellStyle name="Dane wyjściowe 2 54 4" xfId="17216"/>
    <cellStyle name="Dane wyjściowe 2 55" xfId="17217"/>
    <cellStyle name="Dane wyjściowe 2 55 2" xfId="17218"/>
    <cellStyle name="Dane wyjściowe 2 55 3" xfId="17219"/>
    <cellStyle name="Dane wyjściowe 2 55 4" xfId="17220"/>
    <cellStyle name="Dane wyjściowe 2 56" xfId="17221"/>
    <cellStyle name="Dane wyjściowe 2 56 2" xfId="17222"/>
    <cellStyle name="Dane wyjściowe 2 56 3" xfId="17223"/>
    <cellStyle name="Dane wyjściowe 2 56 4" xfId="17224"/>
    <cellStyle name="Dane wyjściowe 2 57" xfId="17225"/>
    <cellStyle name="Dane wyjściowe 2 57 2" xfId="17226"/>
    <cellStyle name="Dane wyjściowe 2 57 3" xfId="17227"/>
    <cellStyle name="Dane wyjściowe 2 57 4" xfId="17228"/>
    <cellStyle name="Dane wyjściowe 2 58" xfId="17229"/>
    <cellStyle name="Dane wyjściowe 2 58 2" xfId="17230"/>
    <cellStyle name="Dane wyjściowe 2 58 3" xfId="17231"/>
    <cellStyle name="Dane wyjściowe 2 58 4" xfId="17232"/>
    <cellStyle name="Dane wyjściowe 2 59" xfId="17233"/>
    <cellStyle name="Dane wyjściowe 2 59 2" xfId="17234"/>
    <cellStyle name="Dane wyjściowe 2 59 3" xfId="17235"/>
    <cellStyle name="Dane wyjściowe 2 59 4" xfId="17236"/>
    <cellStyle name="Dane wyjściowe 2 6" xfId="17237"/>
    <cellStyle name="Dane wyjściowe 2 6 10" xfId="17238"/>
    <cellStyle name="Dane wyjściowe 2 6 10 2" xfId="17239"/>
    <cellStyle name="Dane wyjściowe 2 6 10 3" xfId="17240"/>
    <cellStyle name="Dane wyjściowe 2 6 10 4" xfId="17241"/>
    <cellStyle name="Dane wyjściowe 2 6 11" xfId="17242"/>
    <cellStyle name="Dane wyjściowe 2 6 11 2" xfId="17243"/>
    <cellStyle name="Dane wyjściowe 2 6 11 3" xfId="17244"/>
    <cellStyle name="Dane wyjściowe 2 6 11 4" xfId="17245"/>
    <cellStyle name="Dane wyjściowe 2 6 12" xfId="17246"/>
    <cellStyle name="Dane wyjściowe 2 6 12 2" xfId="17247"/>
    <cellStyle name="Dane wyjściowe 2 6 12 3" xfId="17248"/>
    <cellStyle name="Dane wyjściowe 2 6 12 4" xfId="17249"/>
    <cellStyle name="Dane wyjściowe 2 6 13" xfId="17250"/>
    <cellStyle name="Dane wyjściowe 2 6 13 2" xfId="17251"/>
    <cellStyle name="Dane wyjściowe 2 6 13 3" xfId="17252"/>
    <cellStyle name="Dane wyjściowe 2 6 13 4" xfId="17253"/>
    <cellStyle name="Dane wyjściowe 2 6 14" xfId="17254"/>
    <cellStyle name="Dane wyjściowe 2 6 14 2" xfId="17255"/>
    <cellStyle name="Dane wyjściowe 2 6 14 3" xfId="17256"/>
    <cellStyle name="Dane wyjściowe 2 6 14 4" xfId="17257"/>
    <cellStyle name="Dane wyjściowe 2 6 15" xfId="17258"/>
    <cellStyle name="Dane wyjściowe 2 6 15 2" xfId="17259"/>
    <cellStyle name="Dane wyjściowe 2 6 15 3" xfId="17260"/>
    <cellStyle name="Dane wyjściowe 2 6 15 4" xfId="17261"/>
    <cellStyle name="Dane wyjściowe 2 6 16" xfId="17262"/>
    <cellStyle name="Dane wyjściowe 2 6 16 2" xfId="17263"/>
    <cellStyle name="Dane wyjściowe 2 6 16 3" xfId="17264"/>
    <cellStyle name="Dane wyjściowe 2 6 16 4" xfId="17265"/>
    <cellStyle name="Dane wyjściowe 2 6 17" xfId="17266"/>
    <cellStyle name="Dane wyjściowe 2 6 17 2" xfId="17267"/>
    <cellStyle name="Dane wyjściowe 2 6 17 3" xfId="17268"/>
    <cellStyle name="Dane wyjściowe 2 6 17 4" xfId="17269"/>
    <cellStyle name="Dane wyjściowe 2 6 18" xfId="17270"/>
    <cellStyle name="Dane wyjściowe 2 6 18 2" xfId="17271"/>
    <cellStyle name="Dane wyjściowe 2 6 18 3" xfId="17272"/>
    <cellStyle name="Dane wyjściowe 2 6 18 4" xfId="17273"/>
    <cellStyle name="Dane wyjściowe 2 6 19" xfId="17274"/>
    <cellStyle name="Dane wyjściowe 2 6 19 2" xfId="17275"/>
    <cellStyle name="Dane wyjściowe 2 6 19 3" xfId="17276"/>
    <cellStyle name="Dane wyjściowe 2 6 19 4" xfId="17277"/>
    <cellStyle name="Dane wyjściowe 2 6 2" xfId="17278"/>
    <cellStyle name="Dane wyjściowe 2 6 2 2" xfId="17279"/>
    <cellStyle name="Dane wyjściowe 2 6 2 3" xfId="17280"/>
    <cellStyle name="Dane wyjściowe 2 6 2 4" xfId="17281"/>
    <cellStyle name="Dane wyjściowe 2 6 20" xfId="17282"/>
    <cellStyle name="Dane wyjściowe 2 6 20 2" xfId="17283"/>
    <cellStyle name="Dane wyjściowe 2 6 20 3" xfId="17284"/>
    <cellStyle name="Dane wyjściowe 2 6 20 4" xfId="17285"/>
    <cellStyle name="Dane wyjściowe 2 6 21" xfId="17286"/>
    <cellStyle name="Dane wyjściowe 2 6 21 2" xfId="17287"/>
    <cellStyle name="Dane wyjściowe 2 6 21 3" xfId="17288"/>
    <cellStyle name="Dane wyjściowe 2 6 22" xfId="17289"/>
    <cellStyle name="Dane wyjściowe 2 6 22 2" xfId="17290"/>
    <cellStyle name="Dane wyjściowe 2 6 22 3" xfId="17291"/>
    <cellStyle name="Dane wyjściowe 2 6 23" xfId="17292"/>
    <cellStyle name="Dane wyjściowe 2 6 23 2" xfId="17293"/>
    <cellStyle name="Dane wyjściowe 2 6 23 3" xfId="17294"/>
    <cellStyle name="Dane wyjściowe 2 6 24" xfId="17295"/>
    <cellStyle name="Dane wyjściowe 2 6 24 2" xfId="17296"/>
    <cellStyle name="Dane wyjściowe 2 6 24 3" xfId="17297"/>
    <cellStyle name="Dane wyjściowe 2 6 25" xfId="17298"/>
    <cellStyle name="Dane wyjściowe 2 6 25 2" xfId="17299"/>
    <cellStyle name="Dane wyjściowe 2 6 25 3" xfId="17300"/>
    <cellStyle name="Dane wyjściowe 2 6 26" xfId="17301"/>
    <cellStyle name="Dane wyjściowe 2 6 26 2" xfId="17302"/>
    <cellStyle name="Dane wyjściowe 2 6 26 3" xfId="17303"/>
    <cellStyle name="Dane wyjściowe 2 6 27" xfId="17304"/>
    <cellStyle name="Dane wyjściowe 2 6 27 2" xfId="17305"/>
    <cellStyle name="Dane wyjściowe 2 6 27 3" xfId="17306"/>
    <cellStyle name="Dane wyjściowe 2 6 28" xfId="17307"/>
    <cellStyle name="Dane wyjściowe 2 6 28 2" xfId="17308"/>
    <cellStyle name="Dane wyjściowe 2 6 28 3" xfId="17309"/>
    <cellStyle name="Dane wyjściowe 2 6 29" xfId="17310"/>
    <cellStyle name="Dane wyjściowe 2 6 29 2" xfId="17311"/>
    <cellStyle name="Dane wyjściowe 2 6 29 3" xfId="17312"/>
    <cellStyle name="Dane wyjściowe 2 6 3" xfId="17313"/>
    <cellStyle name="Dane wyjściowe 2 6 3 2" xfId="17314"/>
    <cellStyle name="Dane wyjściowe 2 6 3 3" xfId="17315"/>
    <cellStyle name="Dane wyjściowe 2 6 3 4" xfId="17316"/>
    <cellStyle name="Dane wyjściowe 2 6 30" xfId="17317"/>
    <cellStyle name="Dane wyjściowe 2 6 30 2" xfId="17318"/>
    <cellStyle name="Dane wyjściowe 2 6 30 3" xfId="17319"/>
    <cellStyle name="Dane wyjściowe 2 6 31" xfId="17320"/>
    <cellStyle name="Dane wyjściowe 2 6 31 2" xfId="17321"/>
    <cellStyle name="Dane wyjściowe 2 6 31 3" xfId="17322"/>
    <cellStyle name="Dane wyjściowe 2 6 32" xfId="17323"/>
    <cellStyle name="Dane wyjściowe 2 6 32 2" xfId="17324"/>
    <cellStyle name="Dane wyjściowe 2 6 32 3" xfId="17325"/>
    <cellStyle name="Dane wyjściowe 2 6 33" xfId="17326"/>
    <cellStyle name="Dane wyjściowe 2 6 33 2" xfId="17327"/>
    <cellStyle name="Dane wyjściowe 2 6 33 3" xfId="17328"/>
    <cellStyle name="Dane wyjściowe 2 6 34" xfId="17329"/>
    <cellStyle name="Dane wyjściowe 2 6 34 2" xfId="17330"/>
    <cellStyle name="Dane wyjściowe 2 6 34 3" xfId="17331"/>
    <cellStyle name="Dane wyjściowe 2 6 35" xfId="17332"/>
    <cellStyle name="Dane wyjściowe 2 6 35 2" xfId="17333"/>
    <cellStyle name="Dane wyjściowe 2 6 35 3" xfId="17334"/>
    <cellStyle name="Dane wyjściowe 2 6 36" xfId="17335"/>
    <cellStyle name="Dane wyjściowe 2 6 36 2" xfId="17336"/>
    <cellStyle name="Dane wyjściowe 2 6 36 3" xfId="17337"/>
    <cellStyle name="Dane wyjściowe 2 6 37" xfId="17338"/>
    <cellStyle name="Dane wyjściowe 2 6 37 2" xfId="17339"/>
    <cellStyle name="Dane wyjściowe 2 6 37 3" xfId="17340"/>
    <cellStyle name="Dane wyjściowe 2 6 38" xfId="17341"/>
    <cellStyle name="Dane wyjściowe 2 6 38 2" xfId="17342"/>
    <cellStyle name="Dane wyjściowe 2 6 38 3" xfId="17343"/>
    <cellStyle name="Dane wyjściowe 2 6 39" xfId="17344"/>
    <cellStyle name="Dane wyjściowe 2 6 39 2" xfId="17345"/>
    <cellStyle name="Dane wyjściowe 2 6 39 3" xfId="17346"/>
    <cellStyle name="Dane wyjściowe 2 6 4" xfId="17347"/>
    <cellStyle name="Dane wyjściowe 2 6 4 2" xfId="17348"/>
    <cellStyle name="Dane wyjściowe 2 6 4 3" xfId="17349"/>
    <cellStyle name="Dane wyjściowe 2 6 4 4" xfId="17350"/>
    <cellStyle name="Dane wyjściowe 2 6 40" xfId="17351"/>
    <cellStyle name="Dane wyjściowe 2 6 40 2" xfId="17352"/>
    <cellStyle name="Dane wyjściowe 2 6 40 3" xfId="17353"/>
    <cellStyle name="Dane wyjściowe 2 6 41" xfId="17354"/>
    <cellStyle name="Dane wyjściowe 2 6 41 2" xfId="17355"/>
    <cellStyle name="Dane wyjściowe 2 6 41 3" xfId="17356"/>
    <cellStyle name="Dane wyjściowe 2 6 42" xfId="17357"/>
    <cellStyle name="Dane wyjściowe 2 6 42 2" xfId="17358"/>
    <cellStyle name="Dane wyjściowe 2 6 42 3" xfId="17359"/>
    <cellStyle name="Dane wyjściowe 2 6 43" xfId="17360"/>
    <cellStyle name="Dane wyjściowe 2 6 43 2" xfId="17361"/>
    <cellStyle name="Dane wyjściowe 2 6 43 3" xfId="17362"/>
    <cellStyle name="Dane wyjściowe 2 6 44" xfId="17363"/>
    <cellStyle name="Dane wyjściowe 2 6 44 2" xfId="17364"/>
    <cellStyle name="Dane wyjściowe 2 6 44 3" xfId="17365"/>
    <cellStyle name="Dane wyjściowe 2 6 45" xfId="17366"/>
    <cellStyle name="Dane wyjściowe 2 6 45 2" xfId="17367"/>
    <cellStyle name="Dane wyjściowe 2 6 45 3" xfId="17368"/>
    <cellStyle name="Dane wyjściowe 2 6 46" xfId="17369"/>
    <cellStyle name="Dane wyjściowe 2 6 46 2" xfId="17370"/>
    <cellStyle name="Dane wyjściowe 2 6 46 3" xfId="17371"/>
    <cellStyle name="Dane wyjściowe 2 6 47" xfId="17372"/>
    <cellStyle name="Dane wyjściowe 2 6 47 2" xfId="17373"/>
    <cellStyle name="Dane wyjściowe 2 6 47 3" xfId="17374"/>
    <cellStyle name="Dane wyjściowe 2 6 48" xfId="17375"/>
    <cellStyle name="Dane wyjściowe 2 6 48 2" xfId="17376"/>
    <cellStyle name="Dane wyjściowe 2 6 48 3" xfId="17377"/>
    <cellStyle name="Dane wyjściowe 2 6 49" xfId="17378"/>
    <cellStyle name="Dane wyjściowe 2 6 49 2" xfId="17379"/>
    <cellStyle name="Dane wyjściowe 2 6 49 3" xfId="17380"/>
    <cellStyle name="Dane wyjściowe 2 6 5" xfId="17381"/>
    <cellStyle name="Dane wyjściowe 2 6 5 2" xfId="17382"/>
    <cellStyle name="Dane wyjściowe 2 6 5 3" xfId="17383"/>
    <cellStyle name="Dane wyjściowe 2 6 5 4" xfId="17384"/>
    <cellStyle name="Dane wyjściowe 2 6 50" xfId="17385"/>
    <cellStyle name="Dane wyjściowe 2 6 50 2" xfId="17386"/>
    <cellStyle name="Dane wyjściowe 2 6 50 3" xfId="17387"/>
    <cellStyle name="Dane wyjściowe 2 6 51" xfId="17388"/>
    <cellStyle name="Dane wyjściowe 2 6 51 2" xfId="17389"/>
    <cellStyle name="Dane wyjściowe 2 6 51 3" xfId="17390"/>
    <cellStyle name="Dane wyjściowe 2 6 52" xfId="17391"/>
    <cellStyle name="Dane wyjściowe 2 6 52 2" xfId="17392"/>
    <cellStyle name="Dane wyjściowe 2 6 52 3" xfId="17393"/>
    <cellStyle name="Dane wyjściowe 2 6 53" xfId="17394"/>
    <cellStyle name="Dane wyjściowe 2 6 53 2" xfId="17395"/>
    <cellStyle name="Dane wyjściowe 2 6 53 3" xfId="17396"/>
    <cellStyle name="Dane wyjściowe 2 6 54" xfId="17397"/>
    <cellStyle name="Dane wyjściowe 2 6 54 2" xfId="17398"/>
    <cellStyle name="Dane wyjściowe 2 6 54 3" xfId="17399"/>
    <cellStyle name="Dane wyjściowe 2 6 55" xfId="17400"/>
    <cellStyle name="Dane wyjściowe 2 6 55 2" xfId="17401"/>
    <cellStyle name="Dane wyjściowe 2 6 55 3" xfId="17402"/>
    <cellStyle name="Dane wyjściowe 2 6 56" xfId="17403"/>
    <cellStyle name="Dane wyjściowe 2 6 56 2" xfId="17404"/>
    <cellStyle name="Dane wyjściowe 2 6 56 3" xfId="17405"/>
    <cellStyle name="Dane wyjściowe 2 6 57" xfId="17406"/>
    <cellStyle name="Dane wyjściowe 2 6 58" xfId="17407"/>
    <cellStyle name="Dane wyjściowe 2 6 6" xfId="17408"/>
    <cellStyle name="Dane wyjściowe 2 6 6 2" xfId="17409"/>
    <cellStyle name="Dane wyjściowe 2 6 6 3" xfId="17410"/>
    <cellStyle name="Dane wyjściowe 2 6 6 4" xfId="17411"/>
    <cellStyle name="Dane wyjściowe 2 6 7" xfId="17412"/>
    <cellStyle name="Dane wyjściowe 2 6 7 2" xfId="17413"/>
    <cellStyle name="Dane wyjściowe 2 6 7 3" xfId="17414"/>
    <cellStyle name="Dane wyjściowe 2 6 7 4" xfId="17415"/>
    <cellStyle name="Dane wyjściowe 2 6 8" xfId="17416"/>
    <cellStyle name="Dane wyjściowe 2 6 8 2" xfId="17417"/>
    <cellStyle name="Dane wyjściowe 2 6 8 3" xfId="17418"/>
    <cellStyle name="Dane wyjściowe 2 6 8 4" xfId="17419"/>
    <cellStyle name="Dane wyjściowe 2 6 9" xfId="17420"/>
    <cellStyle name="Dane wyjściowe 2 6 9 2" xfId="17421"/>
    <cellStyle name="Dane wyjściowe 2 6 9 3" xfId="17422"/>
    <cellStyle name="Dane wyjściowe 2 6 9 4" xfId="17423"/>
    <cellStyle name="Dane wyjściowe 2 60" xfId="17424"/>
    <cellStyle name="Dane wyjściowe 2 60 2" xfId="17425"/>
    <cellStyle name="Dane wyjściowe 2 60 3" xfId="17426"/>
    <cellStyle name="Dane wyjściowe 2 60 4" xfId="17427"/>
    <cellStyle name="Dane wyjściowe 2 61" xfId="17428"/>
    <cellStyle name="Dane wyjściowe 2 61 2" xfId="17429"/>
    <cellStyle name="Dane wyjściowe 2 61 3" xfId="17430"/>
    <cellStyle name="Dane wyjściowe 2 61 4" xfId="17431"/>
    <cellStyle name="Dane wyjściowe 2 62" xfId="17432"/>
    <cellStyle name="Dane wyjściowe 2 62 2" xfId="17433"/>
    <cellStyle name="Dane wyjściowe 2 62 3" xfId="17434"/>
    <cellStyle name="Dane wyjściowe 2 62 4" xfId="17435"/>
    <cellStyle name="Dane wyjściowe 2 63" xfId="17436"/>
    <cellStyle name="Dane wyjściowe 2 63 2" xfId="17437"/>
    <cellStyle name="Dane wyjściowe 2 63 3" xfId="17438"/>
    <cellStyle name="Dane wyjściowe 2 63 4" xfId="17439"/>
    <cellStyle name="Dane wyjściowe 2 64" xfId="17440"/>
    <cellStyle name="Dane wyjściowe 2 64 2" xfId="17441"/>
    <cellStyle name="Dane wyjściowe 2 64 3" xfId="17442"/>
    <cellStyle name="Dane wyjściowe 2 64 4" xfId="17443"/>
    <cellStyle name="Dane wyjściowe 2 65" xfId="17444"/>
    <cellStyle name="Dane wyjściowe 2 65 2" xfId="17445"/>
    <cellStyle name="Dane wyjściowe 2 65 3" xfId="17446"/>
    <cellStyle name="Dane wyjściowe 2 65 4" xfId="17447"/>
    <cellStyle name="Dane wyjściowe 2 66" xfId="17448"/>
    <cellStyle name="Dane wyjściowe 2 66 2" xfId="17449"/>
    <cellStyle name="Dane wyjściowe 2 66 3" xfId="17450"/>
    <cellStyle name="Dane wyjściowe 2 66 4" xfId="17451"/>
    <cellStyle name="Dane wyjściowe 2 67" xfId="17452"/>
    <cellStyle name="Dane wyjściowe 2 67 2" xfId="17453"/>
    <cellStyle name="Dane wyjściowe 2 67 3" xfId="17454"/>
    <cellStyle name="Dane wyjściowe 2 68" xfId="17455"/>
    <cellStyle name="Dane wyjściowe 2 68 2" xfId="17456"/>
    <cellStyle name="Dane wyjściowe 2 68 3" xfId="17457"/>
    <cellStyle name="Dane wyjściowe 2 69" xfId="17458"/>
    <cellStyle name="Dane wyjściowe 2 69 2" xfId="17459"/>
    <cellStyle name="Dane wyjściowe 2 69 3" xfId="17460"/>
    <cellStyle name="Dane wyjściowe 2 7" xfId="17461"/>
    <cellStyle name="Dane wyjściowe 2 7 10" xfId="17462"/>
    <cellStyle name="Dane wyjściowe 2 7 10 2" xfId="17463"/>
    <cellStyle name="Dane wyjściowe 2 7 10 3" xfId="17464"/>
    <cellStyle name="Dane wyjściowe 2 7 10 4" xfId="17465"/>
    <cellStyle name="Dane wyjściowe 2 7 11" xfId="17466"/>
    <cellStyle name="Dane wyjściowe 2 7 11 2" xfId="17467"/>
    <cellStyle name="Dane wyjściowe 2 7 11 3" xfId="17468"/>
    <cellStyle name="Dane wyjściowe 2 7 11 4" xfId="17469"/>
    <cellStyle name="Dane wyjściowe 2 7 12" xfId="17470"/>
    <cellStyle name="Dane wyjściowe 2 7 12 2" xfId="17471"/>
    <cellStyle name="Dane wyjściowe 2 7 12 3" xfId="17472"/>
    <cellStyle name="Dane wyjściowe 2 7 12 4" xfId="17473"/>
    <cellStyle name="Dane wyjściowe 2 7 13" xfId="17474"/>
    <cellStyle name="Dane wyjściowe 2 7 13 2" xfId="17475"/>
    <cellStyle name="Dane wyjściowe 2 7 13 3" xfId="17476"/>
    <cellStyle name="Dane wyjściowe 2 7 13 4" xfId="17477"/>
    <cellStyle name="Dane wyjściowe 2 7 14" xfId="17478"/>
    <cellStyle name="Dane wyjściowe 2 7 14 2" xfId="17479"/>
    <cellStyle name="Dane wyjściowe 2 7 14 3" xfId="17480"/>
    <cellStyle name="Dane wyjściowe 2 7 14 4" xfId="17481"/>
    <cellStyle name="Dane wyjściowe 2 7 15" xfId="17482"/>
    <cellStyle name="Dane wyjściowe 2 7 15 2" xfId="17483"/>
    <cellStyle name="Dane wyjściowe 2 7 15 3" xfId="17484"/>
    <cellStyle name="Dane wyjściowe 2 7 15 4" xfId="17485"/>
    <cellStyle name="Dane wyjściowe 2 7 16" xfId="17486"/>
    <cellStyle name="Dane wyjściowe 2 7 16 2" xfId="17487"/>
    <cellStyle name="Dane wyjściowe 2 7 16 3" xfId="17488"/>
    <cellStyle name="Dane wyjściowe 2 7 16 4" xfId="17489"/>
    <cellStyle name="Dane wyjściowe 2 7 17" xfId="17490"/>
    <cellStyle name="Dane wyjściowe 2 7 17 2" xfId="17491"/>
    <cellStyle name="Dane wyjściowe 2 7 17 3" xfId="17492"/>
    <cellStyle name="Dane wyjściowe 2 7 17 4" xfId="17493"/>
    <cellStyle name="Dane wyjściowe 2 7 18" xfId="17494"/>
    <cellStyle name="Dane wyjściowe 2 7 18 2" xfId="17495"/>
    <cellStyle name="Dane wyjściowe 2 7 18 3" xfId="17496"/>
    <cellStyle name="Dane wyjściowe 2 7 18 4" xfId="17497"/>
    <cellStyle name="Dane wyjściowe 2 7 19" xfId="17498"/>
    <cellStyle name="Dane wyjściowe 2 7 19 2" xfId="17499"/>
    <cellStyle name="Dane wyjściowe 2 7 19 3" xfId="17500"/>
    <cellStyle name="Dane wyjściowe 2 7 19 4" xfId="17501"/>
    <cellStyle name="Dane wyjściowe 2 7 2" xfId="17502"/>
    <cellStyle name="Dane wyjściowe 2 7 2 2" xfId="17503"/>
    <cellStyle name="Dane wyjściowe 2 7 2 3" xfId="17504"/>
    <cellStyle name="Dane wyjściowe 2 7 2 4" xfId="17505"/>
    <cellStyle name="Dane wyjściowe 2 7 20" xfId="17506"/>
    <cellStyle name="Dane wyjściowe 2 7 20 2" xfId="17507"/>
    <cellStyle name="Dane wyjściowe 2 7 20 3" xfId="17508"/>
    <cellStyle name="Dane wyjściowe 2 7 20 4" xfId="17509"/>
    <cellStyle name="Dane wyjściowe 2 7 21" xfId="17510"/>
    <cellStyle name="Dane wyjściowe 2 7 21 2" xfId="17511"/>
    <cellStyle name="Dane wyjściowe 2 7 21 3" xfId="17512"/>
    <cellStyle name="Dane wyjściowe 2 7 22" xfId="17513"/>
    <cellStyle name="Dane wyjściowe 2 7 22 2" xfId="17514"/>
    <cellStyle name="Dane wyjściowe 2 7 22 3" xfId="17515"/>
    <cellStyle name="Dane wyjściowe 2 7 23" xfId="17516"/>
    <cellStyle name="Dane wyjściowe 2 7 23 2" xfId="17517"/>
    <cellStyle name="Dane wyjściowe 2 7 23 3" xfId="17518"/>
    <cellStyle name="Dane wyjściowe 2 7 24" xfId="17519"/>
    <cellStyle name="Dane wyjściowe 2 7 24 2" xfId="17520"/>
    <cellStyle name="Dane wyjściowe 2 7 24 3" xfId="17521"/>
    <cellStyle name="Dane wyjściowe 2 7 25" xfId="17522"/>
    <cellStyle name="Dane wyjściowe 2 7 25 2" xfId="17523"/>
    <cellStyle name="Dane wyjściowe 2 7 25 3" xfId="17524"/>
    <cellStyle name="Dane wyjściowe 2 7 26" xfId="17525"/>
    <cellStyle name="Dane wyjściowe 2 7 26 2" xfId="17526"/>
    <cellStyle name="Dane wyjściowe 2 7 26 3" xfId="17527"/>
    <cellStyle name="Dane wyjściowe 2 7 27" xfId="17528"/>
    <cellStyle name="Dane wyjściowe 2 7 27 2" xfId="17529"/>
    <cellStyle name="Dane wyjściowe 2 7 27 3" xfId="17530"/>
    <cellStyle name="Dane wyjściowe 2 7 28" xfId="17531"/>
    <cellStyle name="Dane wyjściowe 2 7 28 2" xfId="17532"/>
    <cellStyle name="Dane wyjściowe 2 7 28 3" xfId="17533"/>
    <cellStyle name="Dane wyjściowe 2 7 29" xfId="17534"/>
    <cellStyle name="Dane wyjściowe 2 7 29 2" xfId="17535"/>
    <cellStyle name="Dane wyjściowe 2 7 29 3" xfId="17536"/>
    <cellStyle name="Dane wyjściowe 2 7 3" xfId="17537"/>
    <cellStyle name="Dane wyjściowe 2 7 3 2" xfId="17538"/>
    <cellStyle name="Dane wyjściowe 2 7 3 3" xfId="17539"/>
    <cellStyle name="Dane wyjściowe 2 7 3 4" xfId="17540"/>
    <cellStyle name="Dane wyjściowe 2 7 30" xfId="17541"/>
    <cellStyle name="Dane wyjściowe 2 7 30 2" xfId="17542"/>
    <cellStyle name="Dane wyjściowe 2 7 30 3" xfId="17543"/>
    <cellStyle name="Dane wyjściowe 2 7 31" xfId="17544"/>
    <cellStyle name="Dane wyjściowe 2 7 31 2" xfId="17545"/>
    <cellStyle name="Dane wyjściowe 2 7 31 3" xfId="17546"/>
    <cellStyle name="Dane wyjściowe 2 7 32" xfId="17547"/>
    <cellStyle name="Dane wyjściowe 2 7 32 2" xfId="17548"/>
    <cellStyle name="Dane wyjściowe 2 7 32 3" xfId="17549"/>
    <cellStyle name="Dane wyjściowe 2 7 33" xfId="17550"/>
    <cellStyle name="Dane wyjściowe 2 7 33 2" xfId="17551"/>
    <cellStyle name="Dane wyjściowe 2 7 33 3" xfId="17552"/>
    <cellStyle name="Dane wyjściowe 2 7 34" xfId="17553"/>
    <cellStyle name="Dane wyjściowe 2 7 34 2" xfId="17554"/>
    <cellStyle name="Dane wyjściowe 2 7 34 3" xfId="17555"/>
    <cellStyle name="Dane wyjściowe 2 7 35" xfId="17556"/>
    <cellStyle name="Dane wyjściowe 2 7 35 2" xfId="17557"/>
    <cellStyle name="Dane wyjściowe 2 7 35 3" xfId="17558"/>
    <cellStyle name="Dane wyjściowe 2 7 36" xfId="17559"/>
    <cellStyle name="Dane wyjściowe 2 7 36 2" xfId="17560"/>
    <cellStyle name="Dane wyjściowe 2 7 36 3" xfId="17561"/>
    <cellStyle name="Dane wyjściowe 2 7 37" xfId="17562"/>
    <cellStyle name="Dane wyjściowe 2 7 37 2" xfId="17563"/>
    <cellStyle name="Dane wyjściowe 2 7 37 3" xfId="17564"/>
    <cellStyle name="Dane wyjściowe 2 7 38" xfId="17565"/>
    <cellStyle name="Dane wyjściowe 2 7 38 2" xfId="17566"/>
    <cellStyle name="Dane wyjściowe 2 7 38 3" xfId="17567"/>
    <cellStyle name="Dane wyjściowe 2 7 39" xfId="17568"/>
    <cellStyle name="Dane wyjściowe 2 7 39 2" xfId="17569"/>
    <cellStyle name="Dane wyjściowe 2 7 39 3" xfId="17570"/>
    <cellStyle name="Dane wyjściowe 2 7 4" xfId="17571"/>
    <cellStyle name="Dane wyjściowe 2 7 4 2" xfId="17572"/>
    <cellStyle name="Dane wyjściowe 2 7 4 3" xfId="17573"/>
    <cellStyle name="Dane wyjściowe 2 7 4 4" xfId="17574"/>
    <cellStyle name="Dane wyjściowe 2 7 40" xfId="17575"/>
    <cellStyle name="Dane wyjściowe 2 7 40 2" xfId="17576"/>
    <cellStyle name="Dane wyjściowe 2 7 40 3" xfId="17577"/>
    <cellStyle name="Dane wyjściowe 2 7 41" xfId="17578"/>
    <cellStyle name="Dane wyjściowe 2 7 41 2" xfId="17579"/>
    <cellStyle name="Dane wyjściowe 2 7 41 3" xfId="17580"/>
    <cellStyle name="Dane wyjściowe 2 7 42" xfId="17581"/>
    <cellStyle name="Dane wyjściowe 2 7 42 2" xfId="17582"/>
    <cellStyle name="Dane wyjściowe 2 7 42 3" xfId="17583"/>
    <cellStyle name="Dane wyjściowe 2 7 43" xfId="17584"/>
    <cellStyle name="Dane wyjściowe 2 7 43 2" xfId="17585"/>
    <cellStyle name="Dane wyjściowe 2 7 43 3" xfId="17586"/>
    <cellStyle name="Dane wyjściowe 2 7 44" xfId="17587"/>
    <cellStyle name="Dane wyjściowe 2 7 44 2" xfId="17588"/>
    <cellStyle name="Dane wyjściowe 2 7 44 3" xfId="17589"/>
    <cellStyle name="Dane wyjściowe 2 7 45" xfId="17590"/>
    <cellStyle name="Dane wyjściowe 2 7 45 2" xfId="17591"/>
    <cellStyle name="Dane wyjściowe 2 7 45 3" xfId="17592"/>
    <cellStyle name="Dane wyjściowe 2 7 46" xfId="17593"/>
    <cellStyle name="Dane wyjściowe 2 7 46 2" xfId="17594"/>
    <cellStyle name="Dane wyjściowe 2 7 46 3" xfId="17595"/>
    <cellStyle name="Dane wyjściowe 2 7 47" xfId="17596"/>
    <cellStyle name="Dane wyjściowe 2 7 47 2" xfId="17597"/>
    <cellStyle name="Dane wyjściowe 2 7 47 3" xfId="17598"/>
    <cellStyle name="Dane wyjściowe 2 7 48" xfId="17599"/>
    <cellStyle name="Dane wyjściowe 2 7 48 2" xfId="17600"/>
    <cellStyle name="Dane wyjściowe 2 7 48 3" xfId="17601"/>
    <cellStyle name="Dane wyjściowe 2 7 49" xfId="17602"/>
    <cellStyle name="Dane wyjściowe 2 7 49 2" xfId="17603"/>
    <cellStyle name="Dane wyjściowe 2 7 49 3" xfId="17604"/>
    <cellStyle name="Dane wyjściowe 2 7 5" xfId="17605"/>
    <cellStyle name="Dane wyjściowe 2 7 5 2" xfId="17606"/>
    <cellStyle name="Dane wyjściowe 2 7 5 3" xfId="17607"/>
    <cellStyle name="Dane wyjściowe 2 7 5 4" xfId="17608"/>
    <cellStyle name="Dane wyjściowe 2 7 50" xfId="17609"/>
    <cellStyle name="Dane wyjściowe 2 7 50 2" xfId="17610"/>
    <cellStyle name="Dane wyjściowe 2 7 50 3" xfId="17611"/>
    <cellStyle name="Dane wyjściowe 2 7 51" xfId="17612"/>
    <cellStyle name="Dane wyjściowe 2 7 51 2" xfId="17613"/>
    <cellStyle name="Dane wyjściowe 2 7 51 3" xfId="17614"/>
    <cellStyle name="Dane wyjściowe 2 7 52" xfId="17615"/>
    <cellStyle name="Dane wyjściowe 2 7 52 2" xfId="17616"/>
    <cellStyle name="Dane wyjściowe 2 7 52 3" xfId="17617"/>
    <cellStyle name="Dane wyjściowe 2 7 53" xfId="17618"/>
    <cellStyle name="Dane wyjściowe 2 7 53 2" xfId="17619"/>
    <cellStyle name="Dane wyjściowe 2 7 53 3" xfId="17620"/>
    <cellStyle name="Dane wyjściowe 2 7 54" xfId="17621"/>
    <cellStyle name="Dane wyjściowe 2 7 54 2" xfId="17622"/>
    <cellStyle name="Dane wyjściowe 2 7 54 3" xfId="17623"/>
    <cellStyle name="Dane wyjściowe 2 7 55" xfId="17624"/>
    <cellStyle name="Dane wyjściowe 2 7 55 2" xfId="17625"/>
    <cellStyle name="Dane wyjściowe 2 7 55 3" xfId="17626"/>
    <cellStyle name="Dane wyjściowe 2 7 56" xfId="17627"/>
    <cellStyle name="Dane wyjściowe 2 7 56 2" xfId="17628"/>
    <cellStyle name="Dane wyjściowe 2 7 56 3" xfId="17629"/>
    <cellStyle name="Dane wyjściowe 2 7 57" xfId="17630"/>
    <cellStyle name="Dane wyjściowe 2 7 58" xfId="17631"/>
    <cellStyle name="Dane wyjściowe 2 7 6" xfId="17632"/>
    <cellStyle name="Dane wyjściowe 2 7 6 2" xfId="17633"/>
    <cellStyle name="Dane wyjściowe 2 7 6 3" xfId="17634"/>
    <cellStyle name="Dane wyjściowe 2 7 6 4" xfId="17635"/>
    <cellStyle name="Dane wyjściowe 2 7 7" xfId="17636"/>
    <cellStyle name="Dane wyjściowe 2 7 7 2" xfId="17637"/>
    <cellStyle name="Dane wyjściowe 2 7 7 3" xfId="17638"/>
    <cellStyle name="Dane wyjściowe 2 7 7 4" xfId="17639"/>
    <cellStyle name="Dane wyjściowe 2 7 8" xfId="17640"/>
    <cellStyle name="Dane wyjściowe 2 7 8 2" xfId="17641"/>
    <cellStyle name="Dane wyjściowe 2 7 8 3" xfId="17642"/>
    <cellStyle name="Dane wyjściowe 2 7 8 4" xfId="17643"/>
    <cellStyle name="Dane wyjściowe 2 7 9" xfId="17644"/>
    <cellStyle name="Dane wyjściowe 2 7 9 2" xfId="17645"/>
    <cellStyle name="Dane wyjściowe 2 7 9 3" xfId="17646"/>
    <cellStyle name="Dane wyjściowe 2 7 9 4" xfId="17647"/>
    <cellStyle name="Dane wyjściowe 2 70" xfId="17648"/>
    <cellStyle name="Dane wyjściowe 2 70 2" xfId="17649"/>
    <cellStyle name="Dane wyjściowe 2 70 3" xfId="17650"/>
    <cellStyle name="Dane wyjściowe 2 71" xfId="17651"/>
    <cellStyle name="Dane wyjściowe 2 71 2" xfId="17652"/>
    <cellStyle name="Dane wyjściowe 2 71 3" xfId="17653"/>
    <cellStyle name="Dane wyjściowe 2 72" xfId="17654"/>
    <cellStyle name="Dane wyjściowe 2 72 2" xfId="17655"/>
    <cellStyle name="Dane wyjściowe 2 72 3" xfId="17656"/>
    <cellStyle name="Dane wyjściowe 2 73" xfId="17657"/>
    <cellStyle name="Dane wyjściowe 2 73 2" xfId="17658"/>
    <cellStyle name="Dane wyjściowe 2 73 3" xfId="17659"/>
    <cellStyle name="Dane wyjściowe 2 74" xfId="17660"/>
    <cellStyle name="Dane wyjściowe 2 74 2" xfId="17661"/>
    <cellStyle name="Dane wyjściowe 2 74 3" xfId="17662"/>
    <cellStyle name="Dane wyjściowe 2 75" xfId="17663"/>
    <cellStyle name="Dane wyjściowe 2 75 2" xfId="17664"/>
    <cellStyle name="Dane wyjściowe 2 75 3" xfId="17665"/>
    <cellStyle name="Dane wyjściowe 2 76" xfId="17666"/>
    <cellStyle name="Dane wyjściowe 2 76 2" xfId="17667"/>
    <cellStyle name="Dane wyjściowe 2 76 3" xfId="17668"/>
    <cellStyle name="Dane wyjściowe 2 77" xfId="17669"/>
    <cellStyle name="Dane wyjściowe 2 77 2" xfId="17670"/>
    <cellStyle name="Dane wyjściowe 2 77 3" xfId="17671"/>
    <cellStyle name="Dane wyjściowe 2 78" xfId="17672"/>
    <cellStyle name="Dane wyjściowe 2 78 2" xfId="17673"/>
    <cellStyle name="Dane wyjściowe 2 78 3" xfId="17674"/>
    <cellStyle name="Dane wyjściowe 2 79" xfId="17675"/>
    <cellStyle name="Dane wyjściowe 2 79 2" xfId="17676"/>
    <cellStyle name="Dane wyjściowe 2 79 3" xfId="17677"/>
    <cellStyle name="Dane wyjściowe 2 8" xfId="17678"/>
    <cellStyle name="Dane wyjściowe 2 8 10" xfId="17679"/>
    <cellStyle name="Dane wyjściowe 2 8 10 2" xfId="17680"/>
    <cellStyle name="Dane wyjściowe 2 8 10 3" xfId="17681"/>
    <cellStyle name="Dane wyjściowe 2 8 10 4" xfId="17682"/>
    <cellStyle name="Dane wyjściowe 2 8 11" xfId="17683"/>
    <cellStyle name="Dane wyjściowe 2 8 11 2" xfId="17684"/>
    <cellStyle name="Dane wyjściowe 2 8 11 3" xfId="17685"/>
    <cellStyle name="Dane wyjściowe 2 8 11 4" xfId="17686"/>
    <cellStyle name="Dane wyjściowe 2 8 12" xfId="17687"/>
    <cellStyle name="Dane wyjściowe 2 8 12 2" xfId="17688"/>
    <cellStyle name="Dane wyjściowe 2 8 12 3" xfId="17689"/>
    <cellStyle name="Dane wyjściowe 2 8 12 4" xfId="17690"/>
    <cellStyle name="Dane wyjściowe 2 8 13" xfId="17691"/>
    <cellStyle name="Dane wyjściowe 2 8 13 2" xfId="17692"/>
    <cellStyle name="Dane wyjściowe 2 8 13 3" xfId="17693"/>
    <cellStyle name="Dane wyjściowe 2 8 13 4" xfId="17694"/>
    <cellStyle name="Dane wyjściowe 2 8 14" xfId="17695"/>
    <cellStyle name="Dane wyjściowe 2 8 14 2" xfId="17696"/>
    <cellStyle name="Dane wyjściowe 2 8 14 3" xfId="17697"/>
    <cellStyle name="Dane wyjściowe 2 8 14 4" xfId="17698"/>
    <cellStyle name="Dane wyjściowe 2 8 15" xfId="17699"/>
    <cellStyle name="Dane wyjściowe 2 8 15 2" xfId="17700"/>
    <cellStyle name="Dane wyjściowe 2 8 15 3" xfId="17701"/>
    <cellStyle name="Dane wyjściowe 2 8 15 4" xfId="17702"/>
    <cellStyle name="Dane wyjściowe 2 8 16" xfId="17703"/>
    <cellStyle name="Dane wyjściowe 2 8 16 2" xfId="17704"/>
    <cellStyle name="Dane wyjściowe 2 8 16 3" xfId="17705"/>
    <cellStyle name="Dane wyjściowe 2 8 16 4" xfId="17706"/>
    <cellStyle name="Dane wyjściowe 2 8 17" xfId="17707"/>
    <cellStyle name="Dane wyjściowe 2 8 17 2" xfId="17708"/>
    <cellStyle name="Dane wyjściowe 2 8 17 3" xfId="17709"/>
    <cellStyle name="Dane wyjściowe 2 8 17 4" xfId="17710"/>
    <cellStyle name="Dane wyjściowe 2 8 18" xfId="17711"/>
    <cellStyle name="Dane wyjściowe 2 8 18 2" xfId="17712"/>
    <cellStyle name="Dane wyjściowe 2 8 18 3" xfId="17713"/>
    <cellStyle name="Dane wyjściowe 2 8 18 4" xfId="17714"/>
    <cellStyle name="Dane wyjściowe 2 8 19" xfId="17715"/>
    <cellStyle name="Dane wyjściowe 2 8 19 2" xfId="17716"/>
    <cellStyle name="Dane wyjściowe 2 8 19 3" xfId="17717"/>
    <cellStyle name="Dane wyjściowe 2 8 19 4" xfId="17718"/>
    <cellStyle name="Dane wyjściowe 2 8 2" xfId="17719"/>
    <cellStyle name="Dane wyjściowe 2 8 2 2" xfId="17720"/>
    <cellStyle name="Dane wyjściowe 2 8 2 3" xfId="17721"/>
    <cellStyle name="Dane wyjściowe 2 8 2 4" xfId="17722"/>
    <cellStyle name="Dane wyjściowe 2 8 20" xfId="17723"/>
    <cellStyle name="Dane wyjściowe 2 8 20 2" xfId="17724"/>
    <cellStyle name="Dane wyjściowe 2 8 20 3" xfId="17725"/>
    <cellStyle name="Dane wyjściowe 2 8 20 4" xfId="17726"/>
    <cellStyle name="Dane wyjściowe 2 8 21" xfId="17727"/>
    <cellStyle name="Dane wyjściowe 2 8 21 2" xfId="17728"/>
    <cellStyle name="Dane wyjściowe 2 8 21 3" xfId="17729"/>
    <cellStyle name="Dane wyjściowe 2 8 22" xfId="17730"/>
    <cellStyle name="Dane wyjściowe 2 8 22 2" xfId="17731"/>
    <cellStyle name="Dane wyjściowe 2 8 22 3" xfId="17732"/>
    <cellStyle name="Dane wyjściowe 2 8 23" xfId="17733"/>
    <cellStyle name="Dane wyjściowe 2 8 23 2" xfId="17734"/>
    <cellStyle name="Dane wyjściowe 2 8 23 3" xfId="17735"/>
    <cellStyle name="Dane wyjściowe 2 8 24" xfId="17736"/>
    <cellStyle name="Dane wyjściowe 2 8 24 2" xfId="17737"/>
    <cellStyle name="Dane wyjściowe 2 8 24 3" xfId="17738"/>
    <cellStyle name="Dane wyjściowe 2 8 25" xfId="17739"/>
    <cellStyle name="Dane wyjściowe 2 8 25 2" xfId="17740"/>
    <cellStyle name="Dane wyjściowe 2 8 25 3" xfId="17741"/>
    <cellStyle name="Dane wyjściowe 2 8 26" xfId="17742"/>
    <cellStyle name="Dane wyjściowe 2 8 26 2" xfId="17743"/>
    <cellStyle name="Dane wyjściowe 2 8 26 3" xfId="17744"/>
    <cellStyle name="Dane wyjściowe 2 8 27" xfId="17745"/>
    <cellStyle name="Dane wyjściowe 2 8 27 2" xfId="17746"/>
    <cellStyle name="Dane wyjściowe 2 8 27 3" xfId="17747"/>
    <cellStyle name="Dane wyjściowe 2 8 28" xfId="17748"/>
    <cellStyle name="Dane wyjściowe 2 8 28 2" xfId="17749"/>
    <cellStyle name="Dane wyjściowe 2 8 28 3" xfId="17750"/>
    <cellStyle name="Dane wyjściowe 2 8 29" xfId="17751"/>
    <cellStyle name="Dane wyjściowe 2 8 29 2" xfId="17752"/>
    <cellStyle name="Dane wyjściowe 2 8 29 3" xfId="17753"/>
    <cellStyle name="Dane wyjściowe 2 8 3" xfId="17754"/>
    <cellStyle name="Dane wyjściowe 2 8 3 2" xfId="17755"/>
    <cellStyle name="Dane wyjściowe 2 8 3 3" xfId="17756"/>
    <cellStyle name="Dane wyjściowe 2 8 3 4" xfId="17757"/>
    <cellStyle name="Dane wyjściowe 2 8 30" xfId="17758"/>
    <cellStyle name="Dane wyjściowe 2 8 30 2" xfId="17759"/>
    <cellStyle name="Dane wyjściowe 2 8 30 3" xfId="17760"/>
    <cellStyle name="Dane wyjściowe 2 8 31" xfId="17761"/>
    <cellStyle name="Dane wyjściowe 2 8 31 2" xfId="17762"/>
    <cellStyle name="Dane wyjściowe 2 8 31 3" xfId="17763"/>
    <cellStyle name="Dane wyjściowe 2 8 32" xfId="17764"/>
    <cellStyle name="Dane wyjściowe 2 8 32 2" xfId="17765"/>
    <cellStyle name="Dane wyjściowe 2 8 32 3" xfId="17766"/>
    <cellStyle name="Dane wyjściowe 2 8 33" xfId="17767"/>
    <cellStyle name="Dane wyjściowe 2 8 33 2" xfId="17768"/>
    <cellStyle name="Dane wyjściowe 2 8 33 3" xfId="17769"/>
    <cellStyle name="Dane wyjściowe 2 8 34" xfId="17770"/>
    <cellStyle name="Dane wyjściowe 2 8 34 2" xfId="17771"/>
    <cellStyle name="Dane wyjściowe 2 8 34 3" xfId="17772"/>
    <cellStyle name="Dane wyjściowe 2 8 35" xfId="17773"/>
    <cellStyle name="Dane wyjściowe 2 8 35 2" xfId="17774"/>
    <cellStyle name="Dane wyjściowe 2 8 35 3" xfId="17775"/>
    <cellStyle name="Dane wyjściowe 2 8 36" xfId="17776"/>
    <cellStyle name="Dane wyjściowe 2 8 36 2" xfId="17777"/>
    <cellStyle name="Dane wyjściowe 2 8 36 3" xfId="17778"/>
    <cellStyle name="Dane wyjściowe 2 8 37" xfId="17779"/>
    <cellStyle name="Dane wyjściowe 2 8 37 2" xfId="17780"/>
    <cellStyle name="Dane wyjściowe 2 8 37 3" xfId="17781"/>
    <cellStyle name="Dane wyjściowe 2 8 38" xfId="17782"/>
    <cellStyle name="Dane wyjściowe 2 8 38 2" xfId="17783"/>
    <cellStyle name="Dane wyjściowe 2 8 38 3" xfId="17784"/>
    <cellStyle name="Dane wyjściowe 2 8 39" xfId="17785"/>
    <cellStyle name="Dane wyjściowe 2 8 39 2" xfId="17786"/>
    <cellStyle name="Dane wyjściowe 2 8 39 3" xfId="17787"/>
    <cellStyle name="Dane wyjściowe 2 8 4" xfId="17788"/>
    <cellStyle name="Dane wyjściowe 2 8 4 2" xfId="17789"/>
    <cellStyle name="Dane wyjściowe 2 8 4 3" xfId="17790"/>
    <cellStyle name="Dane wyjściowe 2 8 4 4" xfId="17791"/>
    <cellStyle name="Dane wyjściowe 2 8 40" xfId="17792"/>
    <cellStyle name="Dane wyjściowe 2 8 40 2" xfId="17793"/>
    <cellStyle name="Dane wyjściowe 2 8 40 3" xfId="17794"/>
    <cellStyle name="Dane wyjściowe 2 8 41" xfId="17795"/>
    <cellStyle name="Dane wyjściowe 2 8 41 2" xfId="17796"/>
    <cellStyle name="Dane wyjściowe 2 8 41 3" xfId="17797"/>
    <cellStyle name="Dane wyjściowe 2 8 42" xfId="17798"/>
    <cellStyle name="Dane wyjściowe 2 8 42 2" xfId="17799"/>
    <cellStyle name="Dane wyjściowe 2 8 42 3" xfId="17800"/>
    <cellStyle name="Dane wyjściowe 2 8 43" xfId="17801"/>
    <cellStyle name="Dane wyjściowe 2 8 43 2" xfId="17802"/>
    <cellStyle name="Dane wyjściowe 2 8 43 3" xfId="17803"/>
    <cellStyle name="Dane wyjściowe 2 8 44" xfId="17804"/>
    <cellStyle name="Dane wyjściowe 2 8 44 2" xfId="17805"/>
    <cellStyle name="Dane wyjściowe 2 8 44 3" xfId="17806"/>
    <cellStyle name="Dane wyjściowe 2 8 45" xfId="17807"/>
    <cellStyle name="Dane wyjściowe 2 8 45 2" xfId="17808"/>
    <cellStyle name="Dane wyjściowe 2 8 45 3" xfId="17809"/>
    <cellStyle name="Dane wyjściowe 2 8 46" xfId="17810"/>
    <cellStyle name="Dane wyjściowe 2 8 46 2" xfId="17811"/>
    <cellStyle name="Dane wyjściowe 2 8 46 3" xfId="17812"/>
    <cellStyle name="Dane wyjściowe 2 8 47" xfId="17813"/>
    <cellStyle name="Dane wyjściowe 2 8 47 2" xfId="17814"/>
    <cellStyle name="Dane wyjściowe 2 8 47 3" xfId="17815"/>
    <cellStyle name="Dane wyjściowe 2 8 48" xfId="17816"/>
    <cellStyle name="Dane wyjściowe 2 8 48 2" xfId="17817"/>
    <cellStyle name="Dane wyjściowe 2 8 48 3" xfId="17818"/>
    <cellStyle name="Dane wyjściowe 2 8 49" xfId="17819"/>
    <cellStyle name="Dane wyjściowe 2 8 49 2" xfId="17820"/>
    <cellStyle name="Dane wyjściowe 2 8 49 3" xfId="17821"/>
    <cellStyle name="Dane wyjściowe 2 8 5" xfId="17822"/>
    <cellStyle name="Dane wyjściowe 2 8 5 2" xfId="17823"/>
    <cellStyle name="Dane wyjściowe 2 8 5 3" xfId="17824"/>
    <cellStyle name="Dane wyjściowe 2 8 5 4" xfId="17825"/>
    <cellStyle name="Dane wyjściowe 2 8 50" xfId="17826"/>
    <cellStyle name="Dane wyjściowe 2 8 50 2" xfId="17827"/>
    <cellStyle name="Dane wyjściowe 2 8 50 3" xfId="17828"/>
    <cellStyle name="Dane wyjściowe 2 8 51" xfId="17829"/>
    <cellStyle name="Dane wyjściowe 2 8 51 2" xfId="17830"/>
    <cellStyle name="Dane wyjściowe 2 8 51 3" xfId="17831"/>
    <cellStyle name="Dane wyjściowe 2 8 52" xfId="17832"/>
    <cellStyle name="Dane wyjściowe 2 8 52 2" xfId="17833"/>
    <cellStyle name="Dane wyjściowe 2 8 52 3" xfId="17834"/>
    <cellStyle name="Dane wyjściowe 2 8 53" xfId="17835"/>
    <cellStyle name="Dane wyjściowe 2 8 53 2" xfId="17836"/>
    <cellStyle name="Dane wyjściowe 2 8 53 3" xfId="17837"/>
    <cellStyle name="Dane wyjściowe 2 8 54" xfId="17838"/>
    <cellStyle name="Dane wyjściowe 2 8 54 2" xfId="17839"/>
    <cellStyle name="Dane wyjściowe 2 8 54 3" xfId="17840"/>
    <cellStyle name="Dane wyjściowe 2 8 55" xfId="17841"/>
    <cellStyle name="Dane wyjściowe 2 8 55 2" xfId="17842"/>
    <cellStyle name="Dane wyjściowe 2 8 55 3" xfId="17843"/>
    <cellStyle name="Dane wyjściowe 2 8 56" xfId="17844"/>
    <cellStyle name="Dane wyjściowe 2 8 56 2" xfId="17845"/>
    <cellStyle name="Dane wyjściowe 2 8 56 3" xfId="17846"/>
    <cellStyle name="Dane wyjściowe 2 8 57" xfId="17847"/>
    <cellStyle name="Dane wyjściowe 2 8 58" xfId="17848"/>
    <cellStyle name="Dane wyjściowe 2 8 6" xfId="17849"/>
    <cellStyle name="Dane wyjściowe 2 8 6 2" xfId="17850"/>
    <cellStyle name="Dane wyjściowe 2 8 6 3" xfId="17851"/>
    <cellStyle name="Dane wyjściowe 2 8 6 4" xfId="17852"/>
    <cellStyle name="Dane wyjściowe 2 8 7" xfId="17853"/>
    <cellStyle name="Dane wyjściowe 2 8 7 2" xfId="17854"/>
    <cellStyle name="Dane wyjściowe 2 8 7 3" xfId="17855"/>
    <cellStyle name="Dane wyjściowe 2 8 7 4" xfId="17856"/>
    <cellStyle name="Dane wyjściowe 2 8 8" xfId="17857"/>
    <cellStyle name="Dane wyjściowe 2 8 8 2" xfId="17858"/>
    <cellStyle name="Dane wyjściowe 2 8 8 3" xfId="17859"/>
    <cellStyle name="Dane wyjściowe 2 8 8 4" xfId="17860"/>
    <cellStyle name="Dane wyjściowe 2 8 9" xfId="17861"/>
    <cellStyle name="Dane wyjściowe 2 8 9 2" xfId="17862"/>
    <cellStyle name="Dane wyjściowe 2 8 9 3" xfId="17863"/>
    <cellStyle name="Dane wyjściowe 2 8 9 4" xfId="17864"/>
    <cellStyle name="Dane wyjściowe 2 80" xfId="17865"/>
    <cellStyle name="Dane wyjściowe 2 80 2" xfId="17866"/>
    <cellStyle name="Dane wyjściowe 2 80 3" xfId="17867"/>
    <cellStyle name="Dane wyjściowe 2 81" xfId="17868"/>
    <cellStyle name="Dane wyjściowe 2 81 2" xfId="17869"/>
    <cellStyle name="Dane wyjściowe 2 81 3" xfId="17870"/>
    <cellStyle name="Dane wyjściowe 2 82" xfId="17871"/>
    <cellStyle name="Dane wyjściowe 2 82 2" xfId="17872"/>
    <cellStyle name="Dane wyjściowe 2 82 3" xfId="17873"/>
    <cellStyle name="Dane wyjściowe 2 83" xfId="17874"/>
    <cellStyle name="Dane wyjściowe 2 83 2" xfId="17875"/>
    <cellStyle name="Dane wyjściowe 2 83 3" xfId="17876"/>
    <cellStyle name="Dane wyjściowe 2 84" xfId="17877"/>
    <cellStyle name="Dane wyjściowe 2 84 2" xfId="17878"/>
    <cellStyle name="Dane wyjściowe 2 84 3" xfId="17879"/>
    <cellStyle name="Dane wyjściowe 2 85" xfId="17880"/>
    <cellStyle name="Dane wyjściowe 2 85 2" xfId="17881"/>
    <cellStyle name="Dane wyjściowe 2 85 3" xfId="17882"/>
    <cellStyle name="Dane wyjściowe 2 86" xfId="17883"/>
    <cellStyle name="Dane wyjściowe 2 86 2" xfId="17884"/>
    <cellStyle name="Dane wyjściowe 2 86 3" xfId="17885"/>
    <cellStyle name="Dane wyjściowe 2 87" xfId="17886"/>
    <cellStyle name="Dane wyjściowe 2 87 2" xfId="17887"/>
    <cellStyle name="Dane wyjściowe 2 87 3" xfId="17888"/>
    <cellStyle name="Dane wyjściowe 2 88" xfId="17889"/>
    <cellStyle name="Dane wyjściowe 2 89" xfId="17890"/>
    <cellStyle name="Dane wyjściowe 2 9" xfId="17891"/>
    <cellStyle name="Dane wyjściowe 2 9 10" xfId="17892"/>
    <cellStyle name="Dane wyjściowe 2 9 10 2" xfId="17893"/>
    <cellStyle name="Dane wyjściowe 2 9 10 3" xfId="17894"/>
    <cellStyle name="Dane wyjściowe 2 9 10 4" xfId="17895"/>
    <cellStyle name="Dane wyjściowe 2 9 11" xfId="17896"/>
    <cellStyle name="Dane wyjściowe 2 9 11 2" xfId="17897"/>
    <cellStyle name="Dane wyjściowe 2 9 11 3" xfId="17898"/>
    <cellStyle name="Dane wyjściowe 2 9 11 4" xfId="17899"/>
    <cellStyle name="Dane wyjściowe 2 9 12" xfId="17900"/>
    <cellStyle name="Dane wyjściowe 2 9 12 2" xfId="17901"/>
    <cellStyle name="Dane wyjściowe 2 9 12 3" xfId="17902"/>
    <cellStyle name="Dane wyjściowe 2 9 12 4" xfId="17903"/>
    <cellStyle name="Dane wyjściowe 2 9 13" xfId="17904"/>
    <cellStyle name="Dane wyjściowe 2 9 13 2" xfId="17905"/>
    <cellStyle name="Dane wyjściowe 2 9 13 3" xfId="17906"/>
    <cellStyle name="Dane wyjściowe 2 9 13 4" xfId="17907"/>
    <cellStyle name="Dane wyjściowe 2 9 14" xfId="17908"/>
    <cellStyle name="Dane wyjściowe 2 9 14 2" xfId="17909"/>
    <cellStyle name="Dane wyjściowe 2 9 14 3" xfId="17910"/>
    <cellStyle name="Dane wyjściowe 2 9 14 4" xfId="17911"/>
    <cellStyle name="Dane wyjściowe 2 9 15" xfId="17912"/>
    <cellStyle name="Dane wyjściowe 2 9 15 2" xfId="17913"/>
    <cellStyle name="Dane wyjściowe 2 9 15 3" xfId="17914"/>
    <cellStyle name="Dane wyjściowe 2 9 15 4" xfId="17915"/>
    <cellStyle name="Dane wyjściowe 2 9 16" xfId="17916"/>
    <cellStyle name="Dane wyjściowe 2 9 16 2" xfId="17917"/>
    <cellStyle name="Dane wyjściowe 2 9 16 3" xfId="17918"/>
    <cellStyle name="Dane wyjściowe 2 9 16 4" xfId="17919"/>
    <cellStyle name="Dane wyjściowe 2 9 17" xfId="17920"/>
    <cellStyle name="Dane wyjściowe 2 9 17 2" xfId="17921"/>
    <cellStyle name="Dane wyjściowe 2 9 17 3" xfId="17922"/>
    <cellStyle name="Dane wyjściowe 2 9 17 4" xfId="17923"/>
    <cellStyle name="Dane wyjściowe 2 9 18" xfId="17924"/>
    <cellStyle name="Dane wyjściowe 2 9 18 2" xfId="17925"/>
    <cellStyle name="Dane wyjściowe 2 9 18 3" xfId="17926"/>
    <cellStyle name="Dane wyjściowe 2 9 18 4" xfId="17927"/>
    <cellStyle name="Dane wyjściowe 2 9 19" xfId="17928"/>
    <cellStyle name="Dane wyjściowe 2 9 19 2" xfId="17929"/>
    <cellStyle name="Dane wyjściowe 2 9 19 3" xfId="17930"/>
    <cellStyle name="Dane wyjściowe 2 9 19 4" xfId="17931"/>
    <cellStyle name="Dane wyjściowe 2 9 2" xfId="17932"/>
    <cellStyle name="Dane wyjściowe 2 9 2 2" xfId="17933"/>
    <cellStyle name="Dane wyjściowe 2 9 2 3" xfId="17934"/>
    <cellStyle name="Dane wyjściowe 2 9 2 4" xfId="17935"/>
    <cellStyle name="Dane wyjściowe 2 9 20" xfId="17936"/>
    <cellStyle name="Dane wyjściowe 2 9 20 2" xfId="17937"/>
    <cellStyle name="Dane wyjściowe 2 9 20 3" xfId="17938"/>
    <cellStyle name="Dane wyjściowe 2 9 20 4" xfId="17939"/>
    <cellStyle name="Dane wyjściowe 2 9 21" xfId="17940"/>
    <cellStyle name="Dane wyjściowe 2 9 21 2" xfId="17941"/>
    <cellStyle name="Dane wyjściowe 2 9 21 3" xfId="17942"/>
    <cellStyle name="Dane wyjściowe 2 9 22" xfId="17943"/>
    <cellStyle name="Dane wyjściowe 2 9 22 2" xfId="17944"/>
    <cellStyle name="Dane wyjściowe 2 9 22 3" xfId="17945"/>
    <cellStyle name="Dane wyjściowe 2 9 23" xfId="17946"/>
    <cellStyle name="Dane wyjściowe 2 9 23 2" xfId="17947"/>
    <cellStyle name="Dane wyjściowe 2 9 23 3" xfId="17948"/>
    <cellStyle name="Dane wyjściowe 2 9 24" xfId="17949"/>
    <cellStyle name="Dane wyjściowe 2 9 24 2" xfId="17950"/>
    <cellStyle name="Dane wyjściowe 2 9 24 3" xfId="17951"/>
    <cellStyle name="Dane wyjściowe 2 9 25" xfId="17952"/>
    <cellStyle name="Dane wyjściowe 2 9 25 2" xfId="17953"/>
    <cellStyle name="Dane wyjściowe 2 9 25 3" xfId="17954"/>
    <cellStyle name="Dane wyjściowe 2 9 26" xfId="17955"/>
    <cellStyle name="Dane wyjściowe 2 9 26 2" xfId="17956"/>
    <cellStyle name="Dane wyjściowe 2 9 26 3" xfId="17957"/>
    <cellStyle name="Dane wyjściowe 2 9 27" xfId="17958"/>
    <cellStyle name="Dane wyjściowe 2 9 27 2" xfId="17959"/>
    <cellStyle name="Dane wyjściowe 2 9 27 3" xfId="17960"/>
    <cellStyle name="Dane wyjściowe 2 9 28" xfId="17961"/>
    <cellStyle name="Dane wyjściowe 2 9 28 2" xfId="17962"/>
    <cellStyle name="Dane wyjściowe 2 9 28 3" xfId="17963"/>
    <cellStyle name="Dane wyjściowe 2 9 29" xfId="17964"/>
    <cellStyle name="Dane wyjściowe 2 9 29 2" xfId="17965"/>
    <cellStyle name="Dane wyjściowe 2 9 29 3" xfId="17966"/>
    <cellStyle name="Dane wyjściowe 2 9 3" xfId="17967"/>
    <cellStyle name="Dane wyjściowe 2 9 3 2" xfId="17968"/>
    <cellStyle name="Dane wyjściowe 2 9 3 3" xfId="17969"/>
    <cellStyle name="Dane wyjściowe 2 9 3 4" xfId="17970"/>
    <cellStyle name="Dane wyjściowe 2 9 30" xfId="17971"/>
    <cellStyle name="Dane wyjściowe 2 9 30 2" xfId="17972"/>
    <cellStyle name="Dane wyjściowe 2 9 30 3" xfId="17973"/>
    <cellStyle name="Dane wyjściowe 2 9 31" xfId="17974"/>
    <cellStyle name="Dane wyjściowe 2 9 31 2" xfId="17975"/>
    <cellStyle name="Dane wyjściowe 2 9 31 3" xfId="17976"/>
    <cellStyle name="Dane wyjściowe 2 9 32" xfId="17977"/>
    <cellStyle name="Dane wyjściowe 2 9 32 2" xfId="17978"/>
    <cellStyle name="Dane wyjściowe 2 9 32 3" xfId="17979"/>
    <cellStyle name="Dane wyjściowe 2 9 33" xfId="17980"/>
    <cellStyle name="Dane wyjściowe 2 9 33 2" xfId="17981"/>
    <cellStyle name="Dane wyjściowe 2 9 33 3" xfId="17982"/>
    <cellStyle name="Dane wyjściowe 2 9 34" xfId="17983"/>
    <cellStyle name="Dane wyjściowe 2 9 34 2" xfId="17984"/>
    <cellStyle name="Dane wyjściowe 2 9 34 3" xfId="17985"/>
    <cellStyle name="Dane wyjściowe 2 9 35" xfId="17986"/>
    <cellStyle name="Dane wyjściowe 2 9 35 2" xfId="17987"/>
    <cellStyle name="Dane wyjściowe 2 9 35 3" xfId="17988"/>
    <cellStyle name="Dane wyjściowe 2 9 36" xfId="17989"/>
    <cellStyle name="Dane wyjściowe 2 9 36 2" xfId="17990"/>
    <cellStyle name="Dane wyjściowe 2 9 36 3" xfId="17991"/>
    <cellStyle name="Dane wyjściowe 2 9 37" xfId="17992"/>
    <cellStyle name="Dane wyjściowe 2 9 37 2" xfId="17993"/>
    <cellStyle name="Dane wyjściowe 2 9 37 3" xfId="17994"/>
    <cellStyle name="Dane wyjściowe 2 9 38" xfId="17995"/>
    <cellStyle name="Dane wyjściowe 2 9 38 2" xfId="17996"/>
    <cellStyle name="Dane wyjściowe 2 9 38 3" xfId="17997"/>
    <cellStyle name="Dane wyjściowe 2 9 39" xfId="17998"/>
    <cellStyle name="Dane wyjściowe 2 9 39 2" xfId="17999"/>
    <cellStyle name="Dane wyjściowe 2 9 39 3" xfId="18000"/>
    <cellStyle name="Dane wyjściowe 2 9 4" xfId="18001"/>
    <cellStyle name="Dane wyjściowe 2 9 4 2" xfId="18002"/>
    <cellStyle name="Dane wyjściowe 2 9 4 3" xfId="18003"/>
    <cellStyle name="Dane wyjściowe 2 9 4 4" xfId="18004"/>
    <cellStyle name="Dane wyjściowe 2 9 40" xfId="18005"/>
    <cellStyle name="Dane wyjściowe 2 9 40 2" xfId="18006"/>
    <cellStyle name="Dane wyjściowe 2 9 40 3" xfId="18007"/>
    <cellStyle name="Dane wyjściowe 2 9 41" xfId="18008"/>
    <cellStyle name="Dane wyjściowe 2 9 41 2" xfId="18009"/>
    <cellStyle name="Dane wyjściowe 2 9 41 3" xfId="18010"/>
    <cellStyle name="Dane wyjściowe 2 9 42" xfId="18011"/>
    <cellStyle name="Dane wyjściowe 2 9 42 2" xfId="18012"/>
    <cellStyle name="Dane wyjściowe 2 9 42 3" xfId="18013"/>
    <cellStyle name="Dane wyjściowe 2 9 43" xfId="18014"/>
    <cellStyle name="Dane wyjściowe 2 9 43 2" xfId="18015"/>
    <cellStyle name="Dane wyjściowe 2 9 43 3" xfId="18016"/>
    <cellStyle name="Dane wyjściowe 2 9 44" xfId="18017"/>
    <cellStyle name="Dane wyjściowe 2 9 44 2" xfId="18018"/>
    <cellStyle name="Dane wyjściowe 2 9 44 3" xfId="18019"/>
    <cellStyle name="Dane wyjściowe 2 9 45" xfId="18020"/>
    <cellStyle name="Dane wyjściowe 2 9 45 2" xfId="18021"/>
    <cellStyle name="Dane wyjściowe 2 9 45 3" xfId="18022"/>
    <cellStyle name="Dane wyjściowe 2 9 46" xfId="18023"/>
    <cellStyle name="Dane wyjściowe 2 9 46 2" xfId="18024"/>
    <cellStyle name="Dane wyjściowe 2 9 46 3" xfId="18025"/>
    <cellStyle name="Dane wyjściowe 2 9 47" xfId="18026"/>
    <cellStyle name="Dane wyjściowe 2 9 47 2" xfId="18027"/>
    <cellStyle name="Dane wyjściowe 2 9 47 3" xfId="18028"/>
    <cellStyle name="Dane wyjściowe 2 9 48" xfId="18029"/>
    <cellStyle name="Dane wyjściowe 2 9 48 2" xfId="18030"/>
    <cellStyle name="Dane wyjściowe 2 9 48 3" xfId="18031"/>
    <cellStyle name="Dane wyjściowe 2 9 49" xfId="18032"/>
    <cellStyle name="Dane wyjściowe 2 9 49 2" xfId="18033"/>
    <cellStyle name="Dane wyjściowe 2 9 49 3" xfId="18034"/>
    <cellStyle name="Dane wyjściowe 2 9 5" xfId="18035"/>
    <cellStyle name="Dane wyjściowe 2 9 5 2" xfId="18036"/>
    <cellStyle name="Dane wyjściowe 2 9 5 3" xfId="18037"/>
    <cellStyle name="Dane wyjściowe 2 9 5 4" xfId="18038"/>
    <cellStyle name="Dane wyjściowe 2 9 50" xfId="18039"/>
    <cellStyle name="Dane wyjściowe 2 9 50 2" xfId="18040"/>
    <cellStyle name="Dane wyjściowe 2 9 50 3" xfId="18041"/>
    <cellStyle name="Dane wyjściowe 2 9 51" xfId="18042"/>
    <cellStyle name="Dane wyjściowe 2 9 51 2" xfId="18043"/>
    <cellStyle name="Dane wyjściowe 2 9 51 3" xfId="18044"/>
    <cellStyle name="Dane wyjściowe 2 9 52" xfId="18045"/>
    <cellStyle name="Dane wyjściowe 2 9 52 2" xfId="18046"/>
    <cellStyle name="Dane wyjściowe 2 9 52 3" xfId="18047"/>
    <cellStyle name="Dane wyjściowe 2 9 53" xfId="18048"/>
    <cellStyle name="Dane wyjściowe 2 9 53 2" xfId="18049"/>
    <cellStyle name="Dane wyjściowe 2 9 53 3" xfId="18050"/>
    <cellStyle name="Dane wyjściowe 2 9 54" xfId="18051"/>
    <cellStyle name="Dane wyjściowe 2 9 54 2" xfId="18052"/>
    <cellStyle name="Dane wyjściowe 2 9 54 3" xfId="18053"/>
    <cellStyle name="Dane wyjściowe 2 9 55" xfId="18054"/>
    <cellStyle name="Dane wyjściowe 2 9 55 2" xfId="18055"/>
    <cellStyle name="Dane wyjściowe 2 9 55 3" xfId="18056"/>
    <cellStyle name="Dane wyjściowe 2 9 56" xfId="18057"/>
    <cellStyle name="Dane wyjściowe 2 9 56 2" xfId="18058"/>
    <cellStyle name="Dane wyjściowe 2 9 56 3" xfId="18059"/>
    <cellStyle name="Dane wyjściowe 2 9 57" xfId="18060"/>
    <cellStyle name="Dane wyjściowe 2 9 58" xfId="18061"/>
    <cellStyle name="Dane wyjściowe 2 9 6" xfId="18062"/>
    <cellStyle name="Dane wyjściowe 2 9 6 2" xfId="18063"/>
    <cellStyle name="Dane wyjściowe 2 9 6 3" xfId="18064"/>
    <cellStyle name="Dane wyjściowe 2 9 6 4" xfId="18065"/>
    <cellStyle name="Dane wyjściowe 2 9 7" xfId="18066"/>
    <cellStyle name="Dane wyjściowe 2 9 7 2" xfId="18067"/>
    <cellStyle name="Dane wyjściowe 2 9 7 3" xfId="18068"/>
    <cellStyle name="Dane wyjściowe 2 9 7 4" xfId="18069"/>
    <cellStyle name="Dane wyjściowe 2 9 8" xfId="18070"/>
    <cellStyle name="Dane wyjściowe 2 9 8 2" xfId="18071"/>
    <cellStyle name="Dane wyjściowe 2 9 8 3" xfId="18072"/>
    <cellStyle name="Dane wyjściowe 2 9 8 4" xfId="18073"/>
    <cellStyle name="Dane wyjściowe 2 9 9" xfId="18074"/>
    <cellStyle name="Dane wyjściowe 2 9 9 2" xfId="18075"/>
    <cellStyle name="Dane wyjściowe 2 9 9 3" xfId="18076"/>
    <cellStyle name="Dane wyjściowe 2 9 9 4" xfId="18077"/>
    <cellStyle name="Dane wyjściowe 3" xfId="18078"/>
    <cellStyle name="Dane wyjściowe 3 2" xfId="18079"/>
    <cellStyle name="Dane wyjściowe 3 2 2" xfId="18080"/>
    <cellStyle name="Dane wyjściowe 3 3" xfId="18081"/>
    <cellStyle name="Dane wyjściowe 3 4" xfId="18082"/>
    <cellStyle name="Dane wyjściowe 3 5" xfId="18083"/>
    <cellStyle name="Dane wyjściowe 3 6" xfId="18084"/>
    <cellStyle name="Dane wyjściowe 3 7" xfId="18085"/>
    <cellStyle name="Dane wyjściowe 3 8" xfId="18086"/>
    <cellStyle name="Dane wyjściowe 3 9" xfId="18087"/>
    <cellStyle name="Dane wyjściowe 4" xfId="18088"/>
    <cellStyle name="Dane wyjściowe 4 2" xfId="18089"/>
    <cellStyle name="Dane wyjściowe 4 3" xfId="18090"/>
    <cellStyle name="Dane wyjściowe 4 4" xfId="18091"/>
    <cellStyle name="Dane wyjściowe 4 5" xfId="18092"/>
    <cellStyle name="Dane wyjściowe 4 6" xfId="18093"/>
    <cellStyle name="Dane wyjściowe 4 7" xfId="18094"/>
    <cellStyle name="Dane wyjściowe 4 8" xfId="18095"/>
    <cellStyle name="Dane wyjściowe 4 9" xfId="18096"/>
    <cellStyle name="Dane wyjściowe 5" xfId="18097"/>
    <cellStyle name="Dane wyjściowe 5 2" xfId="18098"/>
    <cellStyle name="Dane wyjściowe 5 3" xfId="18099"/>
    <cellStyle name="Dane wyjściowe 6" xfId="18100"/>
    <cellStyle name="Dane wyjściowe 6 2" xfId="18101"/>
    <cellStyle name="Dane wyjściowe 7" xfId="18102"/>
    <cellStyle name="Dobre 2" xfId="18103"/>
    <cellStyle name="Dobre 2 10" xfId="18104"/>
    <cellStyle name="Dobre 2 10 2" xfId="18105"/>
    <cellStyle name="Dobre 2 10 3" xfId="18106"/>
    <cellStyle name="Dobre 2 10 4" xfId="18107"/>
    <cellStyle name="Dobre 2 10 5" xfId="18108"/>
    <cellStyle name="Dobre 2 10 6" xfId="18109"/>
    <cellStyle name="Dobre 2 10 7" xfId="18110"/>
    <cellStyle name="Dobre 2 11" xfId="18111"/>
    <cellStyle name="Dobre 2 11 2" xfId="18112"/>
    <cellStyle name="Dobre 2 11 3" xfId="18113"/>
    <cellStyle name="Dobre 2 11 4" xfId="18114"/>
    <cellStyle name="Dobre 2 11 5" xfId="18115"/>
    <cellStyle name="Dobre 2 11 6" xfId="18116"/>
    <cellStyle name="Dobre 2 11 7" xfId="18117"/>
    <cellStyle name="Dobre 2 12" xfId="18118"/>
    <cellStyle name="Dobre 2 12 2" xfId="18119"/>
    <cellStyle name="Dobre 2 12 3" xfId="18120"/>
    <cellStyle name="Dobre 2 12 4" xfId="18121"/>
    <cellStyle name="Dobre 2 12 5" xfId="18122"/>
    <cellStyle name="Dobre 2 12 6" xfId="18123"/>
    <cellStyle name="Dobre 2 12 7" xfId="18124"/>
    <cellStyle name="Dobre 2 13" xfId="18125"/>
    <cellStyle name="Dobre 2 13 2" xfId="18126"/>
    <cellStyle name="Dobre 2 13 3" xfId="18127"/>
    <cellStyle name="Dobre 2 13 4" xfId="18128"/>
    <cellStyle name="Dobre 2 13 5" xfId="18129"/>
    <cellStyle name="Dobre 2 13 6" xfId="18130"/>
    <cellStyle name="Dobre 2 13 7" xfId="18131"/>
    <cellStyle name="Dobre 2 14" xfId="18132"/>
    <cellStyle name="Dobre 2 14 2" xfId="18133"/>
    <cellStyle name="Dobre 2 14 3" xfId="18134"/>
    <cellStyle name="Dobre 2 14 4" xfId="18135"/>
    <cellStyle name="Dobre 2 14 5" xfId="18136"/>
    <cellStyle name="Dobre 2 14 6" xfId="18137"/>
    <cellStyle name="Dobre 2 14 7" xfId="18138"/>
    <cellStyle name="Dobre 2 15" xfId="18139"/>
    <cellStyle name="Dobre 2 15 2" xfId="18140"/>
    <cellStyle name="Dobre 2 15 3" xfId="18141"/>
    <cellStyle name="Dobre 2 15 4" xfId="18142"/>
    <cellStyle name="Dobre 2 15 5" xfId="18143"/>
    <cellStyle name="Dobre 2 15 6" xfId="18144"/>
    <cellStyle name="Dobre 2 15 7" xfId="18145"/>
    <cellStyle name="Dobre 2 16" xfId="18146"/>
    <cellStyle name="Dobre 2 16 2" xfId="18147"/>
    <cellStyle name="Dobre 2 16 3" xfId="18148"/>
    <cellStyle name="Dobre 2 16 4" xfId="18149"/>
    <cellStyle name="Dobre 2 16 5" xfId="18150"/>
    <cellStyle name="Dobre 2 16 6" xfId="18151"/>
    <cellStyle name="Dobre 2 16 7" xfId="18152"/>
    <cellStyle name="Dobre 2 17" xfId="18153"/>
    <cellStyle name="Dobre 2 17 2" xfId="18154"/>
    <cellStyle name="Dobre 2 17 3" xfId="18155"/>
    <cellStyle name="Dobre 2 17 4" xfId="18156"/>
    <cellStyle name="Dobre 2 17 5" xfId="18157"/>
    <cellStyle name="Dobre 2 17 6" xfId="18158"/>
    <cellStyle name="Dobre 2 17 7" xfId="18159"/>
    <cellStyle name="Dobre 2 18" xfId="18160"/>
    <cellStyle name="Dobre 2 18 2" xfId="18161"/>
    <cellStyle name="Dobre 2 18 3" xfId="18162"/>
    <cellStyle name="Dobre 2 18 4" xfId="18163"/>
    <cellStyle name="Dobre 2 18 5" xfId="18164"/>
    <cellStyle name="Dobre 2 18 6" xfId="18165"/>
    <cellStyle name="Dobre 2 18 7" xfId="18166"/>
    <cellStyle name="Dobre 2 19" xfId="18167"/>
    <cellStyle name="Dobre 2 19 2" xfId="18168"/>
    <cellStyle name="Dobre 2 19 3" xfId="18169"/>
    <cellStyle name="Dobre 2 19 4" xfId="18170"/>
    <cellStyle name="Dobre 2 19 5" xfId="18171"/>
    <cellStyle name="Dobre 2 19 6" xfId="18172"/>
    <cellStyle name="Dobre 2 19 7" xfId="18173"/>
    <cellStyle name="Dobre 2 2" xfId="18174"/>
    <cellStyle name="Dobre 2 2 2" xfId="18175"/>
    <cellStyle name="Dobre 2 2 3" xfId="18176"/>
    <cellStyle name="Dobre 2 2 4" xfId="18177"/>
    <cellStyle name="Dobre 2 2 5" xfId="18178"/>
    <cellStyle name="Dobre 2 2 6" xfId="18179"/>
    <cellStyle name="Dobre 2 2 7" xfId="18180"/>
    <cellStyle name="Dobre 2 2 8" xfId="18181"/>
    <cellStyle name="Dobre 2 20" xfId="18182"/>
    <cellStyle name="Dobre 2 20 2" xfId="18183"/>
    <cellStyle name="Dobre 2 20 3" xfId="18184"/>
    <cellStyle name="Dobre 2 20 4" xfId="18185"/>
    <cellStyle name="Dobre 2 20 5" xfId="18186"/>
    <cellStyle name="Dobre 2 20 6" xfId="18187"/>
    <cellStyle name="Dobre 2 20 7" xfId="18188"/>
    <cellStyle name="Dobre 2 21" xfId="18189"/>
    <cellStyle name="Dobre 2 21 2" xfId="18190"/>
    <cellStyle name="Dobre 2 21 3" xfId="18191"/>
    <cellStyle name="Dobre 2 21 4" xfId="18192"/>
    <cellStyle name="Dobre 2 21 5" xfId="18193"/>
    <cellStyle name="Dobre 2 21 6" xfId="18194"/>
    <cellStyle name="Dobre 2 21 7" xfId="18195"/>
    <cellStyle name="Dobre 2 22" xfId="18196"/>
    <cellStyle name="Dobre 2 22 2" xfId="18197"/>
    <cellStyle name="Dobre 2 22 3" xfId="18198"/>
    <cellStyle name="Dobre 2 22 4" xfId="18199"/>
    <cellStyle name="Dobre 2 22 5" xfId="18200"/>
    <cellStyle name="Dobre 2 22 6" xfId="18201"/>
    <cellStyle name="Dobre 2 22 7" xfId="18202"/>
    <cellStyle name="Dobre 2 23" xfId="18203"/>
    <cellStyle name="Dobre 2 23 2" xfId="18204"/>
    <cellStyle name="Dobre 2 23 3" xfId="18205"/>
    <cellStyle name="Dobre 2 23 4" xfId="18206"/>
    <cellStyle name="Dobre 2 23 5" xfId="18207"/>
    <cellStyle name="Dobre 2 23 6" xfId="18208"/>
    <cellStyle name="Dobre 2 23 7" xfId="18209"/>
    <cellStyle name="Dobre 2 24" xfId="18210"/>
    <cellStyle name="Dobre 2 24 2" xfId="18211"/>
    <cellStyle name="Dobre 2 24 3" xfId="18212"/>
    <cellStyle name="Dobre 2 24 4" xfId="18213"/>
    <cellStyle name="Dobre 2 24 5" xfId="18214"/>
    <cellStyle name="Dobre 2 24 6" xfId="18215"/>
    <cellStyle name="Dobre 2 24 7" xfId="18216"/>
    <cellStyle name="Dobre 2 25" xfId="18217"/>
    <cellStyle name="Dobre 2 25 2" xfId="18218"/>
    <cellStyle name="Dobre 2 25 3" xfId="18219"/>
    <cellStyle name="Dobre 2 25 4" xfId="18220"/>
    <cellStyle name="Dobre 2 25 5" xfId="18221"/>
    <cellStyle name="Dobre 2 25 6" xfId="18222"/>
    <cellStyle name="Dobre 2 25 7" xfId="18223"/>
    <cellStyle name="Dobre 2 26" xfId="18224"/>
    <cellStyle name="Dobre 2 26 2" xfId="18225"/>
    <cellStyle name="Dobre 2 26 3" xfId="18226"/>
    <cellStyle name="Dobre 2 26 4" xfId="18227"/>
    <cellStyle name="Dobre 2 26 5" xfId="18228"/>
    <cellStyle name="Dobre 2 26 6" xfId="18229"/>
    <cellStyle name="Dobre 2 26 7" xfId="18230"/>
    <cellStyle name="Dobre 2 27" xfId="18231"/>
    <cellStyle name="Dobre 2 27 2" xfId="18232"/>
    <cellStyle name="Dobre 2 27 3" xfId="18233"/>
    <cellStyle name="Dobre 2 27 4" xfId="18234"/>
    <cellStyle name="Dobre 2 27 5" xfId="18235"/>
    <cellStyle name="Dobre 2 27 6" xfId="18236"/>
    <cellStyle name="Dobre 2 27 7" xfId="18237"/>
    <cellStyle name="Dobre 2 28" xfId="18238"/>
    <cellStyle name="Dobre 2 28 2" xfId="18239"/>
    <cellStyle name="Dobre 2 28 3" xfId="18240"/>
    <cellStyle name="Dobre 2 28 4" xfId="18241"/>
    <cellStyle name="Dobre 2 28 5" xfId="18242"/>
    <cellStyle name="Dobre 2 28 6" xfId="18243"/>
    <cellStyle name="Dobre 2 28 7" xfId="18244"/>
    <cellStyle name="Dobre 2 29" xfId="18245"/>
    <cellStyle name="Dobre 2 29 2" xfId="18246"/>
    <cellStyle name="Dobre 2 3" xfId="18247"/>
    <cellStyle name="Dobre 2 3 2" xfId="18248"/>
    <cellStyle name="Dobre 2 3 3" xfId="18249"/>
    <cellStyle name="Dobre 2 3 4" xfId="18250"/>
    <cellStyle name="Dobre 2 3 5" xfId="18251"/>
    <cellStyle name="Dobre 2 3 6" xfId="18252"/>
    <cellStyle name="Dobre 2 3 7" xfId="18253"/>
    <cellStyle name="Dobre 2 30" xfId="18254"/>
    <cellStyle name="Dobre 2 30 2" xfId="18255"/>
    <cellStyle name="Dobre 2 31" xfId="18256"/>
    <cellStyle name="Dobre 2 31 2" xfId="18257"/>
    <cellStyle name="Dobre 2 32" xfId="18258"/>
    <cellStyle name="Dobre 2 32 2" xfId="18259"/>
    <cellStyle name="Dobre 2 33" xfId="18260"/>
    <cellStyle name="Dobre 2 34" xfId="18261"/>
    <cellStyle name="Dobre 2 35" xfId="18262"/>
    <cellStyle name="Dobre 2 36" xfId="18263"/>
    <cellStyle name="Dobre 2 37" xfId="18264"/>
    <cellStyle name="Dobre 2 38" xfId="18265"/>
    <cellStyle name="Dobre 2 39" xfId="18266"/>
    <cellStyle name="Dobre 2 4" xfId="18267"/>
    <cellStyle name="Dobre 2 4 2" xfId="18268"/>
    <cellStyle name="Dobre 2 4 3" xfId="18269"/>
    <cellStyle name="Dobre 2 4 4" xfId="18270"/>
    <cellStyle name="Dobre 2 4 5" xfId="18271"/>
    <cellStyle name="Dobre 2 4 6" xfId="18272"/>
    <cellStyle name="Dobre 2 4 7" xfId="18273"/>
    <cellStyle name="Dobre 2 5" xfId="18274"/>
    <cellStyle name="Dobre 2 5 2" xfId="18275"/>
    <cellStyle name="Dobre 2 5 3" xfId="18276"/>
    <cellStyle name="Dobre 2 5 4" xfId="18277"/>
    <cellStyle name="Dobre 2 5 5" xfId="18278"/>
    <cellStyle name="Dobre 2 5 6" xfId="18279"/>
    <cellStyle name="Dobre 2 5 7" xfId="18280"/>
    <cellStyle name="Dobre 2 6" xfId="18281"/>
    <cellStyle name="Dobre 2 6 2" xfId="18282"/>
    <cellStyle name="Dobre 2 6 3" xfId="18283"/>
    <cellStyle name="Dobre 2 6 4" xfId="18284"/>
    <cellStyle name="Dobre 2 6 5" xfId="18285"/>
    <cellStyle name="Dobre 2 6 6" xfId="18286"/>
    <cellStyle name="Dobre 2 6 7" xfId="18287"/>
    <cellStyle name="Dobre 2 7" xfId="18288"/>
    <cellStyle name="Dobre 2 7 2" xfId="18289"/>
    <cellStyle name="Dobre 2 7 3" xfId="18290"/>
    <cellStyle name="Dobre 2 7 4" xfId="18291"/>
    <cellStyle name="Dobre 2 7 5" xfId="18292"/>
    <cellStyle name="Dobre 2 7 6" xfId="18293"/>
    <cellStyle name="Dobre 2 7 7" xfId="18294"/>
    <cellStyle name="Dobre 2 8" xfId="18295"/>
    <cellStyle name="Dobre 2 8 2" xfId="18296"/>
    <cellStyle name="Dobre 2 8 3" xfId="18297"/>
    <cellStyle name="Dobre 2 8 4" xfId="18298"/>
    <cellStyle name="Dobre 2 8 5" xfId="18299"/>
    <cellStyle name="Dobre 2 8 6" xfId="18300"/>
    <cellStyle name="Dobre 2 8 7" xfId="18301"/>
    <cellStyle name="Dobre 2 9" xfId="18302"/>
    <cellStyle name="Dobre 2 9 2" xfId="18303"/>
    <cellStyle name="Dobre 2 9 3" xfId="18304"/>
    <cellStyle name="Dobre 2 9 4" xfId="18305"/>
    <cellStyle name="Dobre 2 9 5" xfId="18306"/>
    <cellStyle name="Dobre 2 9 6" xfId="18307"/>
    <cellStyle name="Dobre 2 9 7" xfId="18308"/>
    <cellStyle name="Dobre 3" xfId="18309"/>
    <cellStyle name="Dobre 3 2" xfId="18310"/>
    <cellStyle name="Dobre 3 2 2" xfId="18311"/>
    <cellStyle name="Dobre 3 3" xfId="18312"/>
    <cellStyle name="Dobre 3 4" xfId="18313"/>
    <cellStyle name="Dobre 3 5" xfId="18314"/>
    <cellStyle name="Dobre 3 6" xfId="18315"/>
    <cellStyle name="Dobre 3 7" xfId="18316"/>
    <cellStyle name="Dobre 3 8" xfId="18317"/>
    <cellStyle name="Dobre 3 9" xfId="18318"/>
    <cellStyle name="Dobre 4" xfId="18319"/>
    <cellStyle name="Dobre 4 2" xfId="18320"/>
    <cellStyle name="Dobre 4 3" xfId="18321"/>
    <cellStyle name="Dobre 4 4" xfId="18322"/>
    <cellStyle name="Dobre 4 5" xfId="18323"/>
    <cellStyle name="Dobre 4 6" xfId="18324"/>
    <cellStyle name="Dobre 4 7" xfId="18325"/>
    <cellStyle name="Dobre 4 8" xfId="18326"/>
    <cellStyle name="Dobre 4 9" xfId="18327"/>
    <cellStyle name="Dobre 5" xfId="18328"/>
    <cellStyle name="Dobre 5 2" xfId="18329"/>
    <cellStyle name="Dobre 5 3" xfId="18330"/>
    <cellStyle name="Dobre 6" xfId="18331"/>
    <cellStyle name="Dobre 6 2" xfId="18332"/>
    <cellStyle name="Dobre 7" xfId="18333"/>
    <cellStyle name="done" xfId="18334"/>
    <cellStyle name="Dziesietny [0]_Arkusz1" xfId="18335"/>
    <cellStyle name="Dziesietny_Arkusz1" xfId="18336"/>
    <cellStyle name="Dziesiętny" xfId="1" builtinId="3"/>
    <cellStyle name="Dziesiętny 10" xfId="18337"/>
    <cellStyle name="Dziesiętny 11" xfId="18338"/>
    <cellStyle name="Dziesiętny 12" xfId="18339"/>
    <cellStyle name="Dziesiętny 13" xfId="42846"/>
    <cellStyle name="Dziesiętny 14" xfId="10"/>
    <cellStyle name="Dziesiętny 17" xfId="42855"/>
    <cellStyle name="Dziesiętny 2" xfId="8"/>
    <cellStyle name="Dziesiętny 2 10" xfId="18341"/>
    <cellStyle name="Dziesiętny 2 10 2" xfId="18342"/>
    <cellStyle name="Dziesiętny 2 11" xfId="18343"/>
    <cellStyle name="Dziesiętny 2 11 2" xfId="18344"/>
    <cellStyle name="Dziesiętny 2 12" xfId="18345"/>
    <cellStyle name="Dziesiętny 2 12 2" xfId="18346"/>
    <cellStyle name="Dziesiętny 2 13" xfId="18347"/>
    <cellStyle name="Dziesiętny 2 13 2" xfId="18348"/>
    <cellStyle name="Dziesiętny 2 14" xfId="18349"/>
    <cellStyle name="Dziesiętny 2 14 2" xfId="18350"/>
    <cellStyle name="Dziesiętny 2 15" xfId="18351"/>
    <cellStyle name="Dziesiętny 2 15 2" xfId="18352"/>
    <cellStyle name="Dziesiętny 2 16" xfId="18353"/>
    <cellStyle name="Dziesiętny 2 16 2" xfId="18354"/>
    <cellStyle name="Dziesiętny 2 17" xfId="18355"/>
    <cellStyle name="Dziesiętny 2 17 2" xfId="18356"/>
    <cellStyle name="Dziesiętny 2 18" xfId="18357"/>
    <cellStyle name="Dziesiętny 2 18 2" xfId="18358"/>
    <cellStyle name="Dziesiętny 2 19" xfId="18359"/>
    <cellStyle name="Dziesiętny 2 19 2" xfId="18360"/>
    <cellStyle name="Dziesiętny 2 2" xfId="18361"/>
    <cellStyle name="Dziesiętny 2 2 2" xfId="18362"/>
    <cellStyle name="Dziesiętny 2 2 2 2" xfId="18363"/>
    <cellStyle name="Dziesiętny 2 2 2 3" xfId="18364"/>
    <cellStyle name="Dziesiętny 2 2 2 4" xfId="18365"/>
    <cellStyle name="Dziesiętny 2 2 2 5" xfId="18366"/>
    <cellStyle name="Dziesiętny 2 2 2 6" xfId="18367"/>
    <cellStyle name="Dziesiętny 2 2 2 7" xfId="18368"/>
    <cellStyle name="Dziesiętny 2 2 3" xfId="18369"/>
    <cellStyle name="Dziesiętny 2 2 3 2" xfId="18370"/>
    <cellStyle name="Dziesiętny 2 2 3 3" xfId="18371"/>
    <cellStyle name="Dziesiętny 2 2 3 4" xfId="18372"/>
    <cellStyle name="Dziesiętny 2 2 3 5" xfId="18373"/>
    <cellStyle name="Dziesiętny 2 2 3 6" xfId="18374"/>
    <cellStyle name="Dziesiętny 2 2 4" xfId="18375"/>
    <cellStyle name="Dziesiętny 2 2 4 2" xfId="18376"/>
    <cellStyle name="Dziesiętny 2 2 5" xfId="18377"/>
    <cellStyle name="Dziesiętny 2 2 5 2" xfId="18378"/>
    <cellStyle name="Dziesiętny 2 2 6" xfId="18379"/>
    <cellStyle name="Dziesiętny 2 2 6 2" xfId="18380"/>
    <cellStyle name="Dziesiętny 2 2 7" xfId="18381"/>
    <cellStyle name="Dziesiętny 2 2 8" xfId="18382"/>
    <cellStyle name="Dziesiętny 2 2 9" xfId="18383"/>
    <cellStyle name="Dziesiętny 2 20" xfId="18384"/>
    <cellStyle name="Dziesiętny 2 20 2" xfId="18385"/>
    <cellStyle name="Dziesiętny 2 21" xfId="18386"/>
    <cellStyle name="Dziesiętny 2 21 2" xfId="18387"/>
    <cellStyle name="Dziesiętny 2 22" xfId="18388"/>
    <cellStyle name="Dziesiętny 2 23" xfId="18389"/>
    <cellStyle name="Dziesiętny 2 24" xfId="18390"/>
    <cellStyle name="Dziesiętny 2 25" xfId="18391"/>
    <cellStyle name="Dziesiętny 2 26" xfId="18392"/>
    <cellStyle name="Dziesiętny 2 27" xfId="18393"/>
    <cellStyle name="Dziesiętny 2 28" xfId="18394"/>
    <cellStyle name="Dziesiętny 2 29" xfId="18395"/>
    <cellStyle name="Dziesiętny 2 3" xfId="18396"/>
    <cellStyle name="Dziesiętny 2 3 2" xfId="18397"/>
    <cellStyle name="Dziesiętny 2 3 2 2" xfId="18398"/>
    <cellStyle name="Dziesiętny 2 3 3" xfId="18399"/>
    <cellStyle name="Dziesiętny 2 3 4" xfId="18400"/>
    <cellStyle name="Dziesiętny 2 3 5" xfId="18401"/>
    <cellStyle name="Dziesiętny 2 3 6" xfId="18402"/>
    <cellStyle name="Dziesiętny 2 3 7" xfId="18403"/>
    <cellStyle name="Dziesiętny 2 3 8" xfId="18404"/>
    <cellStyle name="Dziesiętny 2 30" xfId="18405"/>
    <cellStyle name="Dziesiętny 2 31" xfId="18406"/>
    <cellStyle name="Dziesiętny 2 32" xfId="18407"/>
    <cellStyle name="Dziesiętny 2 33" xfId="18408"/>
    <cellStyle name="Dziesiętny 2 34" xfId="18409"/>
    <cellStyle name="Dziesiętny 2 35" xfId="18410"/>
    <cellStyle name="Dziesiętny 2 36" xfId="18411"/>
    <cellStyle name="Dziesiętny 2 37" xfId="18412"/>
    <cellStyle name="Dziesiętny 2 38" xfId="18413"/>
    <cellStyle name="Dziesiętny 2 39" xfId="18414"/>
    <cellStyle name="Dziesiętny 2 4" xfId="18415"/>
    <cellStyle name="Dziesiętny 2 4 2" xfId="18416"/>
    <cellStyle name="Dziesiętny 2 4 3" xfId="18417"/>
    <cellStyle name="Dziesiętny 2 4 4" xfId="18418"/>
    <cellStyle name="Dziesiętny 2 4 5" xfId="18419"/>
    <cellStyle name="Dziesiętny 2 40" xfId="18420"/>
    <cellStyle name="Dziesiętny 2 41" xfId="18421"/>
    <cellStyle name="Dziesiętny 2 42" xfId="18422"/>
    <cellStyle name="Dziesiętny 2 43" xfId="18423"/>
    <cellStyle name="Dziesiętny 2 44" xfId="18424"/>
    <cellStyle name="Dziesiętny 2 45" xfId="18425"/>
    <cellStyle name="Dziesiętny 2 46" xfId="18426"/>
    <cellStyle name="Dziesiętny 2 47" xfId="18427"/>
    <cellStyle name="Dziesiętny 2 48" xfId="18428"/>
    <cellStyle name="Dziesiętny 2 49" xfId="18429"/>
    <cellStyle name="Dziesiętny 2 5" xfId="18430"/>
    <cellStyle name="Dziesiętny 2 5 2" xfId="18431"/>
    <cellStyle name="Dziesiętny 2 50" xfId="18432"/>
    <cellStyle name="Dziesiętny 2 51" xfId="18433"/>
    <cellStyle name="Dziesiętny 2 52" xfId="18434"/>
    <cellStyle name="Dziesiętny 2 53" xfId="18340"/>
    <cellStyle name="Dziesiętny 2 6" xfId="18435"/>
    <cellStyle name="Dziesiętny 2 6 2" xfId="18436"/>
    <cellStyle name="Dziesiętny 2 7" xfId="18437"/>
    <cellStyle name="Dziesiętny 2 7 2" xfId="18438"/>
    <cellStyle name="Dziesiętny 2 8" xfId="18439"/>
    <cellStyle name="Dziesiętny 2 8 2" xfId="18440"/>
    <cellStyle name="Dziesiętny 2 9" xfId="18441"/>
    <cellStyle name="Dziesiętny 2 9 2" xfId="18442"/>
    <cellStyle name="Dziesiętny 3" xfId="18443"/>
    <cellStyle name="Dziesiętny 3 10" xfId="18444"/>
    <cellStyle name="Dziesiętny 3 11" xfId="18445"/>
    <cellStyle name="Dziesiętny 3 12" xfId="18446"/>
    <cellStyle name="Dziesiętny 3 13" xfId="18447"/>
    <cellStyle name="Dziesiętny 3 14" xfId="18448"/>
    <cellStyle name="Dziesiętny 3 15" xfId="18449"/>
    <cellStyle name="Dziesiętny 3 16" xfId="18450"/>
    <cellStyle name="Dziesiętny 3 17" xfId="18451"/>
    <cellStyle name="Dziesiętny 3 18" xfId="18452"/>
    <cellStyle name="Dziesiętny 3 19" xfId="18453"/>
    <cellStyle name="Dziesiętny 3 2" xfId="18454"/>
    <cellStyle name="Dziesiętny 3 2 2" xfId="18455"/>
    <cellStyle name="Dziesiętny 3 2 3" xfId="18456"/>
    <cellStyle name="Dziesiętny 3 3" xfId="18457"/>
    <cellStyle name="Dziesiętny 3 3 2" xfId="18458"/>
    <cellStyle name="Dziesiętny 3 3 3" xfId="18459"/>
    <cellStyle name="Dziesiętny 3 4" xfId="17"/>
    <cellStyle name="Dziesiętny 3 4 2" xfId="18460"/>
    <cellStyle name="Dziesiętny 3 4 3" xfId="18461"/>
    <cellStyle name="Dziesiętny 3 4 4" xfId="18462"/>
    <cellStyle name="Dziesiętny 3 5" xfId="18463"/>
    <cellStyle name="Dziesiętny 3 6" xfId="18464"/>
    <cellStyle name="Dziesiętny 3 7" xfId="18465"/>
    <cellStyle name="Dziesiętny 3 8" xfId="18466"/>
    <cellStyle name="Dziesiętny 3 9" xfId="18467"/>
    <cellStyle name="Dziesiętny 4" xfId="18468"/>
    <cellStyle name="Dziesiętny 4 2" xfId="18469"/>
    <cellStyle name="Dziesiętny 4 2 2" xfId="18470"/>
    <cellStyle name="Dziesiętny 4 2 2 2" xfId="18471"/>
    <cellStyle name="Dziesiętny 4 2 3" xfId="18472"/>
    <cellStyle name="Dziesiętny 4 3" xfId="18473"/>
    <cellStyle name="Dziesiętny 4 3 2" xfId="18474"/>
    <cellStyle name="Dziesiętny 4 4" xfId="18475"/>
    <cellStyle name="Dziesiętny 4 4 2" xfId="18476"/>
    <cellStyle name="Dziesiętny 4 4 3" xfId="18477"/>
    <cellStyle name="Dziesiętny 4 5" xfId="18478"/>
    <cellStyle name="Dziesiętny 5" xfId="18479"/>
    <cellStyle name="Dziesiętny 5 2" xfId="18480"/>
    <cellStyle name="Dziesiętny 6" xfId="18481"/>
    <cellStyle name="Dziesiętny 6 2" xfId="18482"/>
    <cellStyle name="Dziesiętny 7" xfId="18483"/>
    <cellStyle name="Dziesiętny 8" xfId="18484"/>
    <cellStyle name="Dziesiętny 9" xfId="18485"/>
    <cellStyle name="E&amp;Y House" xfId="18486"/>
    <cellStyle name="Euro" xfId="18487"/>
    <cellStyle name="Euro 2" xfId="18488"/>
    <cellStyle name="Euro 2 2" xfId="18489"/>
    <cellStyle name="Euro 3" xfId="18490"/>
    <cellStyle name="Euro 3 2" xfId="18491"/>
    <cellStyle name="Euro 4" xfId="18492"/>
    <cellStyle name="Ezres [0]_cb-fr" xfId="18493"/>
    <cellStyle name="Ezres_cb-fr" xfId="18494"/>
    <cellStyle name="Family_Option" xfId="18495"/>
    <cellStyle name="FormBk" xfId="18496"/>
    <cellStyle name="general" xfId="18497"/>
    <cellStyle name="Grey" xfId="18498"/>
    <cellStyle name="GROS" xfId="18499"/>
    <cellStyle name="Header1" xfId="18500"/>
    <cellStyle name="Header2" xfId="18501"/>
    <cellStyle name="heading1" xfId="18502"/>
    <cellStyle name="heading2" xfId="18503"/>
    <cellStyle name="heading3" xfId="18504"/>
    <cellStyle name="heading4" xfId="18505"/>
    <cellStyle name="heading5" xfId="18506"/>
    <cellStyle name="Hiperłącze 2" xfId="18507"/>
    <cellStyle name="HUF" xfId="18508"/>
    <cellStyle name="Hyperlink_Arkusz Sygnity_2009H2 v10" xfId="18509"/>
    <cellStyle name="Input [yellow]" xfId="18510"/>
    <cellStyle name="International" xfId="18511"/>
    <cellStyle name="International1" xfId="18512"/>
    <cellStyle name="k$" xfId="18513"/>
    <cellStyle name="kECU" xfId="18514"/>
    <cellStyle name="kHUF" xfId="18515"/>
    <cellStyle name="kLE" xfId="18516"/>
    <cellStyle name="Komórka połączona 2" xfId="18517"/>
    <cellStyle name="Komórka połączona 2 10" xfId="18518"/>
    <cellStyle name="Komórka połączona 2 10 2" xfId="18519"/>
    <cellStyle name="Komórka połączona 2 10 3" xfId="18520"/>
    <cellStyle name="Komórka połączona 2 10 4" xfId="18521"/>
    <cellStyle name="Komórka połączona 2 10 5" xfId="18522"/>
    <cellStyle name="Komórka połączona 2 10 6" xfId="18523"/>
    <cellStyle name="Komórka połączona 2 10 7" xfId="18524"/>
    <cellStyle name="Komórka połączona 2 11" xfId="18525"/>
    <cellStyle name="Komórka połączona 2 11 2" xfId="18526"/>
    <cellStyle name="Komórka połączona 2 11 3" xfId="18527"/>
    <cellStyle name="Komórka połączona 2 11 4" xfId="18528"/>
    <cellStyle name="Komórka połączona 2 11 5" xfId="18529"/>
    <cellStyle name="Komórka połączona 2 11 6" xfId="18530"/>
    <cellStyle name="Komórka połączona 2 11 7" xfId="18531"/>
    <cellStyle name="Komórka połączona 2 12" xfId="18532"/>
    <cellStyle name="Komórka połączona 2 12 2" xfId="18533"/>
    <cellStyle name="Komórka połączona 2 12 3" xfId="18534"/>
    <cellStyle name="Komórka połączona 2 12 4" xfId="18535"/>
    <cellStyle name="Komórka połączona 2 12 5" xfId="18536"/>
    <cellStyle name="Komórka połączona 2 12 6" xfId="18537"/>
    <cellStyle name="Komórka połączona 2 12 7" xfId="18538"/>
    <cellStyle name="Komórka połączona 2 13" xfId="18539"/>
    <cellStyle name="Komórka połączona 2 13 2" xfId="18540"/>
    <cellStyle name="Komórka połączona 2 13 3" xfId="18541"/>
    <cellStyle name="Komórka połączona 2 13 4" xfId="18542"/>
    <cellStyle name="Komórka połączona 2 13 5" xfId="18543"/>
    <cellStyle name="Komórka połączona 2 13 6" xfId="18544"/>
    <cellStyle name="Komórka połączona 2 13 7" xfId="18545"/>
    <cellStyle name="Komórka połączona 2 14" xfId="18546"/>
    <cellStyle name="Komórka połączona 2 14 2" xfId="18547"/>
    <cellStyle name="Komórka połączona 2 14 3" xfId="18548"/>
    <cellStyle name="Komórka połączona 2 14 4" xfId="18549"/>
    <cellStyle name="Komórka połączona 2 14 5" xfId="18550"/>
    <cellStyle name="Komórka połączona 2 14 6" xfId="18551"/>
    <cellStyle name="Komórka połączona 2 14 7" xfId="18552"/>
    <cellStyle name="Komórka połączona 2 15" xfId="18553"/>
    <cellStyle name="Komórka połączona 2 15 2" xfId="18554"/>
    <cellStyle name="Komórka połączona 2 15 3" xfId="18555"/>
    <cellStyle name="Komórka połączona 2 15 4" xfId="18556"/>
    <cellStyle name="Komórka połączona 2 15 5" xfId="18557"/>
    <cellStyle name="Komórka połączona 2 15 6" xfId="18558"/>
    <cellStyle name="Komórka połączona 2 15 7" xfId="18559"/>
    <cellStyle name="Komórka połączona 2 16" xfId="18560"/>
    <cellStyle name="Komórka połączona 2 16 2" xfId="18561"/>
    <cellStyle name="Komórka połączona 2 16 3" xfId="18562"/>
    <cellStyle name="Komórka połączona 2 16 4" xfId="18563"/>
    <cellStyle name="Komórka połączona 2 16 5" xfId="18564"/>
    <cellStyle name="Komórka połączona 2 16 6" xfId="18565"/>
    <cellStyle name="Komórka połączona 2 16 7" xfId="18566"/>
    <cellStyle name="Komórka połączona 2 17" xfId="18567"/>
    <cellStyle name="Komórka połączona 2 17 2" xfId="18568"/>
    <cellStyle name="Komórka połączona 2 17 3" xfId="18569"/>
    <cellStyle name="Komórka połączona 2 17 4" xfId="18570"/>
    <cellStyle name="Komórka połączona 2 17 5" xfId="18571"/>
    <cellStyle name="Komórka połączona 2 17 6" xfId="18572"/>
    <cellStyle name="Komórka połączona 2 17 7" xfId="18573"/>
    <cellStyle name="Komórka połączona 2 18" xfId="18574"/>
    <cellStyle name="Komórka połączona 2 18 2" xfId="18575"/>
    <cellStyle name="Komórka połączona 2 18 3" xfId="18576"/>
    <cellStyle name="Komórka połączona 2 18 4" xfId="18577"/>
    <cellStyle name="Komórka połączona 2 18 5" xfId="18578"/>
    <cellStyle name="Komórka połączona 2 18 6" xfId="18579"/>
    <cellStyle name="Komórka połączona 2 18 7" xfId="18580"/>
    <cellStyle name="Komórka połączona 2 19" xfId="18581"/>
    <cellStyle name="Komórka połączona 2 19 2" xfId="18582"/>
    <cellStyle name="Komórka połączona 2 19 3" xfId="18583"/>
    <cellStyle name="Komórka połączona 2 19 4" xfId="18584"/>
    <cellStyle name="Komórka połączona 2 19 5" xfId="18585"/>
    <cellStyle name="Komórka połączona 2 19 6" xfId="18586"/>
    <cellStyle name="Komórka połączona 2 19 7" xfId="18587"/>
    <cellStyle name="Komórka połączona 2 2" xfId="18588"/>
    <cellStyle name="Komórka połączona 2 2 2" xfId="18589"/>
    <cellStyle name="Komórka połączona 2 2 3" xfId="18590"/>
    <cellStyle name="Komórka połączona 2 2 4" xfId="18591"/>
    <cellStyle name="Komórka połączona 2 2 5" xfId="18592"/>
    <cellStyle name="Komórka połączona 2 2 6" xfId="18593"/>
    <cellStyle name="Komórka połączona 2 2 7" xfId="18594"/>
    <cellStyle name="Komórka połączona 2 2 8" xfId="18595"/>
    <cellStyle name="Komórka połączona 2 20" xfId="18596"/>
    <cellStyle name="Komórka połączona 2 20 2" xfId="18597"/>
    <cellStyle name="Komórka połączona 2 20 3" xfId="18598"/>
    <cellStyle name="Komórka połączona 2 20 4" xfId="18599"/>
    <cellStyle name="Komórka połączona 2 20 5" xfId="18600"/>
    <cellStyle name="Komórka połączona 2 20 6" xfId="18601"/>
    <cellStyle name="Komórka połączona 2 20 7" xfId="18602"/>
    <cellStyle name="Komórka połączona 2 21" xfId="18603"/>
    <cellStyle name="Komórka połączona 2 21 2" xfId="18604"/>
    <cellStyle name="Komórka połączona 2 21 3" xfId="18605"/>
    <cellStyle name="Komórka połączona 2 21 4" xfId="18606"/>
    <cellStyle name="Komórka połączona 2 21 5" xfId="18607"/>
    <cellStyle name="Komórka połączona 2 21 6" xfId="18608"/>
    <cellStyle name="Komórka połączona 2 21 7" xfId="18609"/>
    <cellStyle name="Komórka połączona 2 22" xfId="18610"/>
    <cellStyle name="Komórka połączona 2 22 2" xfId="18611"/>
    <cellStyle name="Komórka połączona 2 22 3" xfId="18612"/>
    <cellStyle name="Komórka połączona 2 22 4" xfId="18613"/>
    <cellStyle name="Komórka połączona 2 22 5" xfId="18614"/>
    <cellStyle name="Komórka połączona 2 22 6" xfId="18615"/>
    <cellStyle name="Komórka połączona 2 22 7" xfId="18616"/>
    <cellStyle name="Komórka połączona 2 23" xfId="18617"/>
    <cellStyle name="Komórka połączona 2 23 2" xfId="18618"/>
    <cellStyle name="Komórka połączona 2 23 3" xfId="18619"/>
    <cellStyle name="Komórka połączona 2 23 4" xfId="18620"/>
    <cellStyle name="Komórka połączona 2 23 5" xfId="18621"/>
    <cellStyle name="Komórka połączona 2 23 6" xfId="18622"/>
    <cellStyle name="Komórka połączona 2 23 7" xfId="18623"/>
    <cellStyle name="Komórka połączona 2 24" xfId="18624"/>
    <cellStyle name="Komórka połączona 2 24 2" xfId="18625"/>
    <cellStyle name="Komórka połączona 2 24 3" xfId="18626"/>
    <cellStyle name="Komórka połączona 2 24 4" xfId="18627"/>
    <cellStyle name="Komórka połączona 2 24 5" xfId="18628"/>
    <cellStyle name="Komórka połączona 2 24 6" xfId="18629"/>
    <cellStyle name="Komórka połączona 2 24 7" xfId="18630"/>
    <cellStyle name="Komórka połączona 2 25" xfId="18631"/>
    <cellStyle name="Komórka połączona 2 25 2" xfId="18632"/>
    <cellStyle name="Komórka połączona 2 25 3" xfId="18633"/>
    <cellStyle name="Komórka połączona 2 25 4" xfId="18634"/>
    <cellStyle name="Komórka połączona 2 25 5" xfId="18635"/>
    <cellStyle name="Komórka połączona 2 25 6" xfId="18636"/>
    <cellStyle name="Komórka połączona 2 25 7" xfId="18637"/>
    <cellStyle name="Komórka połączona 2 26" xfId="18638"/>
    <cellStyle name="Komórka połączona 2 26 2" xfId="18639"/>
    <cellStyle name="Komórka połączona 2 26 3" xfId="18640"/>
    <cellStyle name="Komórka połączona 2 26 4" xfId="18641"/>
    <cellStyle name="Komórka połączona 2 26 5" xfId="18642"/>
    <cellStyle name="Komórka połączona 2 26 6" xfId="18643"/>
    <cellStyle name="Komórka połączona 2 26 7" xfId="18644"/>
    <cellStyle name="Komórka połączona 2 27" xfId="18645"/>
    <cellStyle name="Komórka połączona 2 27 2" xfId="18646"/>
    <cellStyle name="Komórka połączona 2 27 3" xfId="18647"/>
    <cellStyle name="Komórka połączona 2 27 4" xfId="18648"/>
    <cellStyle name="Komórka połączona 2 27 5" xfId="18649"/>
    <cellStyle name="Komórka połączona 2 27 6" xfId="18650"/>
    <cellStyle name="Komórka połączona 2 27 7" xfId="18651"/>
    <cellStyle name="Komórka połączona 2 28" xfId="18652"/>
    <cellStyle name="Komórka połączona 2 28 2" xfId="18653"/>
    <cellStyle name="Komórka połączona 2 28 3" xfId="18654"/>
    <cellStyle name="Komórka połączona 2 28 4" xfId="18655"/>
    <cellStyle name="Komórka połączona 2 28 5" xfId="18656"/>
    <cellStyle name="Komórka połączona 2 28 6" xfId="18657"/>
    <cellStyle name="Komórka połączona 2 28 7" xfId="18658"/>
    <cellStyle name="Komórka połączona 2 29" xfId="18659"/>
    <cellStyle name="Komórka połączona 2 29 2" xfId="18660"/>
    <cellStyle name="Komórka połączona 2 3" xfId="18661"/>
    <cellStyle name="Komórka połączona 2 3 2" xfId="18662"/>
    <cellStyle name="Komórka połączona 2 3 3" xfId="18663"/>
    <cellStyle name="Komórka połączona 2 3 4" xfId="18664"/>
    <cellStyle name="Komórka połączona 2 3 5" xfId="18665"/>
    <cellStyle name="Komórka połączona 2 3 6" xfId="18666"/>
    <cellStyle name="Komórka połączona 2 3 7" xfId="18667"/>
    <cellStyle name="Komórka połączona 2 30" xfId="18668"/>
    <cellStyle name="Komórka połączona 2 30 2" xfId="18669"/>
    <cellStyle name="Komórka połączona 2 31" xfId="18670"/>
    <cellStyle name="Komórka połączona 2 31 2" xfId="18671"/>
    <cellStyle name="Komórka połączona 2 32" xfId="18672"/>
    <cellStyle name="Komórka połączona 2 32 2" xfId="18673"/>
    <cellStyle name="Komórka połączona 2 33" xfId="18674"/>
    <cellStyle name="Komórka połączona 2 34" xfId="18675"/>
    <cellStyle name="Komórka połączona 2 35" xfId="18676"/>
    <cellStyle name="Komórka połączona 2 36" xfId="18677"/>
    <cellStyle name="Komórka połączona 2 37" xfId="18678"/>
    <cellStyle name="Komórka połączona 2 38" xfId="18679"/>
    <cellStyle name="Komórka połączona 2 4" xfId="18680"/>
    <cellStyle name="Komórka połączona 2 4 2" xfId="18681"/>
    <cellStyle name="Komórka połączona 2 4 3" xfId="18682"/>
    <cellStyle name="Komórka połączona 2 4 4" xfId="18683"/>
    <cellStyle name="Komórka połączona 2 4 5" xfId="18684"/>
    <cellStyle name="Komórka połączona 2 4 6" xfId="18685"/>
    <cellStyle name="Komórka połączona 2 4 7" xfId="18686"/>
    <cellStyle name="Komórka połączona 2 5" xfId="18687"/>
    <cellStyle name="Komórka połączona 2 5 2" xfId="18688"/>
    <cellStyle name="Komórka połączona 2 5 3" xfId="18689"/>
    <cellStyle name="Komórka połączona 2 5 4" xfId="18690"/>
    <cellStyle name="Komórka połączona 2 5 5" xfId="18691"/>
    <cellStyle name="Komórka połączona 2 5 6" xfId="18692"/>
    <cellStyle name="Komórka połączona 2 5 7" xfId="18693"/>
    <cellStyle name="Komórka połączona 2 6" xfId="18694"/>
    <cellStyle name="Komórka połączona 2 6 2" xfId="18695"/>
    <cellStyle name="Komórka połączona 2 6 3" xfId="18696"/>
    <cellStyle name="Komórka połączona 2 6 4" xfId="18697"/>
    <cellStyle name="Komórka połączona 2 6 5" xfId="18698"/>
    <cellStyle name="Komórka połączona 2 6 6" xfId="18699"/>
    <cellStyle name="Komórka połączona 2 6 7" xfId="18700"/>
    <cellStyle name="Komórka połączona 2 7" xfId="18701"/>
    <cellStyle name="Komórka połączona 2 7 2" xfId="18702"/>
    <cellStyle name="Komórka połączona 2 7 3" xfId="18703"/>
    <cellStyle name="Komórka połączona 2 7 4" xfId="18704"/>
    <cellStyle name="Komórka połączona 2 7 5" xfId="18705"/>
    <cellStyle name="Komórka połączona 2 7 6" xfId="18706"/>
    <cellStyle name="Komórka połączona 2 7 7" xfId="18707"/>
    <cellStyle name="Komórka połączona 2 8" xfId="18708"/>
    <cellStyle name="Komórka połączona 2 8 2" xfId="18709"/>
    <cellStyle name="Komórka połączona 2 8 3" xfId="18710"/>
    <cellStyle name="Komórka połączona 2 8 4" xfId="18711"/>
    <cellStyle name="Komórka połączona 2 8 5" xfId="18712"/>
    <cellStyle name="Komórka połączona 2 8 6" xfId="18713"/>
    <cellStyle name="Komórka połączona 2 8 7" xfId="18714"/>
    <cellStyle name="Komórka połączona 2 9" xfId="18715"/>
    <cellStyle name="Komórka połączona 2 9 2" xfId="18716"/>
    <cellStyle name="Komórka połączona 2 9 3" xfId="18717"/>
    <cellStyle name="Komórka połączona 2 9 4" xfId="18718"/>
    <cellStyle name="Komórka połączona 2 9 5" xfId="18719"/>
    <cellStyle name="Komórka połączona 2 9 6" xfId="18720"/>
    <cellStyle name="Komórka połączona 2 9 7" xfId="18721"/>
    <cellStyle name="Komórka połączona 3" xfId="18722"/>
    <cellStyle name="Komórka połączona 3 2" xfId="18723"/>
    <cellStyle name="Komórka połączona 3 2 2" xfId="18724"/>
    <cellStyle name="Komórka połączona 3 3" xfId="18725"/>
    <cellStyle name="Komórka połączona 3 4" xfId="18726"/>
    <cellStyle name="Komórka połączona 3 5" xfId="18727"/>
    <cellStyle name="Komórka połączona 3 6" xfId="18728"/>
    <cellStyle name="Komórka połączona 3 7" xfId="18729"/>
    <cellStyle name="Komórka połączona 3 8" xfId="18730"/>
    <cellStyle name="Komórka połączona 3 9" xfId="18731"/>
    <cellStyle name="Komórka połączona 4" xfId="18732"/>
    <cellStyle name="Komórka połączona 4 2" xfId="18733"/>
    <cellStyle name="Komórka połączona 4 3" xfId="18734"/>
    <cellStyle name="Komórka połączona 4 4" xfId="18735"/>
    <cellStyle name="Komórka połączona 4 5" xfId="18736"/>
    <cellStyle name="Komórka połączona 4 6" xfId="18737"/>
    <cellStyle name="Komórka połączona 4 7" xfId="18738"/>
    <cellStyle name="Komórka połączona 4 8" xfId="18739"/>
    <cellStyle name="Komórka połączona 4 9" xfId="18740"/>
    <cellStyle name="Komórka połączona 5" xfId="18741"/>
    <cellStyle name="Komórka połączona 5 2" xfId="18742"/>
    <cellStyle name="Komórka połączona 6" xfId="18743"/>
    <cellStyle name="Komórka połączona 7" xfId="18744"/>
    <cellStyle name="Komórka zaznaczona 2" xfId="18745"/>
    <cellStyle name="Komórka zaznaczona 2 10" xfId="18746"/>
    <cellStyle name="Komórka zaznaczona 2 10 2" xfId="18747"/>
    <cellStyle name="Komórka zaznaczona 2 10 3" xfId="18748"/>
    <cellStyle name="Komórka zaznaczona 2 10 4" xfId="18749"/>
    <cellStyle name="Komórka zaznaczona 2 10 5" xfId="18750"/>
    <cellStyle name="Komórka zaznaczona 2 10 6" xfId="18751"/>
    <cellStyle name="Komórka zaznaczona 2 10 7" xfId="18752"/>
    <cellStyle name="Komórka zaznaczona 2 11" xfId="18753"/>
    <cellStyle name="Komórka zaznaczona 2 11 2" xfId="18754"/>
    <cellStyle name="Komórka zaznaczona 2 11 3" xfId="18755"/>
    <cellStyle name="Komórka zaznaczona 2 11 4" xfId="18756"/>
    <cellStyle name="Komórka zaznaczona 2 11 5" xfId="18757"/>
    <cellStyle name="Komórka zaznaczona 2 11 6" xfId="18758"/>
    <cellStyle name="Komórka zaznaczona 2 11 7" xfId="18759"/>
    <cellStyle name="Komórka zaznaczona 2 12" xfId="18760"/>
    <cellStyle name="Komórka zaznaczona 2 12 2" xfId="18761"/>
    <cellStyle name="Komórka zaznaczona 2 12 3" xfId="18762"/>
    <cellStyle name="Komórka zaznaczona 2 12 4" xfId="18763"/>
    <cellStyle name="Komórka zaznaczona 2 12 5" xfId="18764"/>
    <cellStyle name="Komórka zaznaczona 2 12 6" xfId="18765"/>
    <cellStyle name="Komórka zaznaczona 2 12 7" xfId="18766"/>
    <cellStyle name="Komórka zaznaczona 2 13" xfId="18767"/>
    <cellStyle name="Komórka zaznaczona 2 13 2" xfId="18768"/>
    <cellStyle name="Komórka zaznaczona 2 13 3" xfId="18769"/>
    <cellStyle name="Komórka zaznaczona 2 13 4" xfId="18770"/>
    <cellStyle name="Komórka zaznaczona 2 13 5" xfId="18771"/>
    <cellStyle name="Komórka zaznaczona 2 13 6" xfId="18772"/>
    <cellStyle name="Komórka zaznaczona 2 13 7" xfId="18773"/>
    <cellStyle name="Komórka zaznaczona 2 14" xfId="18774"/>
    <cellStyle name="Komórka zaznaczona 2 14 2" xfId="18775"/>
    <cellStyle name="Komórka zaznaczona 2 14 3" xfId="18776"/>
    <cellStyle name="Komórka zaznaczona 2 14 4" xfId="18777"/>
    <cellStyle name="Komórka zaznaczona 2 14 5" xfId="18778"/>
    <cellStyle name="Komórka zaznaczona 2 14 6" xfId="18779"/>
    <cellStyle name="Komórka zaznaczona 2 14 7" xfId="18780"/>
    <cellStyle name="Komórka zaznaczona 2 15" xfId="18781"/>
    <cellStyle name="Komórka zaznaczona 2 15 2" xfId="18782"/>
    <cellStyle name="Komórka zaznaczona 2 15 3" xfId="18783"/>
    <cellStyle name="Komórka zaznaczona 2 15 4" xfId="18784"/>
    <cellStyle name="Komórka zaznaczona 2 15 5" xfId="18785"/>
    <cellStyle name="Komórka zaznaczona 2 15 6" xfId="18786"/>
    <cellStyle name="Komórka zaznaczona 2 15 7" xfId="18787"/>
    <cellStyle name="Komórka zaznaczona 2 16" xfId="18788"/>
    <cellStyle name="Komórka zaznaczona 2 16 2" xfId="18789"/>
    <cellStyle name="Komórka zaznaczona 2 16 3" xfId="18790"/>
    <cellStyle name="Komórka zaznaczona 2 16 4" xfId="18791"/>
    <cellStyle name="Komórka zaznaczona 2 16 5" xfId="18792"/>
    <cellStyle name="Komórka zaznaczona 2 16 6" xfId="18793"/>
    <cellStyle name="Komórka zaznaczona 2 16 7" xfId="18794"/>
    <cellStyle name="Komórka zaznaczona 2 17" xfId="18795"/>
    <cellStyle name="Komórka zaznaczona 2 17 2" xfId="18796"/>
    <cellStyle name="Komórka zaznaczona 2 17 3" xfId="18797"/>
    <cellStyle name="Komórka zaznaczona 2 17 4" xfId="18798"/>
    <cellStyle name="Komórka zaznaczona 2 17 5" xfId="18799"/>
    <cellStyle name="Komórka zaznaczona 2 17 6" xfId="18800"/>
    <cellStyle name="Komórka zaznaczona 2 17 7" xfId="18801"/>
    <cellStyle name="Komórka zaznaczona 2 18" xfId="18802"/>
    <cellStyle name="Komórka zaznaczona 2 18 2" xfId="18803"/>
    <cellStyle name="Komórka zaznaczona 2 18 3" xfId="18804"/>
    <cellStyle name="Komórka zaznaczona 2 18 4" xfId="18805"/>
    <cellStyle name="Komórka zaznaczona 2 18 5" xfId="18806"/>
    <cellStyle name="Komórka zaznaczona 2 18 6" xfId="18807"/>
    <cellStyle name="Komórka zaznaczona 2 18 7" xfId="18808"/>
    <cellStyle name="Komórka zaznaczona 2 19" xfId="18809"/>
    <cellStyle name="Komórka zaznaczona 2 19 2" xfId="18810"/>
    <cellStyle name="Komórka zaznaczona 2 19 3" xfId="18811"/>
    <cellStyle name="Komórka zaznaczona 2 19 4" xfId="18812"/>
    <cellStyle name="Komórka zaznaczona 2 19 5" xfId="18813"/>
    <cellStyle name="Komórka zaznaczona 2 19 6" xfId="18814"/>
    <cellStyle name="Komórka zaznaczona 2 19 7" xfId="18815"/>
    <cellStyle name="Komórka zaznaczona 2 2" xfId="18816"/>
    <cellStyle name="Komórka zaznaczona 2 2 2" xfId="18817"/>
    <cellStyle name="Komórka zaznaczona 2 2 3" xfId="18818"/>
    <cellStyle name="Komórka zaznaczona 2 2 4" xfId="18819"/>
    <cellStyle name="Komórka zaznaczona 2 2 5" xfId="18820"/>
    <cellStyle name="Komórka zaznaczona 2 2 6" xfId="18821"/>
    <cellStyle name="Komórka zaznaczona 2 2 7" xfId="18822"/>
    <cellStyle name="Komórka zaznaczona 2 2 8" xfId="18823"/>
    <cellStyle name="Komórka zaznaczona 2 20" xfId="18824"/>
    <cellStyle name="Komórka zaznaczona 2 20 2" xfId="18825"/>
    <cellStyle name="Komórka zaznaczona 2 20 3" xfId="18826"/>
    <cellStyle name="Komórka zaznaczona 2 20 4" xfId="18827"/>
    <cellStyle name="Komórka zaznaczona 2 20 5" xfId="18828"/>
    <cellStyle name="Komórka zaznaczona 2 20 6" xfId="18829"/>
    <cellStyle name="Komórka zaznaczona 2 20 7" xfId="18830"/>
    <cellStyle name="Komórka zaznaczona 2 21" xfId="18831"/>
    <cellStyle name="Komórka zaznaczona 2 21 2" xfId="18832"/>
    <cellStyle name="Komórka zaznaczona 2 21 3" xfId="18833"/>
    <cellStyle name="Komórka zaznaczona 2 21 4" xfId="18834"/>
    <cellStyle name="Komórka zaznaczona 2 21 5" xfId="18835"/>
    <cellStyle name="Komórka zaznaczona 2 21 6" xfId="18836"/>
    <cellStyle name="Komórka zaznaczona 2 21 7" xfId="18837"/>
    <cellStyle name="Komórka zaznaczona 2 22" xfId="18838"/>
    <cellStyle name="Komórka zaznaczona 2 22 2" xfId="18839"/>
    <cellStyle name="Komórka zaznaczona 2 22 3" xfId="18840"/>
    <cellStyle name="Komórka zaznaczona 2 22 4" xfId="18841"/>
    <cellStyle name="Komórka zaznaczona 2 22 5" xfId="18842"/>
    <cellStyle name="Komórka zaznaczona 2 22 6" xfId="18843"/>
    <cellStyle name="Komórka zaznaczona 2 22 7" xfId="18844"/>
    <cellStyle name="Komórka zaznaczona 2 23" xfId="18845"/>
    <cellStyle name="Komórka zaznaczona 2 23 2" xfId="18846"/>
    <cellStyle name="Komórka zaznaczona 2 23 3" xfId="18847"/>
    <cellStyle name="Komórka zaznaczona 2 23 4" xfId="18848"/>
    <cellStyle name="Komórka zaznaczona 2 23 5" xfId="18849"/>
    <cellStyle name="Komórka zaznaczona 2 23 6" xfId="18850"/>
    <cellStyle name="Komórka zaznaczona 2 23 7" xfId="18851"/>
    <cellStyle name="Komórka zaznaczona 2 24" xfId="18852"/>
    <cellStyle name="Komórka zaznaczona 2 24 2" xfId="18853"/>
    <cellStyle name="Komórka zaznaczona 2 24 3" xfId="18854"/>
    <cellStyle name="Komórka zaznaczona 2 24 4" xfId="18855"/>
    <cellStyle name="Komórka zaznaczona 2 24 5" xfId="18856"/>
    <cellStyle name="Komórka zaznaczona 2 24 6" xfId="18857"/>
    <cellStyle name="Komórka zaznaczona 2 24 7" xfId="18858"/>
    <cellStyle name="Komórka zaznaczona 2 25" xfId="18859"/>
    <cellStyle name="Komórka zaznaczona 2 25 2" xfId="18860"/>
    <cellStyle name="Komórka zaznaczona 2 25 3" xfId="18861"/>
    <cellStyle name="Komórka zaznaczona 2 25 4" xfId="18862"/>
    <cellStyle name="Komórka zaznaczona 2 25 5" xfId="18863"/>
    <cellStyle name="Komórka zaznaczona 2 25 6" xfId="18864"/>
    <cellStyle name="Komórka zaznaczona 2 25 7" xfId="18865"/>
    <cellStyle name="Komórka zaznaczona 2 26" xfId="18866"/>
    <cellStyle name="Komórka zaznaczona 2 26 2" xfId="18867"/>
    <cellStyle name="Komórka zaznaczona 2 26 3" xfId="18868"/>
    <cellStyle name="Komórka zaznaczona 2 26 4" xfId="18869"/>
    <cellStyle name="Komórka zaznaczona 2 26 5" xfId="18870"/>
    <cellStyle name="Komórka zaznaczona 2 26 6" xfId="18871"/>
    <cellStyle name="Komórka zaznaczona 2 26 7" xfId="18872"/>
    <cellStyle name="Komórka zaznaczona 2 27" xfId="18873"/>
    <cellStyle name="Komórka zaznaczona 2 27 2" xfId="18874"/>
    <cellStyle name="Komórka zaznaczona 2 27 3" xfId="18875"/>
    <cellStyle name="Komórka zaznaczona 2 27 4" xfId="18876"/>
    <cellStyle name="Komórka zaznaczona 2 27 5" xfId="18877"/>
    <cellStyle name="Komórka zaznaczona 2 27 6" xfId="18878"/>
    <cellStyle name="Komórka zaznaczona 2 27 7" xfId="18879"/>
    <cellStyle name="Komórka zaznaczona 2 28" xfId="18880"/>
    <cellStyle name="Komórka zaznaczona 2 28 2" xfId="18881"/>
    <cellStyle name="Komórka zaznaczona 2 28 3" xfId="18882"/>
    <cellStyle name="Komórka zaznaczona 2 28 4" xfId="18883"/>
    <cellStyle name="Komórka zaznaczona 2 28 5" xfId="18884"/>
    <cellStyle name="Komórka zaznaczona 2 28 6" xfId="18885"/>
    <cellStyle name="Komórka zaznaczona 2 28 7" xfId="18886"/>
    <cellStyle name="Komórka zaznaczona 2 29" xfId="18887"/>
    <cellStyle name="Komórka zaznaczona 2 29 2" xfId="18888"/>
    <cellStyle name="Komórka zaznaczona 2 3" xfId="18889"/>
    <cellStyle name="Komórka zaznaczona 2 3 2" xfId="18890"/>
    <cellStyle name="Komórka zaznaczona 2 3 3" xfId="18891"/>
    <cellStyle name="Komórka zaznaczona 2 3 4" xfId="18892"/>
    <cellStyle name="Komórka zaznaczona 2 3 5" xfId="18893"/>
    <cellStyle name="Komórka zaznaczona 2 3 6" xfId="18894"/>
    <cellStyle name="Komórka zaznaczona 2 3 7" xfId="18895"/>
    <cellStyle name="Komórka zaznaczona 2 30" xfId="18896"/>
    <cellStyle name="Komórka zaznaczona 2 30 2" xfId="18897"/>
    <cellStyle name="Komórka zaznaczona 2 31" xfId="18898"/>
    <cellStyle name="Komórka zaznaczona 2 31 2" xfId="18899"/>
    <cellStyle name="Komórka zaznaczona 2 32" xfId="18900"/>
    <cellStyle name="Komórka zaznaczona 2 32 2" xfId="18901"/>
    <cellStyle name="Komórka zaznaczona 2 33" xfId="18902"/>
    <cellStyle name="Komórka zaznaczona 2 34" xfId="18903"/>
    <cellStyle name="Komórka zaznaczona 2 35" xfId="18904"/>
    <cellStyle name="Komórka zaznaczona 2 36" xfId="18905"/>
    <cellStyle name="Komórka zaznaczona 2 37" xfId="18906"/>
    <cellStyle name="Komórka zaznaczona 2 38" xfId="18907"/>
    <cellStyle name="Komórka zaznaczona 2 39" xfId="18908"/>
    <cellStyle name="Komórka zaznaczona 2 4" xfId="18909"/>
    <cellStyle name="Komórka zaznaczona 2 4 2" xfId="18910"/>
    <cellStyle name="Komórka zaznaczona 2 4 3" xfId="18911"/>
    <cellStyle name="Komórka zaznaczona 2 4 4" xfId="18912"/>
    <cellStyle name="Komórka zaznaczona 2 4 5" xfId="18913"/>
    <cellStyle name="Komórka zaznaczona 2 4 6" xfId="18914"/>
    <cellStyle name="Komórka zaznaczona 2 4 7" xfId="18915"/>
    <cellStyle name="Komórka zaznaczona 2 40" xfId="18916"/>
    <cellStyle name="Komórka zaznaczona 2 41" xfId="18917"/>
    <cellStyle name="Komórka zaznaczona 2 42" xfId="18918"/>
    <cellStyle name="Komórka zaznaczona 2 43" xfId="18919"/>
    <cellStyle name="Komórka zaznaczona 2 44" xfId="18920"/>
    <cellStyle name="Komórka zaznaczona 2 45" xfId="18921"/>
    <cellStyle name="Komórka zaznaczona 2 46" xfId="18922"/>
    <cellStyle name="Komórka zaznaczona 2 47" xfId="18923"/>
    <cellStyle name="Komórka zaznaczona 2 48" xfId="18924"/>
    <cellStyle name="Komórka zaznaczona 2 49" xfId="18925"/>
    <cellStyle name="Komórka zaznaczona 2 5" xfId="18926"/>
    <cellStyle name="Komórka zaznaczona 2 5 2" xfId="18927"/>
    <cellStyle name="Komórka zaznaczona 2 5 3" xfId="18928"/>
    <cellStyle name="Komórka zaznaczona 2 5 4" xfId="18929"/>
    <cellStyle name="Komórka zaznaczona 2 5 5" xfId="18930"/>
    <cellStyle name="Komórka zaznaczona 2 5 6" xfId="18931"/>
    <cellStyle name="Komórka zaznaczona 2 5 7" xfId="18932"/>
    <cellStyle name="Komórka zaznaczona 2 50" xfId="18933"/>
    <cellStyle name="Komórka zaznaczona 2 51" xfId="18934"/>
    <cellStyle name="Komórka zaznaczona 2 52" xfId="18935"/>
    <cellStyle name="Komórka zaznaczona 2 53" xfId="18936"/>
    <cellStyle name="Komórka zaznaczona 2 54" xfId="18937"/>
    <cellStyle name="Komórka zaznaczona 2 6" xfId="18938"/>
    <cellStyle name="Komórka zaznaczona 2 6 2" xfId="18939"/>
    <cellStyle name="Komórka zaznaczona 2 6 3" xfId="18940"/>
    <cellStyle name="Komórka zaznaczona 2 6 4" xfId="18941"/>
    <cellStyle name="Komórka zaznaczona 2 6 5" xfId="18942"/>
    <cellStyle name="Komórka zaznaczona 2 6 6" xfId="18943"/>
    <cellStyle name="Komórka zaznaczona 2 6 7" xfId="18944"/>
    <cellStyle name="Komórka zaznaczona 2 7" xfId="18945"/>
    <cellStyle name="Komórka zaznaczona 2 7 2" xfId="18946"/>
    <cellStyle name="Komórka zaznaczona 2 7 3" xfId="18947"/>
    <cellStyle name="Komórka zaznaczona 2 7 4" xfId="18948"/>
    <cellStyle name="Komórka zaznaczona 2 7 5" xfId="18949"/>
    <cellStyle name="Komórka zaznaczona 2 7 6" xfId="18950"/>
    <cellStyle name="Komórka zaznaczona 2 7 7" xfId="18951"/>
    <cellStyle name="Komórka zaznaczona 2 8" xfId="18952"/>
    <cellStyle name="Komórka zaznaczona 2 8 2" xfId="18953"/>
    <cellStyle name="Komórka zaznaczona 2 8 3" xfId="18954"/>
    <cellStyle name="Komórka zaznaczona 2 8 4" xfId="18955"/>
    <cellStyle name="Komórka zaznaczona 2 8 5" xfId="18956"/>
    <cellStyle name="Komórka zaznaczona 2 8 6" xfId="18957"/>
    <cellStyle name="Komórka zaznaczona 2 8 7" xfId="18958"/>
    <cellStyle name="Komórka zaznaczona 2 9" xfId="18959"/>
    <cellStyle name="Komórka zaznaczona 2 9 2" xfId="18960"/>
    <cellStyle name="Komórka zaznaczona 2 9 3" xfId="18961"/>
    <cellStyle name="Komórka zaznaczona 2 9 4" xfId="18962"/>
    <cellStyle name="Komórka zaznaczona 2 9 5" xfId="18963"/>
    <cellStyle name="Komórka zaznaczona 2 9 6" xfId="18964"/>
    <cellStyle name="Komórka zaznaczona 2 9 7" xfId="18965"/>
    <cellStyle name="Komórka zaznaczona 3" xfId="18966"/>
    <cellStyle name="Komórka zaznaczona 3 10" xfId="18967"/>
    <cellStyle name="Komórka zaznaczona 3 2" xfId="18968"/>
    <cellStyle name="Komórka zaznaczona 3 2 2" xfId="18969"/>
    <cellStyle name="Komórka zaznaczona 3 2 3" xfId="18970"/>
    <cellStyle name="Komórka zaznaczona 3 3" xfId="18971"/>
    <cellStyle name="Komórka zaznaczona 3 4" xfId="18972"/>
    <cellStyle name="Komórka zaznaczona 3 5" xfId="18973"/>
    <cellStyle name="Komórka zaznaczona 3 6" xfId="18974"/>
    <cellStyle name="Komórka zaznaczona 3 7" xfId="18975"/>
    <cellStyle name="Komórka zaznaczona 3 8" xfId="18976"/>
    <cellStyle name="Komórka zaznaczona 3 9" xfId="18977"/>
    <cellStyle name="Komórka zaznaczona 4" xfId="18978"/>
    <cellStyle name="Komórka zaznaczona 4 10" xfId="18979"/>
    <cellStyle name="Komórka zaznaczona 4 2" xfId="18980"/>
    <cellStyle name="Komórka zaznaczona 4 3" xfId="18981"/>
    <cellStyle name="Komórka zaznaczona 4 4" xfId="18982"/>
    <cellStyle name="Komórka zaznaczona 4 5" xfId="18983"/>
    <cellStyle name="Komórka zaznaczona 4 6" xfId="18984"/>
    <cellStyle name="Komórka zaznaczona 4 7" xfId="18985"/>
    <cellStyle name="Komórka zaznaczona 4 8" xfId="18986"/>
    <cellStyle name="Komórka zaznaczona 4 9" xfId="18987"/>
    <cellStyle name="Komórka zaznaczona 5" xfId="18988"/>
    <cellStyle name="Komórka zaznaczona 5 2" xfId="18989"/>
    <cellStyle name="Komórka zaznaczona 5 3" xfId="18990"/>
    <cellStyle name="Komórka zaznaczona 6" xfId="18991"/>
    <cellStyle name="Komórka zaznaczona 6 2" xfId="18992"/>
    <cellStyle name="Komórka zaznaczona 7" xfId="18993"/>
    <cellStyle name="LP0" xfId="18994"/>
    <cellStyle name="měny_laroux" xfId="18995"/>
    <cellStyle name="Miglia - Style1" xfId="18996"/>
    <cellStyle name="Migliaia (0)" xfId="18997"/>
    <cellStyle name="Milliers [0]_CASHUPDA" xfId="18998"/>
    <cellStyle name="Milliers_CASHUPDA" xfId="18999"/>
    <cellStyle name="Monétaire [0]_CASHUPDA" xfId="19000"/>
    <cellStyle name="Monétaire_CASHUPDA" xfId="19001"/>
    <cellStyle name="Nagłówek 1 2" xfId="19002"/>
    <cellStyle name="Nagłówek 1 2 10" xfId="19003"/>
    <cellStyle name="Nagłówek 1 2 10 2" xfId="19004"/>
    <cellStyle name="Nagłówek 1 2 10 3" xfId="19005"/>
    <cellStyle name="Nagłówek 1 2 10 4" xfId="19006"/>
    <cellStyle name="Nagłówek 1 2 10 5" xfId="19007"/>
    <cellStyle name="Nagłówek 1 2 10 6" xfId="19008"/>
    <cellStyle name="Nagłówek 1 2 10 7" xfId="19009"/>
    <cellStyle name="Nagłówek 1 2 11" xfId="19010"/>
    <cellStyle name="Nagłówek 1 2 11 2" xfId="19011"/>
    <cellStyle name="Nagłówek 1 2 11 3" xfId="19012"/>
    <cellStyle name="Nagłówek 1 2 11 4" xfId="19013"/>
    <cellStyle name="Nagłówek 1 2 11 5" xfId="19014"/>
    <cellStyle name="Nagłówek 1 2 11 6" xfId="19015"/>
    <cellStyle name="Nagłówek 1 2 11 7" xfId="19016"/>
    <cellStyle name="Nagłówek 1 2 12" xfId="19017"/>
    <cellStyle name="Nagłówek 1 2 12 2" xfId="19018"/>
    <cellStyle name="Nagłówek 1 2 12 3" xfId="19019"/>
    <cellStyle name="Nagłówek 1 2 12 4" xfId="19020"/>
    <cellStyle name="Nagłówek 1 2 12 5" xfId="19021"/>
    <cellStyle name="Nagłówek 1 2 12 6" xfId="19022"/>
    <cellStyle name="Nagłówek 1 2 12 7" xfId="19023"/>
    <cellStyle name="Nagłówek 1 2 13" xfId="19024"/>
    <cellStyle name="Nagłówek 1 2 13 2" xfId="19025"/>
    <cellStyle name="Nagłówek 1 2 13 3" xfId="19026"/>
    <cellStyle name="Nagłówek 1 2 13 4" xfId="19027"/>
    <cellStyle name="Nagłówek 1 2 13 5" xfId="19028"/>
    <cellStyle name="Nagłówek 1 2 13 6" xfId="19029"/>
    <cellStyle name="Nagłówek 1 2 13 7" xfId="19030"/>
    <cellStyle name="Nagłówek 1 2 14" xfId="19031"/>
    <cellStyle name="Nagłówek 1 2 14 2" xfId="19032"/>
    <cellStyle name="Nagłówek 1 2 14 3" xfId="19033"/>
    <cellStyle name="Nagłówek 1 2 14 4" xfId="19034"/>
    <cellStyle name="Nagłówek 1 2 14 5" xfId="19035"/>
    <cellStyle name="Nagłówek 1 2 14 6" xfId="19036"/>
    <cellStyle name="Nagłówek 1 2 14 7" xfId="19037"/>
    <cellStyle name="Nagłówek 1 2 15" xfId="19038"/>
    <cellStyle name="Nagłówek 1 2 15 2" xfId="19039"/>
    <cellStyle name="Nagłówek 1 2 15 3" xfId="19040"/>
    <cellStyle name="Nagłówek 1 2 15 4" xfId="19041"/>
    <cellStyle name="Nagłówek 1 2 15 5" xfId="19042"/>
    <cellStyle name="Nagłówek 1 2 15 6" xfId="19043"/>
    <cellStyle name="Nagłówek 1 2 15 7" xfId="19044"/>
    <cellStyle name="Nagłówek 1 2 16" xfId="19045"/>
    <cellStyle name="Nagłówek 1 2 16 2" xfId="19046"/>
    <cellStyle name="Nagłówek 1 2 16 3" xfId="19047"/>
    <cellStyle name="Nagłówek 1 2 16 4" xfId="19048"/>
    <cellStyle name="Nagłówek 1 2 16 5" xfId="19049"/>
    <cellStyle name="Nagłówek 1 2 16 6" xfId="19050"/>
    <cellStyle name="Nagłówek 1 2 16 7" xfId="19051"/>
    <cellStyle name="Nagłówek 1 2 17" xfId="19052"/>
    <cellStyle name="Nagłówek 1 2 17 2" xfId="19053"/>
    <cellStyle name="Nagłówek 1 2 17 3" xfId="19054"/>
    <cellStyle name="Nagłówek 1 2 17 4" xfId="19055"/>
    <cellStyle name="Nagłówek 1 2 17 5" xfId="19056"/>
    <cellStyle name="Nagłówek 1 2 17 6" xfId="19057"/>
    <cellStyle name="Nagłówek 1 2 17 7" xfId="19058"/>
    <cellStyle name="Nagłówek 1 2 18" xfId="19059"/>
    <cellStyle name="Nagłówek 1 2 18 2" xfId="19060"/>
    <cellStyle name="Nagłówek 1 2 18 3" xfId="19061"/>
    <cellStyle name="Nagłówek 1 2 18 4" xfId="19062"/>
    <cellStyle name="Nagłówek 1 2 18 5" xfId="19063"/>
    <cellStyle name="Nagłówek 1 2 18 6" xfId="19064"/>
    <cellStyle name="Nagłówek 1 2 18 7" xfId="19065"/>
    <cellStyle name="Nagłówek 1 2 19" xfId="19066"/>
    <cellStyle name="Nagłówek 1 2 19 2" xfId="19067"/>
    <cellStyle name="Nagłówek 1 2 19 3" xfId="19068"/>
    <cellStyle name="Nagłówek 1 2 19 4" xfId="19069"/>
    <cellStyle name="Nagłówek 1 2 19 5" xfId="19070"/>
    <cellStyle name="Nagłówek 1 2 19 6" xfId="19071"/>
    <cellStyle name="Nagłówek 1 2 19 7" xfId="19072"/>
    <cellStyle name="Nagłówek 1 2 2" xfId="19073"/>
    <cellStyle name="Nagłówek 1 2 2 2" xfId="19074"/>
    <cellStyle name="Nagłówek 1 2 2 3" xfId="19075"/>
    <cellStyle name="Nagłówek 1 2 2 4" xfId="19076"/>
    <cellStyle name="Nagłówek 1 2 2 5" xfId="19077"/>
    <cellStyle name="Nagłówek 1 2 2 6" xfId="19078"/>
    <cellStyle name="Nagłówek 1 2 2 7" xfId="19079"/>
    <cellStyle name="Nagłówek 1 2 2 8" xfId="19080"/>
    <cellStyle name="Nagłówek 1 2 20" xfId="19081"/>
    <cellStyle name="Nagłówek 1 2 20 2" xfId="19082"/>
    <cellStyle name="Nagłówek 1 2 20 3" xfId="19083"/>
    <cellStyle name="Nagłówek 1 2 20 4" xfId="19084"/>
    <cellStyle name="Nagłówek 1 2 20 5" xfId="19085"/>
    <cellStyle name="Nagłówek 1 2 20 6" xfId="19086"/>
    <cellStyle name="Nagłówek 1 2 20 7" xfId="19087"/>
    <cellStyle name="Nagłówek 1 2 21" xfId="19088"/>
    <cellStyle name="Nagłówek 1 2 21 2" xfId="19089"/>
    <cellStyle name="Nagłówek 1 2 21 3" xfId="19090"/>
    <cellStyle name="Nagłówek 1 2 21 4" xfId="19091"/>
    <cellStyle name="Nagłówek 1 2 21 5" xfId="19092"/>
    <cellStyle name="Nagłówek 1 2 21 6" xfId="19093"/>
    <cellStyle name="Nagłówek 1 2 21 7" xfId="19094"/>
    <cellStyle name="Nagłówek 1 2 22" xfId="19095"/>
    <cellStyle name="Nagłówek 1 2 22 2" xfId="19096"/>
    <cellStyle name="Nagłówek 1 2 22 3" xfId="19097"/>
    <cellStyle name="Nagłówek 1 2 22 4" xfId="19098"/>
    <cellStyle name="Nagłówek 1 2 22 5" xfId="19099"/>
    <cellStyle name="Nagłówek 1 2 22 6" xfId="19100"/>
    <cellStyle name="Nagłówek 1 2 22 7" xfId="19101"/>
    <cellStyle name="Nagłówek 1 2 23" xfId="19102"/>
    <cellStyle name="Nagłówek 1 2 23 2" xfId="19103"/>
    <cellStyle name="Nagłówek 1 2 23 3" xfId="19104"/>
    <cellStyle name="Nagłówek 1 2 23 4" xfId="19105"/>
    <cellStyle name="Nagłówek 1 2 23 5" xfId="19106"/>
    <cellStyle name="Nagłówek 1 2 23 6" xfId="19107"/>
    <cellStyle name="Nagłówek 1 2 23 7" xfId="19108"/>
    <cellStyle name="Nagłówek 1 2 24" xfId="19109"/>
    <cellStyle name="Nagłówek 1 2 24 2" xfId="19110"/>
    <cellStyle name="Nagłówek 1 2 24 3" xfId="19111"/>
    <cellStyle name="Nagłówek 1 2 24 4" xfId="19112"/>
    <cellStyle name="Nagłówek 1 2 24 5" xfId="19113"/>
    <cellStyle name="Nagłówek 1 2 24 6" xfId="19114"/>
    <cellStyle name="Nagłówek 1 2 24 7" xfId="19115"/>
    <cellStyle name="Nagłówek 1 2 25" xfId="19116"/>
    <cellStyle name="Nagłówek 1 2 25 2" xfId="19117"/>
    <cellStyle name="Nagłówek 1 2 25 3" xfId="19118"/>
    <cellStyle name="Nagłówek 1 2 25 4" xfId="19119"/>
    <cellStyle name="Nagłówek 1 2 25 5" xfId="19120"/>
    <cellStyle name="Nagłówek 1 2 25 6" xfId="19121"/>
    <cellStyle name="Nagłówek 1 2 25 7" xfId="19122"/>
    <cellStyle name="Nagłówek 1 2 26" xfId="19123"/>
    <cellStyle name="Nagłówek 1 2 26 2" xfId="19124"/>
    <cellStyle name="Nagłówek 1 2 26 3" xfId="19125"/>
    <cellStyle name="Nagłówek 1 2 26 4" xfId="19126"/>
    <cellStyle name="Nagłówek 1 2 26 5" xfId="19127"/>
    <cellStyle name="Nagłówek 1 2 26 6" xfId="19128"/>
    <cellStyle name="Nagłówek 1 2 26 7" xfId="19129"/>
    <cellStyle name="Nagłówek 1 2 27" xfId="19130"/>
    <cellStyle name="Nagłówek 1 2 27 2" xfId="19131"/>
    <cellStyle name="Nagłówek 1 2 27 3" xfId="19132"/>
    <cellStyle name="Nagłówek 1 2 27 4" xfId="19133"/>
    <cellStyle name="Nagłówek 1 2 27 5" xfId="19134"/>
    <cellStyle name="Nagłówek 1 2 27 6" xfId="19135"/>
    <cellStyle name="Nagłówek 1 2 27 7" xfId="19136"/>
    <cellStyle name="Nagłówek 1 2 28" xfId="19137"/>
    <cellStyle name="Nagłówek 1 2 28 2" xfId="19138"/>
    <cellStyle name="Nagłówek 1 2 28 3" xfId="19139"/>
    <cellStyle name="Nagłówek 1 2 28 4" xfId="19140"/>
    <cellStyle name="Nagłówek 1 2 28 5" xfId="19141"/>
    <cellStyle name="Nagłówek 1 2 28 6" xfId="19142"/>
    <cellStyle name="Nagłówek 1 2 28 7" xfId="19143"/>
    <cellStyle name="Nagłówek 1 2 29" xfId="19144"/>
    <cellStyle name="Nagłówek 1 2 29 2" xfId="19145"/>
    <cellStyle name="Nagłówek 1 2 3" xfId="19146"/>
    <cellStyle name="Nagłówek 1 2 3 2" xfId="19147"/>
    <cellStyle name="Nagłówek 1 2 3 3" xfId="19148"/>
    <cellStyle name="Nagłówek 1 2 3 4" xfId="19149"/>
    <cellStyle name="Nagłówek 1 2 3 5" xfId="19150"/>
    <cellStyle name="Nagłówek 1 2 3 6" xfId="19151"/>
    <cellStyle name="Nagłówek 1 2 3 7" xfId="19152"/>
    <cellStyle name="Nagłówek 1 2 30" xfId="19153"/>
    <cellStyle name="Nagłówek 1 2 30 2" xfId="19154"/>
    <cellStyle name="Nagłówek 1 2 31" xfId="19155"/>
    <cellStyle name="Nagłówek 1 2 31 2" xfId="19156"/>
    <cellStyle name="Nagłówek 1 2 32" xfId="19157"/>
    <cellStyle name="Nagłówek 1 2 32 2" xfId="19158"/>
    <cellStyle name="Nagłówek 1 2 33" xfId="19159"/>
    <cellStyle name="Nagłówek 1 2 34" xfId="19160"/>
    <cellStyle name="Nagłówek 1 2 35" xfId="19161"/>
    <cellStyle name="Nagłówek 1 2 36" xfId="19162"/>
    <cellStyle name="Nagłówek 1 2 37" xfId="19163"/>
    <cellStyle name="Nagłówek 1 2 38" xfId="19164"/>
    <cellStyle name="Nagłówek 1 2 39" xfId="19165"/>
    <cellStyle name="Nagłówek 1 2 4" xfId="19166"/>
    <cellStyle name="Nagłówek 1 2 4 2" xfId="19167"/>
    <cellStyle name="Nagłówek 1 2 4 3" xfId="19168"/>
    <cellStyle name="Nagłówek 1 2 4 4" xfId="19169"/>
    <cellStyle name="Nagłówek 1 2 4 5" xfId="19170"/>
    <cellStyle name="Nagłówek 1 2 4 6" xfId="19171"/>
    <cellStyle name="Nagłówek 1 2 4 7" xfId="19172"/>
    <cellStyle name="Nagłówek 1 2 40" xfId="19173"/>
    <cellStyle name="Nagłówek 1 2 41" xfId="19174"/>
    <cellStyle name="Nagłówek 1 2 42" xfId="19175"/>
    <cellStyle name="Nagłówek 1 2 43" xfId="19176"/>
    <cellStyle name="Nagłówek 1 2 44" xfId="19177"/>
    <cellStyle name="Nagłówek 1 2 45" xfId="19178"/>
    <cellStyle name="Nagłówek 1 2 46" xfId="19179"/>
    <cellStyle name="Nagłówek 1 2 47" xfId="19180"/>
    <cellStyle name="Nagłówek 1 2 48" xfId="19181"/>
    <cellStyle name="Nagłówek 1 2 49" xfId="19182"/>
    <cellStyle name="Nagłówek 1 2 5" xfId="19183"/>
    <cellStyle name="Nagłówek 1 2 5 2" xfId="19184"/>
    <cellStyle name="Nagłówek 1 2 5 3" xfId="19185"/>
    <cellStyle name="Nagłówek 1 2 5 4" xfId="19186"/>
    <cellStyle name="Nagłówek 1 2 5 5" xfId="19187"/>
    <cellStyle name="Nagłówek 1 2 5 6" xfId="19188"/>
    <cellStyle name="Nagłówek 1 2 5 7" xfId="19189"/>
    <cellStyle name="Nagłówek 1 2 50" xfId="19190"/>
    <cellStyle name="Nagłówek 1 2 51" xfId="19191"/>
    <cellStyle name="Nagłówek 1 2 52" xfId="19192"/>
    <cellStyle name="Nagłówek 1 2 53" xfId="19193"/>
    <cellStyle name="Nagłówek 1 2 6" xfId="19194"/>
    <cellStyle name="Nagłówek 1 2 6 2" xfId="19195"/>
    <cellStyle name="Nagłówek 1 2 6 3" xfId="19196"/>
    <cellStyle name="Nagłówek 1 2 6 4" xfId="19197"/>
    <cellStyle name="Nagłówek 1 2 6 5" xfId="19198"/>
    <cellStyle name="Nagłówek 1 2 6 6" xfId="19199"/>
    <cellStyle name="Nagłówek 1 2 6 7" xfId="19200"/>
    <cellStyle name="Nagłówek 1 2 7" xfId="19201"/>
    <cellStyle name="Nagłówek 1 2 7 2" xfId="19202"/>
    <cellStyle name="Nagłówek 1 2 7 3" xfId="19203"/>
    <cellStyle name="Nagłówek 1 2 7 4" xfId="19204"/>
    <cellStyle name="Nagłówek 1 2 7 5" xfId="19205"/>
    <cellStyle name="Nagłówek 1 2 7 6" xfId="19206"/>
    <cellStyle name="Nagłówek 1 2 7 7" xfId="19207"/>
    <cellStyle name="Nagłówek 1 2 8" xfId="19208"/>
    <cellStyle name="Nagłówek 1 2 8 2" xfId="19209"/>
    <cellStyle name="Nagłówek 1 2 8 3" xfId="19210"/>
    <cellStyle name="Nagłówek 1 2 8 4" xfId="19211"/>
    <cellStyle name="Nagłówek 1 2 8 5" xfId="19212"/>
    <cellStyle name="Nagłówek 1 2 8 6" xfId="19213"/>
    <cellStyle name="Nagłówek 1 2 8 7" xfId="19214"/>
    <cellStyle name="Nagłówek 1 2 9" xfId="19215"/>
    <cellStyle name="Nagłówek 1 2 9 2" xfId="19216"/>
    <cellStyle name="Nagłówek 1 2 9 3" xfId="19217"/>
    <cellStyle name="Nagłówek 1 2 9 4" xfId="19218"/>
    <cellStyle name="Nagłówek 1 2 9 5" xfId="19219"/>
    <cellStyle name="Nagłówek 1 2 9 6" xfId="19220"/>
    <cellStyle name="Nagłówek 1 2 9 7" xfId="19221"/>
    <cellStyle name="Nagłówek 1 3" xfId="19222"/>
    <cellStyle name="Nagłówek 1 3 2" xfId="19223"/>
    <cellStyle name="Nagłówek 1 3 2 2" xfId="19224"/>
    <cellStyle name="Nagłówek 1 3 3" xfId="19225"/>
    <cellStyle name="Nagłówek 1 3 4" xfId="19226"/>
    <cellStyle name="Nagłówek 1 3 5" xfId="19227"/>
    <cellStyle name="Nagłówek 1 4" xfId="19228"/>
    <cellStyle name="Nagłówek 1 4 2" xfId="19229"/>
    <cellStyle name="Nagłówek 1 4 3" xfId="19230"/>
    <cellStyle name="Nagłówek 1 4 4" xfId="19231"/>
    <cellStyle name="Nagłówek 1 4 5" xfId="19232"/>
    <cellStyle name="Nagłówek 1 5" xfId="19233"/>
    <cellStyle name="Nagłówek 1 5 2" xfId="19234"/>
    <cellStyle name="Nagłówek 1 5 3" xfId="19235"/>
    <cellStyle name="Nagłówek 1 6" xfId="19236"/>
    <cellStyle name="Nagłówek 1 6 2" xfId="19237"/>
    <cellStyle name="Nagłówek 1 7" xfId="19238"/>
    <cellStyle name="Nagłówek 2 2" xfId="19239"/>
    <cellStyle name="Nagłówek 2 2 10" xfId="19240"/>
    <cellStyle name="Nagłówek 2 2 10 2" xfId="19241"/>
    <cellStyle name="Nagłówek 2 2 10 3" xfId="19242"/>
    <cellStyle name="Nagłówek 2 2 10 4" xfId="19243"/>
    <cellStyle name="Nagłówek 2 2 10 5" xfId="19244"/>
    <cellStyle name="Nagłówek 2 2 10 6" xfId="19245"/>
    <cellStyle name="Nagłówek 2 2 10 7" xfId="19246"/>
    <cellStyle name="Nagłówek 2 2 11" xfId="19247"/>
    <cellStyle name="Nagłówek 2 2 11 2" xfId="19248"/>
    <cellStyle name="Nagłówek 2 2 11 3" xfId="19249"/>
    <cellStyle name="Nagłówek 2 2 11 4" xfId="19250"/>
    <cellStyle name="Nagłówek 2 2 11 5" xfId="19251"/>
    <cellStyle name="Nagłówek 2 2 11 6" xfId="19252"/>
    <cellStyle name="Nagłówek 2 2 11 7" xfId="19253"/>
    <cellStyle name="Nagłówek 2 2 12" xfId="19254"/>
    <cellStyle name="Nagłówek 2 2 12 2" xfId="19255"/>
    <cellStyle name="Nagłówek 2 2 12 3" xfId="19256"/>
    <cellStyle name="Nagłówek 2 2 12 4" xfId="19257"/>
    <cellStyle name="Nagłówek 2 2 12 5" xfId="19258"/>
    <cellStyle name="Nagłówek 2 2 12 6" xfId="19259"/>
    <cellStyle name="Nagłówek 2 2 12 7" xfId="19260"/>
    <cellStyle name="Nagłówek 2 2 13" xfId="19261"/>
    <cellStyle name="Nagłówek 2 2 13 2" xfId="19262"/>
    <cellStyle name="Nagłówek 2 2 13 3" xfId="19263"/>
    <cellStyle name="Nagłówek 2 2 13 4" xfId="19264"/>
    <cellStyle name="Nagłówek 2 2 13 5" xfId="19265"/>
    <cellStyle name="Nagłówek 2 2 13 6" xfId="19266"/>
    <cellStyle name="Nagłówek 2 2 13 7" xfId="19267"/>
    <cellStyle name="Nagłówek 2 2 14" xfId="19268"/>
    <cellStyle name="Nagłówek 2 2 14 2" xfId="19269"/>
    <cellStyle name="Nagłówek 2 2 14 3" xfId="19270"/>
    <cellStyle name="Nagłówek 2 2 14 4" xfId="19271"/>
    <cellStyle name="Nagłówek 2 2 14 5" xfId="19272"/>
    <cellStyle name="Nagłówek 2 2 14 6" xfId="19273"/>
    <cellStyle name="Nagłówek 2 2 14 7" xfId="19274"/>
    <cellStyle name="Nagłówek 2 2 15" xfId="19275"/>
    <cellStyle name="Nagłówek 2 2 15 2" xfId="19276"/>
    <cellStyle name="Nagłówek 2 2 15 3" xfId="19277"/>
    <cellStyle name="Nagłówek 2 2 15 4" xfId="19278"/>
    <cellStyle name="Nagłówek 2 2 15 5" xfId="19279"/>
    <cellStyle name="Nagłówek 2 2 15 6" xfId="19280"/>
    <cellStyle name="Nagłówek 2 2 15 7" xfId="19281"/>
    <cellStyle name="Nagłówek 2 2 16" xfId="19282"/>
    <cellStyle name="Nagłówek 2 2 16 2" xfId="19283"/>
    <cellStyle name="Nagłówek 2 2 16 3" xfId="19284"/>
    <cellStyle name="Nagłówek 2 2 16 4" xfId="19285"/>
    <cellStyle name="Nagłówek 2 2 16 5" xfId="19286"/>
    <cellStyle name="Nagłówek 2 2 16 6" xfId="19287"/>
    <cellStyle name="Nagłówek 2 2 16 7" xfId="19288"/>
    <cellStyle name="Nagłówek 2 2 17" xfId="19289"/>
    <cellStyle name="Nagłówek 2 2 17 2" xfId="19290"/>
    <cellStyle name="Nagłówek 2 2 17 3" xfId="19291"/>
    <cellStyle name="Nagłówek 2 2 17 4" xfId="19292"/>
    <cellStyle name="Nagłówek 2 2 17 5" xfId="19293"/>
    <cellStyle name="Nagłówek 2 2 17 6" xfId="19294"/>
    <cellStyle name="Nagłówek 2 2 17 7" xfId="19295"/>
    <cellStyle name="Nagłówek 2 2 18" xfId="19296"/>
    <cellStyle name="Nagłówek 2 2 18 2" xfId="19297"/>
    <cellStyle name="Nagłówek 2 2 18 3" xfId="19298"/>
    <cellStyle name="Nagłówek 2 2 18 4" xfId="19299"/>
    <cellStyle name="Nagłówek 2 2 18 5" xfId="19300"/>
    <cellStyle name="Nagłówek 2 2 18 6" xfId="19301"/>
    <cellStyle name="Nagłówek 2 2 18 7" xfId="19302"/>
    <cellStyle name="Nagłówek 2 2 19" xfId="19303"/>
    <cellStyle name="Nagłówek 2 2 19 2" xfId="19304"/>
    <cellStyle name="Nagłówek 2 2 19 3" xfId="19305"/>
    <cellStyle name="Nagłówek 2 2 19 4" xfId="19306"/>
    <cellStyle name="Nagłówek 2 2 19 5" xfId="19307"/>
    <cellStyle name="Nagłówek 2 2 19 6" xfId="19308"/>
    <cellStyle name="Nagłówek 2 2 19 7" xfId="19309"/>
    <cellStyle name="Nagłówek 2 2 2" xfId="19310"/>
    <cellStyle name="Nagłówek 2 2 2 2" xfId="19311"/>
    <cellStyle name="Nagłówek 2 2 2 3" xfId="19312"/>
    <cellStyle name="Nagłówek 2 2 2 4" xfId="19313"/>
    <cellStyle name="Nagłówek 2 2 2 5" xfId="19314"/>
    <cellStyle name="Nagłówek 2 2 2 6" xfId="19315"/>
    <cellStyle name="Nagłówek 2 2 2 7" xfId="19316"/>
    <cellStyle name="Nagłówek 2 2 2 8" xfId="19317"/>
    <cellStyle name="Nagłówek 2 2 20" xfId="19318"/>
    <cellStyle name="Nagłówek 2 2 20 2" xfId="19319"/>
    <cellStyle name="Nagłówek 2 2 20 3" xfId="19320"/>
    <cellStyle name="Nagłówek 2 2 20 4" xfId="19321"/>
    <cellStyle name="Nagłówek 2 2 20 5" xfId="19322"/>
    <cellStyle name="Nagłówek 2 2 20 6" xfId="19323"/>
    <cellStyle name="Nagłówek 2 2 20 7" xfId="19324"/>
    <cellStyle name="Nagłówek 2 2 21" xfId="19325"/>
    <cellStyle name="Nagłówek 2 2 21 2" xfId="19326"/>
    <cellStyle name="Nagłówek 2 2 21 3" xfId="19327"/>
    <cellStyle name="Nagłówek 2 2 21 4" xfId="19328"/>
    <cellStyle name="Nagłówek 2 2 21 5" xfId="19329"/>
    <cellStyle name="Nagłówek 2 2 21 6" xfId="19330"/>
    <cellStyle name="Nagłówek 2 2 21 7" xfId="19331"/>
    <cellStyle name="Nagłówek 2 2 22" xfId="19332"/>
    <cellStyle name="Nagłówek 2 2 22 2" xfId="19333"/>
    <cellStyle name="Nagłówek 2 2 22 3" xfId="19334"/>
    <cellStyle name="Nagłówek 2 2 22 4" xfId="19335"/>
    <cellStyle name="Nagłówek 2 2 22 5" xfId="19336"/>
    <cellStyle name="Nagłówek 2 2 22 6" xfId="19337"/>
    <cellStyle name="Nagłówek 2 2 22 7" xfId="19338"/>
    <cellStyle name="Nagłówek 2 2 23" xfId="19339"/>
    <cellStyle name="Nagłówek 2 2 23 2" xfId="19340"/>
    <cellStyle name="Nagłówek 2 2 23 3" xfId="19341"/>
    <cellStyle name="Nagłówek 2 2 23 4" xfId="19342"/>
    <cellStyle name="Nagłówek 2 2 23 5" xfId="19343"/>
    <cellStyle name="Nagłówek 2 2 23 6" xfId="19344"/>
    <cellStyle name="Nagłówek 2 2 23 7" xfId="19345"/>
    <cellStyle name="Nagłówek 2 2 24" xfId="19346"/>
    <cellStyle name="Nagłówek 2 2 24 2" xfId="19347"/>
    <cellStyle name="Nagłówek 2 2 24 3" xfId="19348"/>
    <cellStyle name="Nagłówek 2 2 24 4" xfId="19349"/>
    <cellStyle name="Nagłówek 2 2 24 5" xfId="19350"/>
    <cellStyle name="Nagłówek 2 2 24 6" xfId="19351"/>
    <cellStyle name="Nagłówek 2 2 24 7" xfId="19352"/>
    <cellStyle name="Nagłówek 2 2 25" xfId="19353"/>
    <cellStyle name="Nagłówek 2 2 25 2" xfId="19354"/>
    <cellStyle name="Nagłówek 2 2 25 3" xfId="19355"/>
    <cellStyle name="Nagłówek 2 2 25 4" xfId="19356"/>
    <cellStyle name="Nagłówek 2 2 25 5" xfId="19357"/>
    <cellStyle name="Nagłówek 2 2 25 6" xfId="19358"/>
    <cellStyle name="Nagłówek 2 2 25 7" xfId="19359"/>
    <cellStyle name="Nagłówek 2 2 26" xfId="19360"/>
    <cellStyle name="Nagłówek 2 2 26 2" xfId="19361"/>
    <cellStyle name="Nagłówek 2 2 26 3" xfId="19362"/>
    <cellStyle name="Nagłówek 2 2 26 4" xfId="19363"/>
    <cellStyle name="Nagłówek 2 2 26 5" xfId="19364"/>
    <cellStyle name="Nagłówek 2 2 26 6" xfId="19365"/>
    <cellStyle name="Nagłówek 2 2 26 7" xfId="19366"/>
    <cellStyle name="Nagłówek 2 2 27" xfId="19367"/>
    <cellStyle name="Nagłówek 2 2 27 2" xfId="19368"/>
    <cellStyle name="Nagłówek 2 2 27 3" xfId="19369"/>
    <cellStyle name="Nagłówek 2 2 27 4" xfId="19370"/>
    <cellStyle name="Nagłówek 2 2 27 5" xfId="19371"/>
    <cellStyle name="Nagłówek 2 2 27 6" xfId="19372"/>
    <cellStyle name="Nagłówek 2 2 27 7" xfId="19373"/>
    <cellStyle name="Nagłówek 2 2 28" xfId="19374"/>
    <cellStyle name="Nagłówek 2 2 28 2" xfId="19375"/>
    <cellStyle name="Nagłówek 2 2 28 3" xfId="19376"/>
    <cellStyle name="Nagłówek 2 2 28 4" xfId="19377"/>
    <cellStyle name="Nagłówek 2 2 28 5" xfId="19378"/>
    <cellStyle name="Nagłówek 2 2 28 6" xfId="19379"/>
    <cellStyle name="Nagłówek 2 2 28 7" xfId="19380"/>
    <cellStyle name="Nagłówek 2 2 29" xfId="19381"/>
    <cellStyle name="Nagłówek 2 2 29 2" xfId="19382"/>
    <cellStyle name="Nagłówek 2 2 3" xfId="19383"/>
    <cellStyle name="Nagłówek 2 2 3 2" xfId="19384"/>
    <cellStyle name="Nagłówek 2 2 3 3" xfId="19385"/>
    <cellStyle name="Nagłówek 2 2 3 4" xfId="19386"/>
    <cellStyle name="Nagłówek 2 2 3 5" xfId="19387"/>
    <cellStyle name="Nagłówek 2 2 3 6" xfId="19388"/>
    <cellStyle name="Nagłówek 2 2 3 7" xfId="19389"/>
    <cellStyle name="Nagłówek 2 2 30" xfId="19390"/>
    <cellStyle name="Nagłówek 2 2 30 2" xfId="19391"/>
    <cellStyle name="Nagłówek 2 2 31" xfId="19392"/>
    <cellStyle name="Nagłówek 2 2 31 2" xfId="19393"/>
    <cellStyle name="Nagłówek 2 2 32" xfId="19394"/>
    <cellStyle name="Nagłówek 2 2 32 2" xfId="19395"/>
    <cellStyle name="Nagłówek 2 2 33" xfId="19396"/>
    <cellStyle name="Nagłówek 2 2 34" xfId="19397"/>
    <cellStyle name="Nagłówek 2 2 35" xfId="19398"/>
    <cellStyle name="Nagłówek 2 2 36" xfId="19399"/>
    <cellStyle name="Nagłówek 2 2 37" xfId="19400"/>
    <cellStyle name="Nagłówek 2 2 38" xfId="19401"/>
    <cellStyle name="Nagłówek 2 2 39" xfId="19402"/>
    <cellStyle name="Nagłówek 2 2 4" xfId="19403"/>
    <cellStyle name="Nagłówek 2 2 4 2" xfId="19404"/>
    <cellStyle name="Nagłówek 2 2 4 3" xfId="19405"/>
    <cellStyle name="Nagłówek 2 2 4 4" xfId="19406"/>
    <cellStyle name="Nagłówek 2 2 4 5" xfId="19407"/>
    <cellStyle name="Nagłówek 2 2 4 6" xfId="19408"/>
    <cellStyle name="Nagłówek 2 2 4 7" xfId="19409"/>
    <cellStyle name="Nagłówek 2 2 40" xfId="19410"/>
    <cellStyle name="Nagłówek 2 2 41" xfId="19411"/>
    <cellStyle name="Nagłówek 2 2 42" xfId="19412"/>
    <cellStyle name="Nagłówek 2 2 43" xfId="19413"/>
    <cellStyle name="Nagłówek 2 2 44" xfId="19414"/>
    <cellStyle name="Nagłówek 2 2 45" xfId="19415"/>
    <cellStyle name="Nagłówek 2 2 46" xfId="19416"/>
    <cellStyle name="Nagłówek 2 2 47" xfId="19417"/>
    <cellStyle name="Nagłówek 2 2 48" xfId="19418"/>
    <cellStyle name="Nagłówek 2 2 49" xfId="19419"/>
    <cellStyle name="Nagłówek 2 2 5" xfId="19420"/>
    <cellStyle name="Nagłówek 2 2 5 2" xfId="19421"/>
    <cellStyle name="Nagłówek 2 2 5 3" xfId="19422"/>
    <cellStyle name="Nagłówek 2 2 5 4" xfId="19423"/>
    <cellStyle name="Nagłówek 2 2 5 5" xfId="19424"/>
    <cellStyle name="Nagłówek 2 2 5 6" xfId="19425"/>
    <cellStyle name="Nagłówek 2 2 5 7" xfId="19426"/>
    <cellStyle name="Nagłówek 2 2 50" xfId="19427"/>
    <cellStyle name="Nagłówek 2 2 51" xfId="19428"/>
    <cellStyle name="Nagłówek 2 2 52" xfId="19429"/>
    <cellStyle name="Nagłówek 2 2 53" xfId="19430"/>
    <cellStyle name="Nagłówek 2 2 6" xfId="19431"/>
    <cellStyle name="Nagłówek 2 2 6 2" xfId="19432"/>
    <cellStyle name="Nagłówek 2 2 6 3" xfId="19433"/>
    <cellStyle name="Nagłówek 2 2 6 4" xfId="19434"/>
    <cellStyle name="Nagłówek 2 2 6 5" xfId="19435"/>
    <cellStyle name="Nagłówek 2 2 6 6" xfId="19436"/>
    <cellStyle name="Nagłówek 2 2 6 7" xfId="19437"/>
    <cellStyle name="Nagłówek 2 2 7" xfId="19438"/>
    <cellStyle name="Nagłówek 2 2 7 2" xfId="19439"/>
    <cellStyle name="Nagłówek 2 2 7 3" xfId="19440"/>
    <cellStyle name="Nagłówek 2 2 7 4" xfId="19441"/>
    <cellStyle name="Nagłówek 2 2 7 5" xfId="19442"/>
    <cellStyle name="Nagłówek 2 2 7 6" xfId="19443"/>
    <cellStyle name="Nagłówek 2 2 7 7" xfId="19444"/>
    <cellStyle name="Nagłówek 2 2 8" xfId="19445"/>
    <cellStyle name="Nagłówek 2 2 8 2" xfId="19446"/>
    <cellStyle name="Nagłówek 2 2 8 3" xfId="19447"/>
    <cellStyle name="Nagłówek 2 2 8 4" xfId="19448"/>
    <cellStyle name="Nagłówek 2 2 8 5" xfId="19449"/>
    <cellStyle name="Nagłówek 2 2 8 6" xfId="19450"/>
    <cellStyle name="Nagłówek 2 2 8 7" xfId="19451"/>
    <cellStyle name="Nagłówek 2 2 9" xfId="19452"/>
    <cellStyle name="Nagłówek 2 2 9 2" xfId="19453"/>
    <cellStyle name="Nagłówek 2 2 9 3" xfId="19454"/>
    <cellStyle name="Nagłówek 2 2 9 4" xfId="19455"/>
    <cellStyle name="Nagłówek 2 2 9 5" xfId="19456"/>
    <cellStyle name="Nagłówek 2 2 9 6" xfId="19457"/>
    <cellStyle name="Nagłówek 2 2 9 7" xfId="19458"/>
    <cellStyle name="Nagłówek 2 3" xfId="19459"/>
    <cellStyle name="Nagłówek 2 3 2" xfId="19460"/>
    <cellStyle name="Nagłówek 2 3 2 2" xfId="19461"/>
    <cellStyle name="Nagłówek 2 3 3" xfId="19462"/>
    <cellStyle name="Nagłówek 2 3 4" xfId="19463"/>
    <cellStyle name="Nagłówek 2 3 5" xfId="19464"/>
    <cellStyle name="Nagłówek 2 4" xfId="19465"/>
    <cellStyle name="Nagłówek 2 4 2" xfId="19466"/>
    <cellStyle name="Nagłówek 2 4 3" xfId="19467"/>
    <cellStyle name="Nagłówek 2 4 4" xfId="19468"/>
    <cellStyle name="Nagłówek 2 4 5" xfId="19469"/>
    <cellStyle name="Nagłówek 2 5" xfId="19470"/>
    <cellStyle name="Nagłówek 2 5 2" xfId="19471"/>
    <cellStyle name="Nagłówek 2 5 3" xfId="19472"/>
    <cellStyle name="Nagłówek 2 6" xfId="19473"/>
    <cellStyle name="Nagłówek 2 6 2" xfId="19474"/>
    <cellStyle name="Nagłówek 2 7" xfId="19475"/>
    <cellStyle name="Nagłówek 3 2" xfId="19476"/>
    <cellStyle name="Nagłówek 3 2 10" xfId="19477"/>
    <cellStyle name="Nagłówek 3 2 10 2" xfId="19478"/>
    <cellStyle name="Nagłówek 3 2 10 3" xfId="19479"/>
    <cellStyle name="Nagłówek 3 2 10 4" xfId="19480"/>
    <cellStyle name="Nagłówek 3 2 10 5" xfId="19481"/>
    <cellStyle name="Nagłówek 3 2 10 6" xfId="19482"/>
    <cellStyle name="Nagłówek 3 2 10 7" xfId="19483"/>
    <cellStyle name="Nagłówek 3 2 11" xfId="19484"/>
    <cellStyle name="Nagłówek 3 2 11 2" xfId="19485"/>
    <cellStyle name="Nagłówek 3 2 11 3" xfId="19486"/>
    <cellStyle name="Nagłówek 3 2 11 4" xfId="19487"/>
    <cellStyle name="Nagłówek 3 2 11 5" xfId="19488"/>
    <cellStyle name="Nagłówek 3 2 11 6" xfId="19489"/>
    <cellStyle name="Nagłówek 3 2 11 7" xfId="19490"/>
    <cellStyle name="Nagłówek 3 2 12" xfId="19491"/>
    <cellStyle name="Nagłówek 3 2 12 2" xfId="19492"/>
    <cellStyle name="Nagłówek 3 2 12 3" xfId="19493"/>
    <cellStyle name="Nagłówek 3 2 12 4" xfId="19494"/>
    <cellStyle name="Nagłówek 3 2 12 5" xfId="19495"/>
    <cellStyle name="Nagłówek 3 2 12 6" xfId="19496"/>
    <cellStyle name="Nagłówek 3 2 12 7" xfId="19497"/>
    <cellStyle name="Nagłówek 3 2 13" xfId="19498"/>
    <cellStyle name="Nagłówek 3 2 13 2" xfId="19499"/>
    <cellStyle name="Nagłówek 3 2 13 3" xfId="19500"/>
    <cellStyle name="Nagłówek 3 2 13 4" xfId="19501"/>
    <cellStyle name="Nagłówek 3 2 13 5" xfId="19502"/>
    <cellStyle name="Nagłówek 3 2 13 6" xfId="19503"/>
    <cellStyle name="Nagłówek 3 2 13 7" xfId="19504"/>
    <cellStyle name="Nagłówek 3 2 14" xfId="19505"/>
    <cellStyle name="Nagłówek 3 2 14 2" xfId="19506"/>
    <cellStyle name="Nagłówek 3 2 14 3" xfId="19507"/>
    <cellStyle name="Nagłówek 3 2 14 4" xfId="19508"/>
    <cellStyle name="Nagłówek 3 2 14 5" xfId="19509"/>
    <cellStyle name="Nagłówek 3 2 14 6" xfId="19510"/>
    <cellStyle name="Nagłówek 3 2 14 7" xfId="19511"/>
    <cellStyle name="Nagłówek 3 2 15" xfId="19512"/>
    <cellStyle name="Nagłówek 3 2 15 2" xfId="19513"/>
    <cellStyle name="Nagłówek 3 2 15 3" xfId="19514"/>
    <cellStyle name="Nagłówek 3 2 15 4" xfId="19515"/>
    <cellStyle name="Nagłówek 3 2 15 5" xfId="19516"/>
    <cellStyle name="Nagłówek 3 2 15 6" xfId="19517"/>
    <cellStyle name="Nagłówek 3 2 15 7" xfId="19518"/>
    <cellStyle name="Nagłówek 3 2 16" xfId="19519"/>
    <cellStyle name="Nagłówek 3 2 16 2" xfId="19520"/>
    <cellStyle name="Nagłówek 3 2 16 3" xfId="19521"/>
    <cellStyle name="Nagłówek 3 2 16 4" xfId="19522"/>
    <cellStyle name="Nagłówek 3 2 16 5" xfId="19523"/>
    <cellStyle name="Nagłówek 3 2 16 6" xfId="19524"/>
    <cellStyle name="Nagłówek 3 2 16 7" xfId="19525"/>
    <cellStyle name="Nagłówek 3 2 17" xfId="19526"/>
    <cellStyle name="Nagłówek 3 2 17 2" xfId="19527"/>
    <cellStyle name="Nagłówek 3 2 17 3" xfId="19528"/>
    <cellStyle name="Nagłówek 3 2 17 4" xfId="19529"/>
    <cellStyle name="Nagłówek 3 2 17 5" xfId="19530"/>
    <cellStyle name="Nagłówek 3 2 17 6" xfId="19531"/>
    <cellStyle name="Nagłówek 3 2 17 7" xfId="19532"/>
    <cellStyle name="Nagłówek 3 2 18" xfId="19533"/>
    <cellStyle name="Nagłówek 3 2 18 2" xfId="19534"/>
    <cellStyle name="Nagłówek 3 2 18 3" xfId="19535"/>
    <cellStyle name="Nagłówek 3 2 18 4" xfId="19536"/>
    <cellStyle name="Nagłówek 3 2 18 5" xfId="19537"/>
    <cellStyle name="Nagłówek 3 2 18 6" xfId="19538"/>
    <cellStyle name="Nagłówek 3 2 18 7" xfId="19539"/>
    <cellStyle name="Nagłówek 3 2 19" xfId="19540"/>
    <cellStyle name="Nagłówek 3 2 19 2" xfId="19541"/>
    <cellStyle name="Nagłówek 3 2 19 3" xfId="19542"/>
    <cellStyle name="Nagłówek 3 2 19 4" xfId="19543"/>
    <cellStyle name="Nagłówek 3 2 19 5" xfId="19544"/>
    <cellStyle name="Nagłówek 3 2 19 6" xfId="19545"/>
    <cellStyle name="Nagłówek 3 2 19 7" xfId="19546"/>
    <cellStyle name="Nagłówek 3 2 2" xfId="19547"/>
    <cellStyle name="Nagłówek 3 2 2 2" xfId="19548"/>
    <cellStyle name="Nagłówek 3 2 2 3" xfId="19549"/>
    <cellStyle name="Nagłówek 3 2 2 4" xfId="19550"/>
    <cellStyle name="Nagłówek 3 2 2 5" xfId="19551"/>
    <cellStyle name="Nagłówek 3 2 2 6" xfId="19552"/>
    <cellStyle name="Nagłówek 3 2 2 7" xfId="19553"/>
    <cellStyle name="Nagłówek 3 2 2 8" xfId="19554"/>
    <cellStyle name="Nagłówek 3 2 20" xfId="19555"/>
    <cellStyle name="Nagłówek 3 2 20 2" xfId="19556"/>
    <cellStyle name="Nagłówek 3 2 20 3" xfId="19557"/>
    <cellStyle name="Nagłówek 3 2 20 4" xfId="19558"/>
    <cellStyle name="Nagłówek 3 2 20 5" xfId="19559"/>
    <cellStyle name="Nagłówek 3 2 20 6" xfId="19560"/>
    <cellStyle name="Nagłówek 3 2 20 7" xfId="19561"/>
    <cellStyle name="Nagłówek 3 2 21" xfId="19562"/>
    <cellStyle name="Nagłówek 3 2 21 2" xfId="19563"/>
    <cellStyle name="Nagłówek 3 2 21 3" xfId="19564"/>
    <cellStyle name="Nagłówek 3 2 21 4" xfId="19565"/>
    <cellStyle name="Nagłówek 3 2 21 5" xfId="19566"/>
    <cellStyle name="Nagłówek 3 2 21 6" xfId="19567"/>
    <cellStyle name="Nagłówek 3 2 21 7" xfId="19568"/>
    <cellStyle name="Nagłówek 3 2 22" xfId="19569"/>
    <cellStyle name="Nagłówek 3 2 22 2" xfId="19570"/>
    <cellStyle name="Nagłówek 3 2 22 3" xfId="19571"/>
    <cellStyle name="Nagłówek 3 2 22 4" xfId="19572"/>
    <cellStyle name="Nagłówek 3 2 22 5" xfId="19573"/>
    <cellStyle name="Nagłówek 3 2 22 6" xfId="19574"/>
    <cellStyle name="Nagłówek 3 2 22 7" xfId="19575"/>
    <cellStyle name="Nagłówek 3 2 23" xfId="19576"/>
    <cellStyle name="Nagłówek 3 2 23 2" xfId="19577"/>
    <cellStyle name="Nagłówek 3 2 23 3" xfId="19578"/>
    <cellStyle name="Nagłówek 3 2 23 4" xfId="19579"/>
    <cellStyle name="Nagłówek 3 2 23 5" xfId="19580"/>
    <cellStyle name="Nagłówek 3 2 23 6" xfId="19581"/>
    <cellStyle name="Nagłówek 3 2 23 7" xfId="19582"/>
    <cellStyle name="Nagłówek 3 2 24" xfId="19583"/>
    <cellStyle name="Nagłówek 3 2 24 2" xfId="19584"/>
    <cellStyle name="Nagłówek 3 2 24 3" xfId="19585"/>
    <cellStyle name="Nagłówek 3 2 24 4" xfId="19586"/>
    <cellStyle name="Nagłówek 3 2 24 5" xfId="19587"/>
    <cellStyle name="Nagłówek 3 2 24 6" xfId="19588"/>
    <cellStyle name="Nagłówek 3 2 24 7" xfId="19589"/>
    <cellStyle name="Nagłówek 3 2 25" xfId="19590"/>
    <cellStyle name="Nagłówek 3 2 25 2" xfId="19591"/>
    <cellStyle name="Nagłówek 3 2 25 3" xfId="19592"/>
    <cellStyle name="Nagłówek 3 2 25 4" xfId="19593"/>
    <cellStyle name="Nagłówek 3 2 25 5" xfId="19594"/>
    <cellStyle name="Nagłówek 3 2 25 6" xfId="19595"/>
    <cellStyle name="Nagłówek 3 2 25 7" xfId="19596"/>
    <cellStyle name="Nagłówek 3 2 26" xfId="19597"/>
    <cellStyle name="Nagłówek 3 2 26 2" xfId="19598"/>
    <cellStyle name="Nagłówek 3 2 26 3" xfId="19599"/>
    <cellStyle name="Nagłówek 3 2 26 4" xfId="19600"/>
    <cellStyle name="Nagłówek 3 2 26 5" xfId="19601"/>
    <cellStyle name="Nagłówek 3 2 26 6" xfId="19602"/>
    <cellStyle name="Nagłówek 3 2 26 7" xfId="19603"/>
    <cellStyle name="Nagłówek 3 2 27" xfId="19604"/>
    <cellStyle name="Nagłówek 3 2 27 2" xfId="19605"/>
    <cellStyle name="Nagłówek 3 2 27 3" xfId="19606"/>
    <cellStyle name="Nagłówek 3 2 27 4" xfId="19607"/>
    <cellStyle name="Nagłówek 3 2 27 5" xfId="19608"/>
    <cellStyle name="Nagłówek 3 2 27 6" xfId="19609"/>
    <cellStyle name="Nagłówek 3 2 27 7" xfId="19610"/>
    <cellStyle name="Nagłówek 3 2 28" xfId="19611"/>
    <cellStyle name="Nagłówek 3 2 28 2" xfId="19612"/>
    <cellStyle name="Nagłówek 3 2 28 3" xfId="19613"/>
    <cellStyle name="Nagłówek 3 2 28 4" xfId="19614"/>
    <cellStyle name="Nagłówek 3 2 28 5" xfId="19615"/>
    <cellStyle name="Nagłówek 3 2 28 6" xfId="19616"/>
    <cellStyle name="Nagłówek 3 2 28 7" xfId="19617"/>
    <cellStyle name="Nagłówek 3 2 29" xfId="19618"/>
    <cellStyle name="Nagłówek 3 2 29 2" xfId="19619"/>
    <cellStyle name="Nagłówek 3 2 3" xfId="19620"/>
    <cellStyle name="Nagłówek 3 2 3 2" xfId="19621"/>
    <cellStyle name="Nagłówek 3 2 3 3" xfId="19622"/>
    <cellStyle name="Nagłówek 3 2 3 4" xfId="19623"/>
    <cellStyle name="Nagłówek 3 2 3 5" xfId="19624"/>
    <cellStyle name="Nagłówek 3 2 3 6" xfId="19625"/>
    <cellStyle name="Nagłówek 3 2 3 7" xfId="19626"/>
    <cellStyle name="Nagłówek 3 2 30" xfId="19627"/>
    <cellStyle name="Nagłówek 3 2 30 2" xfId="19628"/>
    <cellStyle name="Nagłówek 3 2 31" xfId="19629"/>
    <cellStyle name="Nagłówek 3 2 31 2" xfId="19630"/>
    <cellStyle name="Nagłówek 3 2 32" xfId="19631"/>
    <cellStyle name="Nagłówek 3 2 32 2" xfId="19632"/>
    <cellStyle name="Nagłówek 3 2 33" xfId="19633"/>
    <cellStyle name="Nagłówek 3 2 34" xfId="19634"/>
    <cellStyle name="Nagłówek 3 2 35" xfId="19635"/>
    <cellStyle name="Nagłówek 3 2 36" xfId="19636"/>
    <cellStyle name="Nagłówek 3 2 37" xfId="19637"/>
    <cellStyle name="Nagłówek 3 2 38" xfId="19638"/>
    <cellStyle name="Nagłówek 3 2 39" xfId="19639"/>
    <cellStyle name="Nagłówek 3 2 4" xfId="19640"/>
    <cellStyle name="Nagłówek 3 2 4 2" xfId="19641"/>
    <cellStyle name="Nagłówek 3 2 4 3" xfId="19642"/>
    <cellStyle name="Nagłówek 3 2 4 4" xfId="19643"/>
    <cellStyle name="Nagłówek 3 2 4 5" xfId="19644"/>
    <cellStyle name="Nagłówek 3 2 4 6" xfId="19645"/>
    <cellStyle name="Nagłówek 3 2 4 7" xfId="19646"/>
    <cellStyle name="Nagłówek 3 2 40" xfId="19647"/>
    <cellStyle name="Nagłówek 3 2 41" xfId="19648"/>
    <cellStyle name="Nagłówek 3 2 42" xfId="19649"/>
    <cellStyle name="Nagłówek 3 2 43" xfId="19650"/>
    <cellStyle name="Nagłówek 3 2 44" xfId="19651"/>
    <cellStyle name="Nagłówek 3 2 45" xfId="19652"/>
    <cellStyle name="Nagłówek 3 2 46" xfId="19653"/>
    <cellStyle name="Nagłówek 3 2 47" xfId="19654"/>
    <cellStyle name="Nagłówek 3 2 48" xfId="19655"/>
    <cellStyle name="Nagłówek 3 2 49" xfId="19656"/>
    <cellStyle name="Nagłówek 3 2 5" xfId="19657"/>
    <cellStyle name="Nagłówek 3 2 5 2" xfId="19658"/>
    <cellStyle name="Nagłówek 3 2 5 3" xfId="19659"/>
    <cellStyle name="Nagłówek 3 2 5 4" xfId="19660"/>
    <cellStyle name="Nagłówek 3 2 5 5" xfId="19661"/>
    <cellStyle name="Nagłówek 3 2 5 6" xfId="19662"/>
    <cellStyle name="Nagłówek 3 2 5 7" xfId="19663"/>
    <cellStyle name="Nagłówek 3 2 50" xfId="19664"/>
    <cellStyle name="Nagłówek 3 2 51" xfId="19665"/>
    <cellStyle name="Nagłówek 3 2 52" xfId="19666"/>
    <cellStyle name="Nagłówek 3 2 53" xfId="19667"/>
    <cellStyle name="Nagłówek 3 2 6" xfId="19668"/>
    <cellStyle name="Nagłówek 3 2 6 2" xfId="19669"/>
    <cellStyle name="Nagłówek 3 2 6 3" xfId="19670"/>
    <cellStyle name="Nagłówek 3 2 6 4" xfId="19671"/>
    <cellStyle name="Nagłówek 3 2 6 5" xfId="19672"/>
    <cellStyle name="Nagłówek 3 2 6 6" xfId="19673"/>
    <cellStyle name="Nagłówek 3 2 6 7" xfId="19674"/>
    <cellStyle name="Nagłówek 3 2 7" xfId="19675"/>
    <cellStyle name="Nagłówek 3 2 7 2" xfId="19676"/>
    <cellStyle name="Nagłówek 3 2 7 3" xfId="19677"/>
    <cellStyle name="Nagłówek 3 2 7 4" xfId="19678"/>
    <cellStyle name="Nagłówek 3 2 7 5" xfId="19679"/>
    <cellStyle name="Nagłówek 3 2 7 6" xfId="19680"/>
    <cellStyle name="Nagłówek 3 2 7 7" xfId="19681"/>
    <cellStyle name="Nagłówek 3 2 8" xfId="19682"/>
    <cellStyle name="Nagłówek 3 2 8 2" xfId="19683"/>
    <cellStyle name="Nagłówek 3 2 8 3" xfId="19684"/>
    <cellStyle name="Nagłówek 3 2 8 4" xfId="19685"/>
    <cellStyle name="Nagłówek 3 2 8 5" xfId="19686"/>
    <cellStyle name="Nagłówek 3 2 8 6" xfId="19687"/>
    <cellStyle name="Nagłówek 3 2 8 7" xfId="19688"/>
    <cellStyle name="Nagłówek 3 2 9" xfId="19689"/>
    <cellStyle name="Nagłówek 3 2 9 2" xfId="19690"/>
    <cellStyle name="Nagłówek 3 2 9 3" xfId="19691"/>
    <cellStyle name="Nagłówek 3 2 9 4" xfId="19692"/>
    <cellStyle name="Nagłówek 3 2 9 5" xfId="19693"/>
    <cellStyle name="Nagłówek 3 2 9 6" xfId="19694"/>
    <cellStyle name="Nagłówek 3 2 9 7" xfId="19695"/>
    <cellStyle name="Nagłówek 3 3" xfId="19696"/>
    <cellStyle name="Nagłówek 3 3 2" xfId="19697"/>
    <cellStyle name="Nagłówek 3 3 2 2" xfId="19698"/>
    <cellStyle name="Nagłówek 3 3 3" xfId="19699"/>
    <cellStyle name="Nagłówek 3 3 4" xfId="19700"/>
    <cellStyle name="Nagłówek 3 3 5" xfId="19701"/>
    <cellStyle name="Nagłówek 3 4" xfId="19702"/>
    <cellStyle name="Nagłówek 3 4 2" xfId="19703"/>
    <cellStyle name="Nagłówek 3 4 3" xfId="19704"/>
    <cellStyle name="Nagłówek 3 4 4" xfId="19705"/>
    <cellStyle name="Nagłówek 3 4 5" xfId="19706"/>
    <cellStyle name="Nagłówek 3 5" xfId="19707"/>
    <cellStyle name="Nagłówek 3 5 2" xfId="19708"/>
    <cellStyle name="Nagłówek 3 5 3" xfId="19709"/>
    <cellStyle name="Nagłówek 3 6" xfId="19710"/>
    <cellStyle name="Nagłówek 3 6 2" xfId="19711"/>
    <cellStyle name="Nagłówek 3 7" xfId="19712"/>
    <cellStyle name="Nagłówek 4 2" xfId="19713"/>
    <cellStyle name="Nagłówek 4 2 10" xfId="19714"/>
    <cellStyle name="Nagłówek 4 2 10 2" xfId="19715"/>
    <cellStyle name="Nagłówek 4 2 10 3" xfId="19716"/>
    <cellStyle name="Nagłówek 4 2 10 4" xfId="19717"/>
    <cellStyle name="Nagłówek 4 2 10 5" xfId="19718"/>
    <cellStyle name="Nagłówek 4 2 10 6" xfId="19719"/>
    <cellStyle name="Nagłówek 4 2 10 7" xfId="19720"/>
    <cellStyle name="Nagłówek 4 2 11" xfId="19721"/>
    <cellStyle name="Nagłówek 4 2 11 2" xfId="19722"/>
    <cellStyle name="Nagłówek 4 2 11 3" xfId="19723"/>
    <cellStyle name="Nagłówek 4 2 11 4" xfId="19724"/>
    <cellStyle name="Nagłówek 4 2 11 5" xfId="19725"/>
    <cellStyle name="Nagłówek 4 2 11 6" xfId="19726"/>
    <cellStyle name="Nagłówek 4 2 11 7" xfId="19727"/>
    <cellStyle name="Nagłówek 4 2 12" xfId="19728"/>
    <cellStyle name="Nagłówek 4 2 12 2" xfId="19729"/>
    <cellStyle name="Nagłówek 4 2 12 3" xfId="19730"/>
    <cellStyle name="Nagłówek 4 2 12 4" xfId="19731"/>
    <cellStyle name="Nagłówek 4 2 12 5" xfId="19732"/>
    <cellStyle name="Nagłówek 4 2 12 6" xfId="19733"/>
    <cellStyle name="Nagłówek 4 2 12 7" xfId="19734"/>
    <cellStyle name="Nagłówek 4 2 13" xfId="19735"/>
    <cellStyle name="Nagłówek 4 2 13 2" xfId="19736"/>
    <cellStyle name="Nagłówek 4 2 13 3" xfId="19737"/>
    <cellStyle name="Nagłówek 4 2 13 4" xfId="19738"/>
    <cellStyle name="Nagłówek 4 2 13 5" xfId="19739"/>
    <cellStyle name="Nagłówek 4 2 13 6" xfId="19740"/>
    <cellStyle name="Nagłówek 4 2 13 7" xfId="19741"/>
    <cellStyle name="Nagłówek 4 2 14" xfId="19742"/>
    <cellStyle name="Nagłówek 4 2 14 2" xfId="19743"/>
    <cellStyle name="Nagłówek 4 2 14 3" xfId="19744"/>
    <cellStyle name="Nagłówek 4 2 14 4" xfId="19745"/>
    <cellStyle name="Nagłówek 4 2 14 5" xfId="19746"/>
    <cellStyle name="Nagłówek 4 2 14 6" xfId="19747"/>
    <cellStyle name="Nagłówek 4 2 14 7" xfId="19748"/>
    <cellStyle name="Nagłówek 4 2 15" xfId="19749"/>
    <cellStyle name="Nagłówek 4 2 15 2" xfId="19750"/>
    <cellStyle name="Nagłówek 4 2 15 3" xfId="19751"/>
    <cellStyle name="Nagłówek 4 2 15 4" xfId="19752"/>
    <cellStyle name="Nagłówek 4 2 15 5" xfId="19753"/>
    <cellStyle name="Nagłówek 4 2 15 6" xfId="19754"/>
    <cellStyle name="Nagłówek 4 2 15 7" xfId="19755"/>
    <cellStyle name="Nagłówek 4 2 16" xfId="19756"/>
    <cellStyle name="Nagłówek 4 2 16 2" xfId="19757"/>
    <cellStyle name="Nagłówek 4 2 16 3" xfId="19758"/>
    <cellStyle name="Nagłówek 4 2 16 4" xfId="19759"/>
    <cellStyle name="Nagłówek 4 2 16 5" xfId="19760"/>
    <cellStyle name="Nagłówek 4 2 16 6" xfId="19761"/>
    <cellStyle name="Nagłówek 4 2 16 7" xfId="19762"/>
    <cellStyle name="Nagłówek 4 2 17" xfId="19763"/>
    <cellStyle name="Nagłówek 4 2 17 2" xfId="19764"/>
    <cellStyle name="Nagłówek 4 2 17 3" xfId="19765"/>
    <cellStyle name="Nagłówek 4 2 17 4" xfId="19766"/>
    <cellStyle name="Nagłówek 4 2 17 5" xfId="19767"/>
    <cellStyle name="Nagłówek 4 2 17 6" xfId="19768"/>
    <cellStyle name="Nagłówek 4 2 17 7" xfId="19769"/>
    <cellStyle name="Nagłówek 4 2 18" xfId="19770"/>
    <cellStyle name="Nagłówek 4 2 18 2" xfId="19771"/>
    <cellStyle name="Nagłówek 4 2 18 3" xfId="19772"/>
    <cellStyle name="Nagłówek 4 2 18 4" xfId="19773"/>
    <cellStyle name="Nagłówek 4 2 18 5" xfId="19774"/>
    <cellStyle name="Nagłówek 4 2 18 6" xfId="19775"/>
    <cellStyle name="Nagłówek 4 2 18 7" xfId="19776"/>
    <cellStyle name="Nagłówek 4 2 19" xfId="19777"/>
    <cellStyle name="Nagłówek 4 2 19 2" xfId="19778"/>
    <cellStyle name="Nagłówek 4 2 19 3" xfId="19779"/>
    <cellStyle name="Nagłówek 4 2 19 4" xfId="19780"/>
    <cellStyle name="Nagłówek 4 2 19 5" xfId="19781"/>
    <cellStyle name="Nagłówek 4 2 19 6" xfId="19782"/>
    <cellStyle name="Nagłówek 4 2 19 7" xfId="19783"/>
    <cellStyle name="Nagłówek 4 2 2" xfId="19784"/>
    <cellStyle name="Nagłówek 4 2 2 2" xfId="19785"/>
    <cellStyle name="Nagłówek 4 2 2 3" xfId="19786"/>
    <cellStyle name="Nagłówek 4 2 2 4" xfId="19787"/>
    <cellStyle name="Nagłówek 4 2 2 5" xfId="19788"/>
    <cellStyle name="Nagłówek 4 2 2 6" xfId="19789"/>
    <cellStyle name="Nagłówek 4 2 2 7" xfId="19790"/>
    <cellStyle name="Nagłówek 4 2 2 8" xfId="19791"/>
    <cellStyle name="Nagłówek 4 2 20" xfId="19792"/>
    <cellStyle name="Nagłówek 4 2 20 2" xfId="19793"/>
    <cellStyle name="Nagłówek 4 2 20 3" xfId="19794"/>
    <cellStyle name="Nagłówek 4 2 20 4" xfId="19795"/>
    <cellStyle name="Nagłówek 4 2 20 5" xfId="19796"/>
    <cellStyle name="Nagłówek 4 2 20 6" xfId="19797"/>
    <cellStyle name="Nagłówek 4 2 20 7" xfId="19798"/>
    <cellStyle name="Nagłówek 4 2 21" xfId="19799"/>
    <cellStyle name="Nagłówek 4 2 21 2" xfId="19800"/>
    <cellStyle name="Nagłówek 4 2 21 3" xfId="19801"/>
    <cellStyle name="Nagłówek 4 2 21 4" xfId="19802"/>
    <cellStyle name="Nagłówek 4 2 21 5" xfId="19803"/>
    <cellStyle name="Nagłówek 4 2 21 6" xfId="19804"/>
    <cellStyle name="Nagłówek 4 2 21 7" xfId="19805"/>
    <cellStyle name="Nagłówek 4 2 22" xfId="19806"/>
    <cellStyle name="Nagłówek 4 2 22 2" xfId="19807"/>
    <cellStyle name="Nagłówek 4 2 22 3" xfId="19808"/>
    <cellStyle name="Nagłówek 4 2 22 4" xfId="19809"/>
    <cellStyle name="Nagłówek 4 2 22 5" xfId="19810"/>
    <cellStyle name="Nagłówek 4 2 22 6" xfId="19811"/>
    <cellStyle name="Nagłówek 4 2 22 7" xfId="19812"/>
    <cellStyle name="Nagłówek 4 2 23" xfId="19813"/>
    <cellStyle name="Nagłówek 4 2 23 2" xfId="19814"/>
    <cellStyle name="Nagłówek 4 2 23 3" xfId="19815"/>
    <cellStyle name="Nagłówek 4 2 23 4" xfId="19816"/>
    <cellStyle name="Nagłówek 4 2 23 5" xfId="19817"/>
    <cellStyle name="Nagłówek 4 2 23 6" xfId="19818"/>
    <cellStyle name="Nagłówek 4 2 23 7" xfId="19819"/>
    <cellStyle name="Nagłówek 4 2 24" xfId="19820"/>
    <cellStyle name="Nagłówek 4 2 24 2" xfId="19821"/>
    <cellStyle name="Nagłówek 4 2 24 3" xfId="19822"/>
    <cellStyle name="Nagłówek 4 2 24 4" xfId="19823"/>
    <cellStyle name="Nagłówek 4 2 24 5" xfId="19824"/>
    <cellStyle name="Nagłówek 4 2 24 6" xfId="19825"/>
    <cellStyle name="Nagłówek 4 2 24 7" xfId="19826"/>
    <cellStyle name="Nagłówek 4 2 25" xfId="19827"/>
    <cellStyle name="Nagłówek 4 2 25 2" xfId="19828"/>
    <cellStyle name="Nagłówek 4 2 25 3" xfId="19829"/>
    <cellStyle name="Nagłówek 4 2 25 4" xfId="19830"/>
    <cellStyle name="Nagłówek 4 2 25 5" xfId="19831"/>
    <cellStyle name="Nagłówek 4 2 25 6" xfId="19832"/>
    <cellStyle name="Nagłówek 4 2 25 7" xfId="19833"/>
    <cellStyle name="Nagłówek 4 2 26" xfId="19834"/>
    <cellStyle name="Nagłówek 4 2 26 2" xfId="19835"/>
    <cellStyle name="Nagłówek 4 2 26 3" xfId="19836"/>
    <cellStyle name="Nagłówek 4 2 26 4" xfId="19837"/>
    <cellStyle name="Nagłówek 4 2 26 5" xfId="19838"/>
    <cellStyle name="Nagłówek 4 2 26 6" xfId="19839"/>
    <cellStyle name="Nagłówek 4 2 26 7" xfId="19840"/>
    <cellStyle name="Nagłówek 4 2 27" xfId="19841"/>
    <cellStyle name="Nagłówek 4 2 27 2" xfId="19842"/>
    <cellStyle name="Nagłówek 4 2 27 3" xfId="19843"/>
    <cellStyle name="Nagłówek 4 2 27 4" xfId="19844"/>
    <cellStyle name="Nagłówek 4 2 27 5" xfId="19845"/>
    <cellStyle name="Nagłówek 4 2 27 6" xfId="19846"/>
    <cellStyle name="Nagłówek 4 2 27 7" xfId="19847"/>
    <cellStyle name="Nagłówek 4 2 28" xfId="19848"/>
    <cellStyle name="Nagłówek 4 2 28 2" xfId="19849"/>
    <cellStyle name="Nagłówek 4 2 28 3" xfId="19850"/>
    <cellStyle name="Nagłówek 4 2 28 4" xfId="19851"/>
    <cellStyle name="Nagłówek 4 2 28 5" xfId="19852"/>
    <cellStyle name="Nagłówek 4 2 28 6" xfId="19853"/>
    <cellStyle name="Nagłówek 4 2 28 7" xfId="19854"/>
    <cellStyle name="Nagłówek 4 2 29" xfId="19855"/>
    <cellStyle name="Nagłówek 4 2 29 2" xfId="19856"/>
    <cellStyle name="Nagłówek 4 2 3" xfId="19857"/>
    <cellStyle name="Nagłówek 4 2 3 2" xfId="19858"/>
    <cellStyle name="Nagłówek 4 2 3 3" xfId="19859"/>
    <cellStyle name="Nagłówek 4 2 3 4" xfId="19860"/>
    <cellStyle name="Nagłówek 4 2 3 5" xfId="19861"/>
    <cellStyle name="Nagłówek 4 2 3 6" xfId="19862"/>
    <cellStyle name="Nagłówek 4 2 3 7" xfId="19863"/>
    <cellStyle name="Nagłówek 4 2 30" xfId="19864"/>
    <cellStyle name="Nagłówek 4 2 30 2" xfId="19865"/>
    <cellStyle name="Nagłówek 4 2 31" xfId="19866"/>
    <cellStyle name="Nagłówek 4 2 31 2" xfId="19867"/>
    <cellStyle name="Nagłówek 4 2 32" xfId="19868"/>
    <cellStyle name="Nagłówek 4 2 32 2" xfId="19869"/>
    <cellStyle name="Nagłówek 4 2 33" xfId="19870"/>
    <cellStyle name="Nagłówek 4 2 34" xfId="19871"/>
    <cellStyle name="Nagłówek 4 2 35" xfId="19872"/>
    <cellStyle name="Nagłówek 4 2 36" xfId="19873"/>
    <cellStyle name="Nagłówek 4 2 37" xfId="19874"/>
    <cellStyle name="Nagłówek 4 2 38" xfId="19875"/>
    <cellStyle name="Nagłówek 4 2 39" xfId="19876"/>
    <cellStyle name="Nagłówek 4 2 4" xfId="19877"/>
    <cellStyle name="Nagłówek 4 2 4 2" xfId="19878"/>
    <cellStyle name="Nagłówek 4 2 4 3" xfId="19879"/>
    <cellStyle name="Nagłówek 4 2 4 4" xfId="19880"/>
    <cellStyle name="Nagłówek 4 2 4 5" xfId="19881"/>
    <cellStyle name="Nagłówek 4 2 4 6" xfId="19882"/>
    <cellStyle name="Nagłówek 4 2 4 7" xfId="19883"/>
    <cellStyle name="Nagłówek 4 2 40" xfId="19884"/>
    <cellStyle name="Nagłówek 4 2 41" xfId="19885"/>
    <cellStyle name="Nagłówek 4 2 42" xfId="19886"/>
    <cellStyle name="Nagłówek 4 2 43" xfId="19887"/>
    <cellStyle name="Nagłówek 4 2 44" xfId="19888"/>
    <cellStyle name="Nagłówek 4 2 45" xfId="19889"/>
    <cellStyle name="Nagłówek 4 2 46" xfId="19890"/>
    <cellStyle name="Nagłówek 4 2 47" xfId="19891"/>
    <cellStyle name="Nagłówek 4 2 48" xfId="19892"/>
    <cellStyle name="Nagłówek 4 2 49" xfId="19893"/>
    <cellStyle name="Nagłówek 4 2 5" xfId="19894"/>
    <cellStyle name="Nagłówek 4 2 5 2" xfId="19895"/>
    <cellStyle name="Nagłówek 4 2 5 3" xfId="19896"/>
    <cellStyle name="Nagłówek 4 2 5 4" xfId="19897"/>
    <cellStyle name="Nagłówek 4 2 5 5" xfId="19898"/>
    <cellStyle name="Nagłówek 4 2 5 6" xfId="19899"/>
    <cellStyle name="Nagłówek 4 2 5 7" xfId="19900"/>
    <cellStyle name="Nagłówek 4 2 50" xfId="19901"/>
    <cellStyle name="Nagłówek 4 2 51" xfId="19902"/>
    <cellStyle name="Nagłówek 4 2 52" xfId="19903"/>
    <cellStyle name="Nagłówek 4 2 53" xfId="19904"/>
    <cellStyle name="Nagłówek 4 2 6" xfId="19905"/>
    <cellStyle name="Nagłówek 4 2 6 2" xfId="19906"/>
    <cellStyle name="Nagłówek 4 2 6 3" xfId="19907"/>
    <cellStyle name="Nagłówek 4 2 6 4" xfId="19908"/>
    <cellStyle name="Nagłówek 4 2 6 5" xfId="19909"/>
    <cellStyle name="Nagłówek 4 2 6 6" xfId="19910"/>
    <cellStyle name="Nagłówek 4 2 6 7" xfId="19911"/>
    <cellStyle name="Nagłówek 4 2 7" xfId="19912"/>
    <cellStyle name="Nagłówek 4 2 7 2" xfId="19913"/>
    <cellStyle name="Nagłówek 4 2 7 3" xfId="19914"/>
    <cellStyle name="Nagłówek 4 2 7 4" xfId="19915"/>
    <cellStyle name="Nagłówek 4 2 7 5" xfId="19916"/>
    <cellStyle name="Nagłówek 4 2 7 6" xfId="19917"/>
    <cellStyle name="Nagłówek 4 2 7 7" xfId="19918"/>
    <cellStyle name="Nagłówek 4 2 8" xfId="19919"/>
    <cellStyle name="Nagłówek 4 2 8 2" xfId="19920"/>
    <cellStyle name="Nagłówek 4 2 8 3" xfId="19921"/>
    <cellStyle name="Nagłówek 4 2 8 4" xfId="19922"/>
    <cellStyle name="Nagłówek 4 2 8 5" xfId="19923"/>
    <cellStyle name="Nagłówek 4 2 8 6" xfId="19924"/>
    <cellStyle name="Nagłówek 4 2 8 7" xfId="19925"/>
    <cellStyle name="Nagłówek 4 2 9" xfId="19926"/>
    <cellStyle name="Nagłówek 4 2 9 2" xfId="19927"/>
    <cellStyle name="Nagłówek 4 2 9 3" xfId="19928"/>
    <cellStyle name="Nagłówek 4 2 9 4" xfId="19929"/>
    <cellStyle name="Nagłówek 4 2 9 5" xfId="19930"/>
    <cellStyle name="Nagłówek 4 2 9 6" xfId="19931"/>
    <cellStyle name="Nagłówek 4 2 9 7" xfId="19932"/>
    <cellStyle name="Nagłówek 4 3" xfId="19933"/>
    <cellStyle name="Nagłówek 4 3 2" xfId="19934"/>
    <cellStyle name="Nagłówek 4 3 2 2" xfId="19935"/>
    <cellStyle name="Nagłówek 4 3 3" xfId="19936"/>
    <cellStyle name="Nagłówek 4 3 4" xfId="19937"/>
    <cellStyle name="Nagłówek 4 3 5" xfId="19938"/>
    <cellStyle name="Nagłówek 4 4" xfId="19939"/>
    <cellStyle name="Nagłówek 4 4 2" xfId="19940"/>
    <cellStyle name="Nagłówek 4 4 3" xfId="19941"/>
    <cellStyle name="Nagłówek 4 4 4" xfId="19942"/>
    <cellStyle name="Nagłówek 4 4 5" xfId="19943"/>
    <cellStyle name="Nagłówek 4 5" xfId="19944"/>
    <cellStyle name="Nagłówek 4 5 2" xfId="19945"/>
    <cellStyle name="Nagłówek 4 5 3" xfId="19946"/>
    <cellStyle name="Nagłówek 4 6" xfId="19947"/>
    <cellStyle name="Nagłówek 4 6 2" xfId="19948"/>
    <cellStyle name="Nagłówek 4 7" xfId="19949"/>
    <cellStyle name="Neutralne 2" xfId="19950"/>
    <cellStyle name="Neutralne 2 10" xfId="19951"/>
    <cellStyle name="Neutralne 2 10 2" xfId="19952"/>
    <cellStyle name="Neutralne 2 10 3" xfId="19953"/>
    <cellStyle name="Neutralne 2 10 4" xfId="19954"/>
    <cellStyle name="Neutralne 2 10 5" xfId="19955"/>
    <cellStyle name="Neutralne 2 10 6" xfId="19956"/>
    <cellStyle name="Neutralne 2 10 7" xfId="19957"/>
    <cellStyle name="Neutralne 2 11" xfId="19958"/>
    <cellStyle name="Neutralne 2 11 2" xfId="19959"/>
    <cellStyle name="Neutralne 2 11 3" xfId="19960"/>
    <cellStyle name="Neutralne 2 11 4" xfId="19961"/>
    <cellStyle name="Neutralne 2 11 5" xfId="19962"/>
    <cellStyle name="Neutralne 2 11 6" xfId="19963"/>
    <cellStyle name="Neutralne 2 11 7" xfId="19964"/>
    <cellStyle name="Neutralne 2 12" xfId="19965"/>
    <cellStyle name="Neutralne 2 12 2" xfId="19966"/>
    <cellStyle name="Neutralne 2 12 3" xfId="19967"/>
    <cellStyle name="Neutralne 2 12 4" xfId="19968"/>
    <cellStyle name="Neutralne 2 12 5" xfId="19969"/>
    <cellStyle name="Neutralne 2 12 6" xfId="19970"/>
    <cellStyle name="Neutralne 2 12 7" xfId="19971"/>
    <cellStyle name="Neutralne 2 13" xfId="19972"/>
    <cellStyle name="Neutralne 2 13 2" xfId="19973"/>
    <cellStyle name="Neutralne 2 13 3" xfId="19974"/>
    <cellStyle name="Neutralne 2 13 4" xfId="19975"/>
    <cellStyle name="Neutralne 2 13 5" xfId="19976"/>
    <cellStyle name="Neutralne 2 13 6" xfId="19977"/>
    <cellStyle name="Neutralne 2 13 7" xfId="19978"/>
    <cellStyle name="Neutralne 2 14" xfId="19979"/>
    <cellStyle name="Neutralne 2 14 2" xfId="19980"/>
    <cellStyle name="Neutralne 2 14 3" xfId="19981"/>
    <cellStyle name="Neutralne 2 14 4" xfId="19982"/>
    <cellStyle name="Neutralne 2 14 5" xfId="19983"/>
    <cellStyle name="Neutralne 2 14 6" xfId="19984"/>
    <cellStyle name="Neutralne 2 14 7" xfId="19985"/>
    <cellStyle name="Neutralne 2 15" xfId="19986"/>
    <cellStyle name="Neutralne 2 15 2" xfId="19987"/>
    <cellStyle name="Neutralne 2 15 3" xfId="19988"/>
    <cellStyle name="Neutralne 2 15 4" xfId="19989"/>
    <cellStyle name="Neutralne 2 15 5" xfId="19990"/>
    <cellStyle name="Neutralne 2 15 6" xfId="19991"/>
    <cellStyle name="Neutralne 2 15 7" xfId="19992"/>
    <cellStyle name="Neutralne 2 16" xfId="19993"/>
    <cellStyle name="Neutralne 2 16 2" xfId="19994"/>
    <cellStyle name="Neutralne 2 16 3" xfId="19995"/>
    <cellStyle name="Neutralne 2 16 4" xfId="19996"/>
    <cellStyle name="Neutralne 2 16 5" xfId="19997"/>
    <cellStyle name="Neutralne 2 16 6" xfId="19998"/>
    <cellStyle name="Neutralne 2 16 7" xfId="19999"/>
    <cellStyle name="Neutralne 2 17" xfId="20000"/>
    <cellStyle name="Neutralne 2 17 2" xfId="20001"/>
    <cellStyle name="Neutralne 2 17 3" xfId="20002"/>
    <cellStyle name="Neutralne 2 17 4" xfId="20003"/>
    <cellStyle name="Neutralne 2 17 5" xfId="20004"/>
    <cellStyle name="Neutralne 2 17 6" xfId="20005"/>
    <cellStyle name="Neutralne 2 17 7" xfId="20006"/>
    <cellStyle name="Neutralne 2 18" xfId="20007"/>
    <cellStyle name="Neutralne 2 18 2" xfId="20008"/>
    <cellStyle name="Neutralne 2 18 3" xfId="20009"/>
    <cellStyle name="Neutralne 2 18 4" xfId="20010"/>
    <cellStyle name="Neutralne 2 18 5" xfId="20011"/>
    <cellStyle name="Neutralne 2 18 6" xfId="20012"/>
    <cellStyle name="Neutralne 2 18 7" xfId="20013"/>
    <cellStyle name="Neutralne 2 19" xfId="20014"/>
    <cellStyle name="Neutralne 2 19 2" xfId="20015"/>
    <cellStyle name="Neutralne 2 19 3" xfId="20016"/>
    <cellStyle name="Neutralne 2 19 4" xfId="20017"/>
    <cellStyle name="Neutralne 2 19 5" xfId="20018"/>
    <cellStyle name="Neutralne 2 19 6" xfId="20019"/>
    <cellStyle name="Neutralne 2 19 7" xfId="20020"/>
    <cellStyle name="Neutralne 2 2" xfId="20021"/>
    <cellStyle name="Neutralne 2 2 2" xfId="20022"/>
    <cellStyle name="Neutralne 2 2 3" xfId="20023"/>
    <cellStyle name="Neutralne 2 2 4" xfId="20024"/>
    <cellStyle name="Neutralne 2 2 5" xfId="20025"/>
    <cellStyle name="Neutralne 2 2 6" xfId="20026"/>
    <cellStyle name="Neutralne 2 2 7" xfId="20027"/>
    <cellStyle name="Neutralne 2 2 8" xfId="20028"/>
    <cellStyle name="Neutralne 2 20" xfId="20029"/>
    <cellStyle name="Neutralne 2 20 2" xfId="20030"/>
    <cellStyle name="Neutralne 2 20 3" xfId="20031"/>
    <cellStyle name="Neutralne 2 20 4" xfId="20032"/>
    <cellStyle name="Neutralne 2 20 5" xfId="20033"/>
    <cellStyle name="Neutralne 2 20 6" xfId="20034"/>
    <cellStyle name="Neutralne 2 20 7" xfId="20035"/>
    <cellStyle name="Neutralne 2 21" xfId="20036"/>
    <cellStyle name="Neutralne 2 21 2" xfId="20037"/>
    <cellStyle name="Neutralne 2 21 3" xfId="20038"/>
    <cellStyle name="Neutralne 2 21 4" xfId="20039"/>
    <cellStyle name="Neutralne 2 21 5" xfId="20040"/>
    <cellStyle name="Neutralne 2 21 6" xfId="20041"/>
    <cellStyle name="Neutralne 2 21 7" xfId="20042"/>
    <cellStyle name="Neutralne 2 22" xfId="20043"/>
    <cellStyle name="Neutralne 2 22 2" xfId="20044"/>
    <cellStyle name="Neutralne 2 22 3" xfId="20045"/>
    <cellStyle name="Neutralne 2 22 4" xfId="20046"/>
    <cellStyle name="Neutralne 2 22 5" xfId="20047"/>
    <cellStyle name="Neutralne 2 22 6" xfId="20048"/>
    <cellStyle name="Neutralne 2 22 7" xfId="20049"/>
    <cellStyle name="Neutralne 2 23" xfId="20050"/>
    <cellStyle name="Neutralne 2 23 2" xfId="20051"/>
    <cellStyle name="Neutralne 2 23 3" xfId="20052"/>
    <cellStyle name="Neutralne 2 23 4" xfId="20053"/>
    <cellStyle name="Neutralne 2 23 5" xfId="20054"/>
    <cellStyle name="Neutralne 2 23 6" xfId="20055"/>
    <cellStyle name="Neutralne 2 23 7" xfId="20056"/>
    <cellStyle name="Neutralne 2 24" xfId="20057"/>
    <cellStyle name="Neutralne 2 24 2" xfId="20058"/>
    <cellStyle name="Neutralne 2 24 3" xfId="20059"/>
    <cellStyle name="Neutralne 2 24 4" xfId="20060"/>
    <cellStyle name="Neutralne 2 24 5" xfId="20061"/>
    <cellStyle name="Neutralne 2 24 6" xfId="20062"/>
    <cellStyle name="Neutralne 2 24 7" xfId="20063"/>
    <cellStyle name="Neutralne 2 25" xfId="20064"/>
    <cellStyle name="Neutralne 2 25 2" xfId="20065"/>
    <cellStyle name="Neutralne 2 25 3" xfId="20066"/>
    <cellStyle name="Neutralne 2 25 4" xfId="20067"/>
    <cellStyle name="Neutralne 2 25 5" xfId="20068"/>
    <cellStyle name="Neutralne 2 25 6" xfId="20069"/>
    <cellStyle name="Neutralne 2 25 7" xfId="20070"/>
    <cellStyle name="Neutralne 2 26" xfId="20071"/>
    <cellStyle name="Neutralne 2 26 2" xfId="20072"/>
    <cellStyle name="Neutralne 2 26 3" xfId="20073"/>
    <cellStyle name="Neutralne 2 26 4" xfId="20074"/>
    <cellStyle name="Neutralne 2 26 5" xfId="20075"/>
    <cellStyle name="Neutralne 2 26 6" xfId="20076"/>
    <cellStyle name="Neutralne 2 26 7" xfId="20077"/>
    <cellStyle name="Neutralne 2 27" xfId="20078"/>
    <cellStyle name="Neutralne 2 27 2" xfId="20079"/>
    <cellStyle name="Neutralne 2 27 3" xfId="20080"/>
    <cellStyle name="Neutralne 2 27 4" xfId="20081"/>
    <cellStyle name="Neutralne 2 27 5" xfId="20082"/>
    <cellStyle name="Neutralne 2 27 6" xfId="20083"/>
    <cellStyle name="Neutralne 2 27 7" xfId="20084"/>
    <cellStyle name="Neutralne 2 28" xfId="20085"/>
    <cellStyle name="Neutralne 2 28 2" xfId="20086"/>
    <cellStyle name="Neutralne 2 28 3" xfId="20087"/>
    <cellStyle name="Neutralne 2 28 4" xfId="20088"/>
    <cellStyle name="Neutralne 2 28 5" xfId="20089"/>
    <cellStyle name="Neutralne 2 28 6" xfId="20090"/>
    <cellStyle name="Neutralne 2 28 7" xfId="20091"/>
    <cellStyle name="Neutralne 2 29" xfId="20092"/>
    <cellStyle name="Neutralne 2 29 2" xfId="20093"/>
    <cellStyle name="Neutralne 2 3" xfId="20094"/>
    <cellStyle name="Neutralne 2 3 2" xfId="20095"/>
    <cellStyle name="Neutralne 2 3 3" xfId="20096"/>
    <cellStyle name="Neutralne 2 3 4" xfId="20097"/>
    <cellStyle name="Neutralne 2 3 5" xfId="20098"/>
    <cellStyle name="Neutralne 2 3 6" xfId="20099"/>
    <cellStyle name="Neutralne 2 3 7" xfId="20100"/>
    <cellStyle name="Neutralne 2 30" xfId="20101"/>
    <cellStyle name="Neutralne 2 30 2" xfId="20102"/>
    <cellStyle name="Neutralne 2 31" xfId="20103"/>
    <cellStyle name="Neutralne 2 31 2" xfId="20104"/>
    <cellStyle name="Neutralne 2 32" xfId="20105"/>
    <cellStyle name="Neutralne 2 32 2" xfId="20106"/>
    <cellStyle name="Neutralne 2 33" xfId="20107"/>
    <cellStyle name="Neutralne 2 34" xfId="20108"/>
    <cellStyle name="Neutralne 2 35" xfId="20109"/>
    <cellStyle name="Neutralne 2 36" xfId="20110"/>
    <cellStyle name="Neutralne 2 37" xfId="20111"/>
    <cellStyle name="Neutralne 2 38" xfId="20112"/>
    <cellStyle name="Neutralne 2 39" xfId="20113"/>
    <cellStyle name="Neutralne 2 4" xfId="20114"/>
    <cellStyle name="Neutralne 2 4 2" xfId="20115"/>
    <cellStyle name="Neutralne 2 4 3" xfId="20116"/>
    <cellStyle name="Neutralne 2 4 4" xfId="20117"/>
    <cellStyle name="Neutralne 2 4 5" xfId="20118"/>
    <cellStyle name="Neutralne 2 4 6" xfId="20119"/>
    <cellStyle name="Neutralne 2 4 7" xfId="20120"/>
    <cellStyle name="Neutralne 2 5" xfId="20121"/>
    <cellStyle name="Neutralne 2 5 2" xfId="20122"/>
    <cellStyle name="Neutralne 2 5 3" xfId="20123"/>
    <cellStyle name="Neutralne 2 5 4" xfId="20124"/>
    <cellStyle name="Neutralne 2 5 5" xfId="20125"/>
    <cellStyle name="Neutralne 2 5 6" xfId="20126"/>
    <cellStyle name="Neutralne 2 5 7" xfId="20127"/>
    <cellStyle name="Neutralne 2 6" xfId="20128"/>
    <cellStyle name="Neutralne 2 6 2" xfId="20129"/>
    <cellStyle name="Neutralne 2 6 3" xfId="20130"/>
    <cellStyle name="Neutralne 2 6 4" xfId="20131"/>
    <cellStyle name="Neutralne 2 6 5" xfId="20132"/>
    <cellStyle name="Neutralne 2 6 6" xfId="20133"/>
    <cellStyle name="Neutralne 2 6 7" xfId="20134"/>
    <cellStyle name="Neutralne 2 7" xfId="20135"/>
    <cellStyle name="Neutralne 2 7 2" xfId="20136"/>
    <cellStyle name="Neutralne 2 7 3" xfId="20137"/>
    <cellStyle name="Neutralne 2 7 4" xfId="20138"/>
    <cellStyle name="Neutralne 2 7 5" xfId="20139"/>
    <cellStyle name="Neutralne 2 7 6" xfId="20140"/>
    <cellStyle name="Neutralne 2 7 7" xfId="20141"/>
    <cellStyle name="Neutralne 2 8" xfId="20142"/>
    <cellStyle name="Neutralne 2 8 2" xfId="20143"/>
    <cellStyle name="Neutralne 2 8 3" xfId="20144"/>
    <cellStyle name="Neutralne 2 8 4" xfId="20145"/>
    <cellStyle name="Neutralne 2 8 5" xfId="20146"/>
    <cellStyle name="Neutralne 2 8 6" xfId="20147"/>
    <cellStyle name="Neutralne 2 8 7" xfId="20148"/>
    <cellStyle name="Neutralne 2 9" xfId="20149"/>
    <cellStyle name="Neutralne 2 9 2" xfId="20150"/>
    <cellStyle name="Neutralne 2 9 3" xfId="20151"/>
    <cellStyle name="Neutralne 2 9 4" xfId="20152"/>
    <cellStyle name="Neutralne 2 9 5" xfId="20153"/>
    <cellStyle name="Neutralne 2 9 6" xfId="20154"/>
    <cellStyle name="Neutralne 2 9 7" xfId="20155"/>
    <cellStyle name="Neutralne 3" xfId="20156"/>
    <cellStyle name="Neutralne 3 2" xfId="20157"/>
    <cellStyle name="Neutralne 3 2 2" xfId="20158"/>
    <cellStyle name="Neutralne 3 3" xfId="20159"/>
    <cellStyle name="Neutralne 3 4" xfId="20160"/>
    <cellStyle name="Neutralne 3 5" xfId="20161"/>
    <cellStyle name="Neutralne 3 6" xfId="20162"/>
    <cellStyle name="Neutralne 3 7" xfId="20163"/>
    <cellStyle name="Neutralne 3 8" xfId="20164"/>
    <cellStyle name="Neutralne 3 9" xfId="20165"/>
    <cellStyle name="Neutralne 4" xfId="20166"/>
    <cellStyle name="Neutralne 4 2" xfId="20167"/>
    <cellStyle name="Neutralne 4 3" xfId="20168"/>
    <cellStyle name="Neutralne 4 4" xfId="20169"/>
    <cellStyle name="Neutralne 4 5" xfId="20170"/>
    <cellStyle name="Neutralne 4 6" xfId="20171"/>
    <cellStyle name="Neutralne 4 7" xfId="20172"/>
    <cellStyle name="Neutralne 4 8" xfId="20173"/>
    <cellStyle name="Neutralne 4 9" xfId="20174"/>
    <cellStyle name="Neutralne 5" xfId="20175"/>
    <cellStyle name="Neutralne 5 2" xfId="20176"/>
    <cellStyle name="Neutralne 5 3" xfId="20177"/>
    <cellStyle name="Neutralne 6" xfId="20178"/>
    <cellStyle name="Neutralne 6 2" xfId="20179"/>
    <cellStyle name="Neutralne 7" xfId="20180"/>
    <cellStyle name="Nor}al" xfId="20181"/>
    <cellStyle name="Normal - Style1" xfId="20182"/>
    <cellStyle name="Normal 2" xfId="20183"/>
    <cellStyle name="Normal 3" xfId="20184"/>
    <cellStyle name="Normal 4" xfId="18"/>
    <cellStyle name="Normal_bilans_kardia" xfId="20185"/>
    <cellStyle name="Normál_cb-fr" xfId="20186"/>
    <cellStyle name="Normal_CC_SM_B" xfId="20187"/>
    <cellStyle name="Normale_INDIA_Allegato3" xfId="20188"/>
    <cellStyle name="normální_Kopie - Kalos_DD­_3" xfId="20189"/>
    <cellStyle name="Normalny" xfId="0" builtinId="0"/>
    <cellStyle name="Normalny 10" xfId="20190"/>
    <cellStyle name="Normalny 10 10" xfId="20191"/>
    <cellStyle name="Normalny 10 10 2" xfId="20192"/>
    <cellStyle name="Normalny 10 11" xfId="20193"/>
    <cellStyle name="Normalny 10 11 2" xfId="20194"/>
    <cellStyle name="Normalny 10 12" xfId="20195"/>
    <cellStyle name="Normalny 10 12 2" xfId="20196"/>
    <cellStyle name="Normalny 10 13" xfId="20197"/>
    <cellStyle name="Normalny 10 13 2" xfId="20198"/>
    <cellStyle name="Normalny 10 14" xfId="20199"/>
    <cellStyle name="Normalny 10 14 2" xfId="20200"/>
    <cellStyle name="Normalny 10 15" xfId="20201"/>
    <cellStyle name="Normalny 10 15 2" xfId="20202"/>
    <cellStyle name="Normalny 10 16" xfId="20203"/>
    <cellStyle name="Normalny 10 16 2" xfId="20204"/>
    <cellStyle name="Normalny 10 17" xfId="20205"/>
    <cellStyle name="Normalny 10 17 2" xfId="20206"/>
    <cellStyle name="Normalny 10 18" xfId="20207"/>
    <cellStyle name="Normalny 10 18 2" xfId="20208"/>
    <cellStyle name="Normalny 10 19" xfId="20209"/>
    <cellStyle name="Normalny 10 19 2" xfId="20210"/>
    <cellStyle name="Normalny 10 2" xfId="20211"/>
    <cellStyle name="Normalny 10 2 2" xfId="20212"/>
    <cellStyle name="Normalny 10 2 3" xfId="20213"/>
    <cellStyle name="Normalny 10 2 4" xfId="20214"/>
    <cellStyle name="Normalny 10 20" xfId="20215"/>
    <cellStyle name="Normalny 10 20 2" xfId="20216"/>
    <cellStyle name="Normalny 10 21" xfId="20217"/>
    <cellStyle name="Normalny 10 21 2" xfId="20218"/>
    <cellStyle name="Normalny 10 22" xfId="20219"/>
    <cellStyle name="Normalny 10 22 2" xfId="20220"/>
    <cellStyle name="Normalny 10 23" xfId="20221"/>
    <cellStyle name="Normalny 10 23 2" xfId="20222"/>
    <cellStyle name="Normalny 10 24" xfId="20223"/>
    <cellStyle name="Normalny 10 24 2" xfId="20224"/>
    <cellStyle name="Normalny 10 25" xfId="20225"/>
    <cellStyle name="Normalny 10 25 2" xfId="20226"/>
    <cellStyle name="Normalny 10 26" xfId="20227"/>
    <cellStyle name="Normalny 10 26 2" xfId="20228"/>
    <cellStyle name="Normalny 10 27" xfId="20229"/>
    <cellStyle name="Normalny 10 27 2" xfId="20230"/>
    <cellStyle name="Normalny 10 28" xfId="20231"/>
    <cellStyle name="Normalny 10 29" xfId="20232"/>
    <cellStyle name="Normalny 10 3" xfId="20233"/>
    <cellStyle name="Normalny 10 3 2" xfId="20234"/>
    <cellStyle name="Normalny 10 3 3" xfId="20235"/>
    <cellStyle name="Normalny 10 3 4" xfId="20236"/>
    <cellStyle name="Normalny 10 30" xfId="20237"/>
    <cellStyle name="Normalny 10 31" xfId="20238"/>
    <cellStyle name="Normalny 10 32" xfId="20239"/>
    <cellStyle name="Normalny 10 33" xfId="20240"/>
    <cellStyle name="Normalny 10 34" xfId="20241"/>
    <cellStyle name="Normalny 10 35" xfId="20242"/>
    <cellStyle name="Normalny 10 36" xfId="20243"/>
    <cellStyle name="Normalny 10 37" xfId="20244"/>
    <cellStyle name="Normalny 10 38" xfId="20245"/>
    <cellStyle name="Normalny 10 39" xfId="20246"/>
    <cellStyle name="Normalny 10 4" xfId="20247"/>
    <cellStyle name="Normalny 10 4 2" xfId="20248"/>
    <cellStyle name="Normalny 10 4 3" xfId="20249"/>
    <cellStyle name="Normalny 10 40" xfId="20250"/>
    <cellStyle name="Normalny 10 41" xfId="20251"/>
    <cellStyle name="Normalny 10 42" xfId="20252"/>
    <cellStyle name="Normalny 10 43" xfId="20253"/>
    <cellStyle name="Normalny 10 44" xfId="20254"/>
    <cellStyle name="Normalny 10 45" xfId="20255"/>
    <cellStyle name="Normalny 10 46" xfId="20256"/>
    <cellStyle name="Normalny 10 47" xfId="20257"/>
    <cellStyle name="Normalny 10 48" xfId="20258"/>
    <cellStyle name="Normalny 10 49" xfId="20259"/>
    <cellStyle name="Normalny 10 5" xfId="20260"/>
    <cellStyle name="Normalny 10 5 2" xfId="20261"/>
    <cellStyle name="Normalny 10 5 3" xfId="20262"/>
    <cellStyle name="Normalny 10 50" xfId="20263"/>
    <cellStyle name="Normalny 10 51" xfId="20264"/>
    <cellStyle name="Normalny 10 52" xfId="20265"/>
    <cellStyle name="Normalny 10 53" xfId="20266"/>
    <cellStyle name="Normalny 10 54" xfId="20267"/>
    <cellStyle name="Normalny 10 55" xfId="20268"/>
    <cellStyle name="Normalny 10 56" xfId="20269"/>
    <cellStyle name="Normalny 10 57" xfId="20270"/>
    <cellStyle name="Normalny 10 58" xfId="20271"/>
    <cellStyle name="Normalny 10 59" xfId="20272"/>
    <cellStyle name="Normalny 10 6" xfId="20273"/>
    <cellStyle name="Normalny 10 6 2" xfId="20274"/>
    <cellStyle name="Normalny 10 60" xfId="20275"/>
    <cellStyle name="Normalny 10 61" xfId="20276"/>
    <cellStyle name="Normalny 10 62" xfId="20277"/>
    <cellStyle name="Normalny 10 63" xfId="20278"/>
    <cellStyle name="Normalny 10 64" xfId="20279"/>
    <cellStyle name="Normalny 10 65" xfId="20280"/>
    <cellStyle name="Normalny 10 66" xfId="20281"/>
    <cellStyle name="Normalny 10 67" xfId="20282"/>
    <cellStyle name="Normalny 10 68" xfId="20283"/>
    <cellStyle name="Normalny 10 69" xfId="20284"/>
    <cellStyle name="Normalny 10 7" xfId="20285"/>
    <cellStyle name="Normalny 10 7 2" xfId="20286"/>
    <cellStyle name="Normalny 10 70" xfId="20287"/>
    <cellStyle name="Normalny 10 71" xfId="20288"/>
    <cellStyle name="Normalny 10 72" xfId="20289"/>
    <cellStyle name="Normalny 10 73" xfId="20290"/>
    <cellStyle name="Normalny 10 74" xfId="20291"/>
    <cellStyle name="Normalny 10 75" xfId="20292"/>
    <cellStyle name="Normalny 10 8" xfId="20293"/>
    <cellStyle name="Normalny 10 8 2" xfId="20294"/>
    <cellStyle name="Normalny 10 9" xfId="20295"/>
    <cellStyle name="Normalny 10 9 2" xfId="20296"/>
    <cellStyle name="Normalny 100" xfId="20297"/>
    <cellStyle name="Normalny 100 2" xfId="20298"/>
    <cellStyle name="Normalny 101" xfId="20299"/>
    <cellStyle name="Normalny 101 2" xfId="20300"/>
    <cellStyle name="Normalny 102" xfId="20301"/>
    <cellStyle name="Normalny 102 2" xfId="20302"/>
    <cellStyle name="Normalny 103" xfId="20303"/>
    <cellStyle name="Normalny 103 2" xfId="20304"/>
    <cellStyle name="Normalny 104" xfId="20305"/>
    <cellStyle name="Normalny 104 2" xfId="20306"/>
    <cellStyle name="Normalny 105" xfId="20307"/>
    <cellStyle name="Normalny 105 2" xfId="20308"/>
    <cellStyle name="Normalny 106" xfId="20309"/>
    <cellStyle name="Normalny 106 2" xfId="20310"/>
    <cellStyle name="Normalny 107" xfId="20311"/>
    <cellStyle name="Normalny 107 2" xfId="20312"/>
    <cellStyle name="Normalny 108" xfId="20313"/>
    <cellStyle name="Normalny 108 2" xfId="20314"/>
    <cellStyle name="Normalny 109" xfId="20315"/>
    <cellStyle name="Normalny 109 2" xfId="20316"/>
    <cellStyle name="Normalny 11" xfId="20317"/>
    <cellStyle name="Normalny 11 2" xfId="20318"/>
    <cellStyle name="Normalny 11 2 2" xfId="20319"/>
    <cellStyle name="Normalny 11 2 3" xfId="20320"/>
    <cellStyle name="Normalny 11 3" xfId="20321"/>
    <cellStyle name="Normalny 11 3 2" xfId="20322"/>
    <cellStyle name="Normalny 11 4" xfId="20323"/>
    <cellStyle name="Normalny 11 5" xfId="20324"/>
    <cellStyle name="Normalny 110" xfId="20325"/>
    <cellStyle name="Normalny 110 2" xfId="20326"/>
    <cellStyle name="Normalny 111" xfId="20327"/>
    <cellStyle name="Normalny 111 2" xfId="20328"/>
    <cellStyle name="Normalny 112" xfId="20329"/>
    <cellStyle name="Normalny 112 2" xfId="20330"/>
    <cellStyle name="Normalny 113" xfId="20331"/>
    <cellStyle name="Normalny 113 2" xfId="20332"/>
    <cellStyle name="Normalny 114" xfId="20333"/>
    <cellStyle name="Normalny 114 2" xfId="20334"/>
    <cellStyle name="Normalny 115" xfId="20335"/>
    <cellStyle name="Normalny 115 2" xfId="20336"/>
    <cellStyle name="Normalny 116" xfId="20337"/>
    <cellStyle name="Normalny 116 2" xfId="20338"/>
    <cellStyle name="Normalny 117" xfId="20339"/>
    <cellStyle name="Normalny 117 2" xfId="20340"/>
    <cellStyle name="Normalny 118" xfId="20341"/>
    <cellStyle name="Normalny 118 2" xfId="20342"/>
    <cellStyle name="Normalny 119" xfId="20343"/>
    <cellStyle name="Normalny 119 2" xfId="20344"/>
    <cellStyle name="Normalny 12" xfId="20345"/>
    <cellStyle name="Normalny 12 10" xfId="20346"/>
    <cellStyle name="Normalny 12 10 2" xfId="20347"/>
    <cellStyle name="Normalny 12 11" xfId="20348"/>
    <cellStyle name="Normalny 12 11 2" xfId="20349"/>
    <cellStyle name="Normalny 12 12" xfId="20350"/>
    <cellStyle name="Normalny 12 12 2" xfId="20351"/>
    <cellStyle name="Normalny 12 13" xfId="20352"/>
    <cellStyle name="Normalny 12 13 2" xfId="20353"/>
    <cellStyle name="Normalny 12 14" xfId="20354"/>
    <cellStyle name="Normalny 12 14 2" xfId="20355"/>
    <cellStyle name="Normalny 12 15" xfId="20356"/>
    <cellStyle name="Normalny 12 15 2" xfId="20357"/>
    <cellStyle name="Normalny 12 16" xfId="20358"/>
    <cellStyle name="Normalny 12 16 2" xfId="20359"/>
    <cellStyle name="Normalny 12 17" xfId="20360"/>
    <cellStyle name="Normalny 12 17 2" xfId="20361"/>
    <cellStyle name="Normalny 12 18" xfId="20362"/>
    <cellStyle name="Normalny 12 18 2" xfId="20363"/>
    <cellStyle name="Normalny 12 19" xfId="20364"/>
    <cellStyle name="Normalny 12 19 2" xfId="20365"/>
    <cellStyle name="Normalny 12 2" xfId="20366"/>
    <cellStyle name="Normalny 12 2 2" xfId="20367"/>
    <cellStyle name="Normalny 12 2 3" xfId="20368"/>
    <cellStyle name="Normalny 12 2 4" xfId="20369"/>
    <cellStyle name="Normalny 12 20" xfId="20370"/>
    <cellStyle name="Normalny 12 20 2" xfId="20371"/>
    <cellStyle name="Normalny 12 21" xfId="20372"/>
    <cellStyle name="Normalny 12 21 2" xfId="20373"/>
    <cellStyle name="Normalny 12 22" xfId="20374"/>
    <cellStyle name="Normalny 12 22 2" xfId="20375"/>
    <cellStyle name="Normalny 12 23" xfId="20376"/>
    <cellStyle name="Normalny 12 23 2" xfId="20377"/>
    <cellStyle name="Normalny 12 24" xfId="20378"/>
    <cellStyle name="Normalny 12 24 2" xfId="20379"/>
    <cellStyle name="Normalny 12 25" xfId="20380"/>
    <cellStyle name="Normalny 12 25 2" xfId="20381"/>
    <cellStyle name="Normalny 12 26" xfId="20382"/>
    <cellStyle name="Normalny 12 26 2" xfId="20383"/>
    <cellStyle name="Normalny 12 27" xfId="20384"/>
    <cellStyle name="Normalny 12 27 2" xfId="20385"/>
    <cellStyle name="Normalny 12 28" xfId="20386"/>
    <cellStyle name="Normalny 12 29" xfId="20387"/>
    <cellStyle name="Normalny 12 3" xfId="20388"/>
    <cellStyle name="Normalny 12 3 2" xfId="20389"/>
    <cellStyle name="Normalny 12 3 3" xfId="20390"/>
    <cellStyle name="Normalny 12 30" xfId="20391"/>
    <cellStyle name="Normalny 12 31" xfId="20392"/>
    <cellStyle name="Normalny 12 32" xfId="20393"/>
    <cellStyle name="Normalny 12 33" xfId="20394"/>
    <cellStyle name="Normalny 12 34" xfId="20395"/>
    <cellStyle name="Normalny 12 35" xfId="20396"/>
    <cellStyle name="Normalny 12 36" xfId="20397"/>
    <cellStyle name="Normalny 12 37" xfId="20398"/>
    <cellStyle name="Normalny 12 38" xfId="20399"/>
    <cellStyle name="Normalny 12 39" xfId="20400"/>
    <cellStyle name="Normalny 12 4" xfId="20401"/>
    <cellStyle name="Normalny 12 4 2" xfId="20402"/>
    <cellStyle name="Normalny 12 4 3" xfId="20403"/>
    <cellStyle name="Normalny 12 40" xfId="20404"/>
    <cellStyle name="Normalny 12 41" xfId="20405"/>
    <cellStyle name="Normalny 12 42" xfId="20406"/>
    <cellStyle name="Normalny 12 43" xfId="20407"/>
    <cellStyle name="Normalny 12 44" xfId="20408"/>
    <cellStyle name="Normalny 12 45" xfId="20409"/>
    <cellStyle name="Normalny 12 46" xfId="20410"/>
    <cellStyle name="Normalny 12 47" xfId="20411"/>
    <cellStyle name="Normalny 12 48" xfId="20412"/>
    <cellStyle name="Normalny 12 49" xfId="20413"/>
    <cellStyle name="Normalny 12 5" xfId="20414"/>
    <cellStyle name="Normalny 12 5 2" xfId="20415"/>
    <cellStyle name="Normalny 12 5 3" xfId="20416"/>
    <cellStyle name="Normalny 12 50" xfId="20417"/>
    <cellStyle name="Normalny 12 51" xfId="20418"/>
    <cellStyle name="Normalny 12 52" xfId="20419"/>
    <cellStyle name="Normalny 12 53" xfId="20420"/>
    <cellStyle name="Normalny 12 54" xfId="20421"/>
    <cellStyle name="Normalny 12 55" xfId="20422"/>
    <cellStyle name="Normalny 12 56" xfId="20423"/>
    <cellStyle name="Normalny 12 57" xfId="20424"/>
    <cellStyle name="Normalny 12 58" xfId="20425"/>
    <cellStyle name="Normalny 12 59" xfId="20426"/>
    <cellStyle name="Normalny 12 6" xfId="20427"/>
    <cellStyle name="Normalny 12 6 2" xfId="20428"/>
    <cellStyle name="Normalny 12 60" xfId="20429"/>
    <cellStyle name="Normalny 12 61" xfId="20430"/>
    <cellStyle name="Normalny 12 62" xfId="20431"/>
    <cellStyle name="Normalny 12 63" xfId="20432"/>
    <cellStyle name="Normalny 12 64" xfId="20433"/>
    <cellStyle name="Normalny 12 65" xfId="20434"/>
    <cellStyle name="Normalny 12 66" xfId="20435"/>
    <cellStyle name="Normalny 12 67" xfId="20436"/>
    <cellStyle name="Normalny 12 68" xfId="20437"/>
    <cellStyle name="Normalny 12 69" xfId="20438"/>
    <cellStyle name="Normalny 12 7" xfId="20439"/>
    <cellStyle name="Normalny 12 7 2" xfId="20440"/>
    <cellStyle name="Normalny 12 70" xfId="20441"/>
    <cellStyle name="Normalny 12 71" xfId="20442"/>
    <cellStyle name="Normalny 12 72" xfId="20443"/>
    <cellStyle name="Normalny 12 73" xfId="20444"/>
    <cellStyle name="Normalny 12 74" xfId="20445"/>
    <cellStyle name="Normalny 12 75" xfId="20446"/>
    <cellStyle name="Normalny 12 8" xfId="20447"/>
    <cellStyle name="Normalny 12 8 2" xfId="20448"/>
    <cellStyle name="Normalny 12 9" xfId="20449"/>
    <cellStyle name="Normalny 12 9 2" xfId="20450"/>
    <cellStyle name="Normalny 120" xfId="20451"/>
    <cellStyle name="Normalny 120 2" xfId="20452"/>
    <cellStyle name="Normalny 121" xfId="20453"/>
    <cellStyle name="Normalny 121 2" xfId="20454"/>
    <cellStyle name="Normalny 121 2 2" xfId="20455"/>
    <cellStyle name="Normalny 122" xfId="20456"/>
    <cellStyle name="Normalny 122 2" xfId="20457"/>
    <cellStyle name="Normalny 123" xfId="16"/>
    <cellStyle name="Normalny 123 2" xfId="20458"/>
    <cellStyle name="Normalny 123 3" xfId="42849"/>
    <cellStyle name="Normalny 124" xfId="11"/>
    <cellStyle name="Normalny 125" xfId="20459"/>
    <cellStyle name="Normalny 126" xfId="12"/>
    <cellStyle name="Normalny 127" xfId="14"/>
    <cellStyle name="Normalny 128" xfId="20460"/>
    <cellStyle name="Normalny 129" xfId="20461"/>
    <cellStyle name="Normalny 13" xfId="20462"/>
    <cellStyle name="Normalny 13 2" xfId="20463"/>
    <cellStyle name="Normalny 13 2 2" xfId="20464"/>
    <cellStyle name="Normalny 13 2 3" xfId="20465"/>
    <cellStyle name="Normalny 13 3" xfId="20466"/>
    <cellStyle name="Normalny 13 3 2" xfId="20467"/>
    <cellStyle name="Normalny 13 4" xfId="20468"/>
    <cellStyle name="Normalny 130" xfId="20469"/>
    <cellStyle name="Normalny 131" xfId="20470"/>
    <cellStyle name="Normalny 132" xfId="20471"/>
    <cellStyle name="Normalny 133" xfId="20472"/>
    <cellStyle name="Normalny 134" xfId="42845"/>
    <cellStyle name="Normalny 135" xfId="42848"/>
    <cellStyle name="Normalny 136" xfId="9"/>
    <cellStyle name="Normalny 137" xfId="42851"/>
    <cellStyle name="Normalny 14" xfId="20473"/>
    <cellStyle name="Normalny 14 2" xfId="20474"/>
    <cellStyle name="Normalny 14 2 2" xfId="20475"/>
    <cellStyle name="Normalny 14 3" xfId="20476"/>
    <cellStyle name="Normalny 14 4" xfId="20477"/>
    <cellStyle name="Normalny 14 5" xfId="20478"/>
    <cellStyle name="Normalny 15" xfId="20479"/>
    <cellStyle name="Normalny 15 2" xfId="20480"/>
    <cellStyle name="Normalny 15 2 2" xfId="20481"/>
    <cellStyle name="Normalny 15 2 3" xfId="20482"/>
    <cellStyle name="Normalny 15 3" xfId="20483"/>
    <cellStyle name="Normalny 15 4" xfId="20484"/>
    <cellStyle name="Normalny 15 5" xfId="20485"/>
    <cellStyle name="Normalny 15 6" xfId="20486"/>
    <cellStyle name="Normalny 16" xfId="20487"/>
    <cellStyle name="Normalny 16 2" xfId="20488"/>
    <cellStyle name="Normalny 16 2 2" xfId="20489"/>
    <cellStyle name="Normalny 16 3" xfId="20490"/>
    <cellStyle name="Normalny 16 4" xfId="20491"/>
    <cellStyle name="Normalny 16 5" xfId="20492"/>
    <cellStyle name="Normalny 17" xfId="15"/>
    <cellStyle name="Normalny 17 2" xfId="20493"/>
    <cellStyle name="Normalny 17 3" xfId="20494"/>
    <cellStyle name="Normalny 17 4" xfId="20495"/>
    <cellStyle name="Normalny 17 5" xfId="20496"/>
    <cellStyle name="Normalny 18" xfId="20497"/>
    <cellStyle name="Normalny 18 2" xfId="20498"/>
    <cellStyle name="Normalny 18 3" xfId="20499"/>
    <cellStyle name="Normalny 18 4" xfId="20500"/>
    <cellStyle name="Normalny 19" xfId="20501"/>
    <cellStyle name="Normalny 19 2" xfId="20502"/>
    <cellStyle name="Normalny 19 2 2" xfId="20503"/>
    <cellStyle name="Normalny 19 2 3" xfId="20504"/>
    <cellStyle name="Normalny 19 3" xfId="20505"/>
    <cellStyle name="Normalny 19 4" xfId="20506"/>
    <cellStyle name="Normalny 19 5" xfId="20507"/>
    <cellStyle name="Normalny 2" xfId="3"/>
    <cellStyle name="Normalny 2 10" xfId="20509"/>
    <cellStyle name="Normalny 2 10 2" xfId="20510"/>
    <cellStyle name="Normalny 2 10 3" xfId="20511"/>
    <cellStyle name="Normalny 2 10 4" xfId="20512"/>
    <cellStyle name="Normalny 2 10 5" xfId="20513"/>
    <cellStyle name="Normalny 2 11" xfId="20514"/>
    <cellStyle name="Normalny 2 11 2" xfId="20515"/>
    <cellStyle name="Normalny 2 11 3" xfId="20516"/>
    <cellStyle name="Normalny 2 11 4" xfId="20517"/>
    <cellStyle name="Normalny 2 12" xfId="20518"/>
    <cellStyle name="Normalny 2 12 2" xfId="20519"/>
    <cellStyle name="Normalny 2 12 3" xfId="20520"/>
    <cellStyle name="Normalny 2 12 4" xfId="20521"/>
    <cellStyle name="Normalny 2 13" xfId="20522"/>
    <cellStyle name="Normalny 2 13 2" xfId="20523"/>
    <cellStyle name="Normalny 2 13 3" xfId="20524"/>
    <cellStyle name="Normalny 2 14" xfId="20525"/>
    <cellStyle name="Normalny 2 14 2" xfId="20526"/>
    <cellStyle name="Normalny 2 14 3" xfId="20527"/>
    <cellStyle name="Normalny 2 15" xfId="20528"/>
    <cellStyle name="Normalny 2 15 2" xfId="20529"/>
    <cellStyle name="Normalny 2 15 3" xfId="20530"/>
    <cellStyle name="Normalny 2 16" xfId="20531"/>
    <cellStyle name="Normalny 2 16 2" xfId="20532"/>
    <cellStyle name="Normalny 2 16 3" xfId="20533"/>
    <cellStyle name="Normalny 2 17" xfId="20534"/>
    <cellStyle name="Normalny 2 17 2" xfId="20535"/>
    <cellStyle name="Normalny 2 17 3" xfId="20536"/>
    <cellStyle name="Normalny 2 18" xfId="20537"/>
    <cellStyle name="Normalny 2 18 2" xfId="20538"/>
    <cellStyle name="Normalny 2 18 3" xfId="20539"/>
    <cellStyle name="Normalny 2 19" xfId="20540"/>
    <cellStyle name="Normalny 2 19 2" xfId="20541"/>
    <cellStyle name="Normalny 2 19 3" xfId="20542"/>
    <cellStyle name="Normalny 2 2" xfId="20543"/>
    <cellStyle name="Normalny 2 2 10" xfId="20544"/>
    <cellStyle name="Normalny 2 2 10 2" xfId="20545"/>
    <cellStyle name="Normalny 2 2 11" xfId="20546"/>
    <cellStyle name="Normalny 2 2 11 2" xfId="20547"/>
    <cellStyle name="Normalny 2 2 12" xfId="20548"/>
    <cellStyle name="Normalny 2 2 13" xfId="20549"/>
    <cellStyle name="Normalny 2 2 14" xfId="20550"/>
    <cellStyle name="Normalny 2 2 15" xfId="20551"/>
    <cellStyle name="Normalny 2 2 16" xfId="20552"/>
    <cellStyle name="Normalny 2 2 17" xfId="20553"/>
    <cellStyle name="Normalny 2 2 18" xfId="20554"/>
    <cellStyle name="Normalny 2 2 19" xfId="20555"/>
    <cellStyle name="Normalny 2 2 2" xfId="20556"/>
    <cellStyle name="Normalny 2 2 2 2" xfId="20557"/>
    <cellStyle name="Normalny 2 2 2 2 2" xfId="20558"/>
    <cellStyle name="Normalny 2 2 2 3" xfId="20559"/>
    <cellStyle name="Normalny 2 2 2 3 2" xfId="20560"/>
    <cellStyle name="Normalny 2 2 2 3 3" xfId="20561"/>
    <cellStyle name="Normalny 2 2 2 4" xfId="20562"/>
    <cellStyle name="Normalny 2 2 3" xfId="4"/>
    <cellStyle name="Normalny 2 2 3 2" xfId="20564"/>
    <cellStyle name="Normalny 2 2 3 2 2" xfId="20565"/>
    <cellStyle name="Normalny 2 2 3 3" xfId="20566"/>
    <cellStyle name="Normalny 2 2 3 4" xfId="20563"/>
    <cellStyle name="Normalny 2 2 4" xfId="20567"/>
    <cellStyle name="Normalny 2 2 4 2" xfId="20568"/>
    <cellStyle name="Normalny 2 2 5" xfId="20569"/>
    <cellStyle name="Normalny 2 2 5 2" xfId="20570"/>
    <cellStyle name="Normalny 2 2 6" xfId="20571"/>
    <cellStyle name="Normalny 2 2 6 2" xfId="20572"/>
    <cellStyle name="Normalny 2 2 7" xfId="20573"/>
    <cellStyle name="Normalny 2 2 7 2" xfId="20574"/>
    <cellStyle name="Normalny 2 2 8" xfId="20575"/>
    <cellStyle name="Normalny 2 2 8 2" xfId="20576"/>
    <cellStyle name="Normalny 2 2 9" xfId="20577"/>
    <cellStyle name="Normalny 2 2 9 2" xfId="20578"/>
    <cellStyle name="Normalny 2 20" xfId="20579"/>
    <cellStyle name="Normalny 2 20 2" xfId="20580"/>
    <cellStyle name="Normalny 2 20 3" xfId="20581"/>
    <cellStyle name="Normalny 2 21" xfId="20582"/>
    <cellStyle name="Normalny 2 21 2" xfId="20583"/>
    <cellStyle name="Normalny 2 21 3" xfId="20584"/>
    <cellStyle name="Normalny 2 22" xfId="20585"/>
    <cellStyle name="Normalny 2 22 2" xfId="20586"/>
    <cellStyle name="Normalny 2 22 3" xfId="20587"/>
    <cellStyle name="Normalny 2 23" xfId="20588"/>
    <cellStyle name="Normalny 2 23 2" xfId="20589"/>
    <cellStyle name="Normalny 2 23 3" xfId="20590"/>
    <cellStyle name="Normalny 2 24" xfId="20591"/>
    <cellStyle name="Normalny 2 24 2" xfId="20592"/>
    <cellStyle name="Normalny 2 24 3" xfId="20593"/>
    <cellStyle name="Normalny 2 25" xfId="20594"/>
    <cellStyle name="Normalny 2 25 2" xfId="20595"/>
    <cellStyle name="Normalny 2 25 3" xfId="20596"/>
    <cellStyle name="Normalny 2 26" xfId="20597"/>
    <cellStyle name="Normalny 2 26 2" xfId="20598"/>
    <cellStyle name="Normalny 2 26 3" xfId="20599"/>
    <cellStyle name="Normalny 2 27" xfId="20600"/>
    <cellStyle name="Normalny 2 27 2" xfId="20601"/>
    <cellStyle name="Normalny 2 28" xfId="20602"/>
    <cellStyle name="Normalny 2 29" xfId="20603"/>
    <cellStyle name="Normalny 2 3" xfId="20604"/>
    <cellStyle name="Normalny 2 3 2" xfId="20605"/>
    <cellStyle name="Normalny 2 3 2 2" xfId="20606"/>
    <cellStyle name="Normalny 2 3 2 3" xfId="20607"/>
    <cellStyle name="Normalny 2 3 3" xfId="20608"/>
    <cellStyle name="Normalny 2 3 3 2" xfId="20609"/>
    <cellStyle name="Normalny 2 3 4" xfId="20610"/>
    <cellStyle name="Normalny 2 3 5" xfId="20611"/>
    <cellStyle name="Normalny 2 3 6" xfId="20"/>
    <cellStyle name="Normalny 2 3 7" xfId="20612"/>
    <cellStyle name="Normalny 2 3 8" xfId="20613"/>
    <cellStyle name="Normalny 2 30" xfId="20614"/>
    <cellStyle name="Normalny 2 30 2" xfId="20615"/>
    <cellStyle name="Normalny 2 31" xfId="20616"/>
    <cellStyle name="Normalny 2 32" xfId="20617"/>
    <cellStyle name="Normalny 2 33" xfId="20618"/>
    <cellStyle name="Normalny 2 34" xfId="20508"/>
    <cellStyle name="Normalny 2 35" xfId="42853"/>
    <cellStyle name="Normalny 2 4" xfId="20619"/>
    <cellStyle name="Normalny 2 4 10" xfId="20620"/>
    <cellStyle name="Normalny 2 4 11" xfId="20621"/>
    <cellStyle name="Normalny 2 4 12" xfId="20622"/>
    <cellStyle name="Normalny 2 4 13" xfId="20623"/>
    <cellStyle name="Normalny 2 4 14" xfId="20624"/>
    <cellStyle name="Normalny 2 4 15" xfId="20625"/>
    <cellStyle name="Normalny 2 4 16" xfId="20626"/>
    <cellStyle name="Normalny 2 4 17" xfId="20627"/>
    <cellStyle name="Normalny 2 4 18" xfId="20628"/>
    <cellStyle name="Normalny 2 4 19" xfId="20629"/>
    <cellStyle name="Normalny 2 4 2" xfId="20630"/>
    <cellStyle name="Normalny 2 4 2 2" xfId="20631"/>
    <cellStyle name="Normalny 2 4 2 3" xfId="20632"/>
    <cellStyle name="Normalny 2 4 20" xfId="20633"/>
    <cellStyle name="Normalny 2 4 21" xfId="20634"/>
    <cellStyle name="Normalny 2 4 22" xfId="20635"/>
    <cellStyle name="Normalny 2 4 23" xfId="20636"/>
    <cellStyle name="Normalny 2 4 3" xfId="20637"/>
    <cellStyle name="Normalny 2 4 4" xfId="20638"/>
    <cellStyle name="Normalny 2 4 5" xfId="20639"/>
    <cellStyle name="Normalny 2 4 6" xfId="20640"/>
    <cellStyle name="Normalny 2 4 7" xfId="20641"/>
    <cellStyle name="Normalny 2 4 8" xfId="20642"/>
    <cellStyle name="Normalny 2 4 9" xfId="20643"/>
    <cellStyle name="Normalny 2 5" xfId="20644"/>
    <cellStyle name="Normalny 2 5 2" xfId="20645"/>
    <cellStyle name="Normalny 2 5 2 2" xfId="20646"/>
    <cellStyle name="Normalny 2 5 3" xfId="20647"/>
    <cellStyle name="Normalny 2 5 3 2" xfId="20648"/>
    <cellStyle name="Normalny 2 5 4" xfId="20649"/>
    <cellStyle name="Normalny 2 6" xfId="20650"/>
    <cellStyle name="Normalny 2 6 2" xfId="20651"/>
    <cellStyle name="Normalny 2 6 3" xfId="20652"/>
    <cellStyle name="Normalny 2 6 4" xfId="20653"/>
    <cellStyle name="Normalny 2 7" xfId="20654"/>
    <cellStyle name="Normalny 2 7 2" xfId="20655"/>
    <cellStyle name="Normalny 2 7 3" xfId="20656"/>
    <cellStyle name="Normalny 2 7 4" xfId="20657"/>
    <cellStyle name="Normalny 2 8" xfId="20658"/>
    <cellStyle name="Normalny 2 8 2" xfId="20659"/>
    <cellStyle name="Normalny 2 8 3" xfId="20660"/>
    <cellStyle name="Normalny 2 8 4" xfId="20661"/>
    <cellStyle name="Normalny 2 9" xfId="20662"/>
    <cellStyle name="Normalny 2 9 2" xfId="20663"/>
    <cellStyle name="Normalny 2 9 3" xfId="20664"/>
    <cellStyle name="Normalny 2 9 4" xfId="20665"/>
    <cellStyle name="Normalny 2_CHURN " xfId="20666"/>
    <cellStyle name="Normalny 20" xfId="20667"/>
    <cellStyle name="Normalny 20 2" xfId="20668"/>
    <cellStyle name="Normalny 20 2 2" xfId="20669"/>
    <cellStyle name="Normalny 20 2 3" xfId="20670"/>
    <cellStyle name="Normalny 20 3" xfId="20671"/>
    <cellStyle name="Normalny 20 4" xfId="20672"/>
    <cellStyle name="Normalny 20 5" xfId="20673"/>
    <cellStyle name="Normalny 20 6" xfId="20674"/>
    <cellStyle name="Normalny 21" xfId="20675"/>
    <cellStyle name="Normalny 21 2" xfId="20676"/>
    <cellStyle name="Normalny 21 2 2" xfId="20677"/>
    <cellStyle name="Normalny 21 2 3" xfId="20678"/>
    <cellStyle name="Normalny 21 3" xfId="20679"/>
    <cellStyle name="Normalny 21 4" xfId="20680"/>
    <cellStyle name="Normalny 21 5" xfId="20681"/>
    <cellStyle name="Normalny 21 6" xfId="20682"/>
    <cellStyle name="Normalny 22" xfId="20683"/>
    <cellStyle name="Normalny 22 2" xfId="20684"/>
    <cellStyle name="Normalny 22 2 2" xfId="20685"/>
    <cellStyle name="Normalny 22 2 3" xfId="20686"/>
    <cellStyle name="Normalny 22 3" xfId="20687"/>
    <cellStyle name="Normalny 22 4" xfId="20688"/>
    <cellStyle name="Normalny 22 5" xfId="20689"/>
    <cellStyle name="Normalny 22 6" xfId="20690"/>
    <cellStyle name="Normalny 23" xfId="20691"/>
    <cellStyle name="Normalny 23 2" xfId="20692"/>
    <cellStyle name="Normalny 23 2 2" xfId="20693"/>
    <cellStyle name="Normalny 23 2 3" xfId="20694"/>
    <cellStyle name="Normalny 23 3" xfId="20695"/>
    <cellStyle name="Normalny 23 4" xfId="20696"/>
    <cellStyle name="Normalny 23 5" xfId="20697"/>
    <cellStyle name="Normalny 23 6" xfId="20698"/>
    <cellStyle name="Normalny 24" xfId="20699"/>
    <cellStyle name="Normalny 24 2" xfId="20700"/>
    <cellStyle name="Normalny 24 2 2" xfId="20701"/>
    <cellStyle name="Normalny 24 2 3" xfId="20702"/>
    <cellStyle name="Normalny 24 3" xfId="20703"/>
    <cellStyle name="Normalny 24 4" xfId="20704"/>
    <cellStyle name="Normalny 24 5" xfId="20705"/>
    <cellStyle name="Normalny 24 6" xfId="20706"/>
    <cellStyle name="Normalny 25" xfId="20707"/>
    <cellStyle name="Normalny 25 2" xfId="20708"/>
    <cellStyle name="Normalny 25 3" xfId="20709"/>
    <cellStyle name="Normalny 25 4" xfId="20710"/>
    <cellStyle name="Normalny 26" xfId="20711"/>
    <cellStyle name="Normalny 26 2" xfId="20712"/>
    <cellStyle name="Normalny 26 3" xfId="20713"/>
    <cellStyle name="Normalny 26 4" xfId="20714"/>
    <cellStyle name="Normalny 27" xfId="20715"/>
    <cellStyle name="Normalny 27 2" xfId="20716"/>
    <cellStyle name="Normalny 27 3" xfId="20717"/>
    <cellStyle name="Normalny 27 4" xfId="20718"/>
    <cellStyle name="Normalny 28" xfId="20719"/>
    <cellStyle name="Normalny 28 2" xfId="20720"/>
    <cellStyle name="Normalny 28 3" xfId="20721"/>
    <cellStyle name="Normalny 28 4" xfId="20722"/>
    <cellStyle name="Normalny 29" xfId="20723"/>
    <cellStyle name="Normalny 29 2" xfId="20724"/>
    <cellStyle name="Normalny 29 2 2" xfId="20725"/>
    <cellStyle name="Normalny 29 2 3" xfId="20726"/>
    <cellStyle name="Normalny 29 3" xfId="20727"/>
    <cellStyle name="Normalny 29 4" xfId="20728"/>
    <cellStyle name="Normalny 3" xfId="20729"/>
    <cellStyle name="Normalny 3 10" xfId="20730"/>
    <cellStyle name="Normalny 3 10 2" xfId="20731"/>
    <cellStyle name="Normalny 3 11" xfId="20732"/>
    <cellStyle name="Normalny 3 12" xfId="42854"/>
    <cellStyle name="Normalny 3 2" xfId="20733"/>
    <cellStyle name="Normalny 3 2 10" xfId="20734"/>
    <cellStyle name="Normalny 3 2 11" xfId="20735"/>
    <cellStyle name="Normalny 3 2 12" xfId="20736"/>
    <cellStyle name="Normalny 3 2 13" xfId="20737"/>
    <cellStyle name="Normalny 3 2 14" xfId="20738"/>
    <cellStyle name="Normalny 3 2 15" xfId="20739"/>
    <cellStyle name="Normalny 3 2 16" xfId="20740"/>
    <cellStyle name="Normalny 3 2 17" xfId="20741"/>
    <cellStyle name="Normalny 3 2 18" xfId="20742"/>
    <cellStyle name="Normalny 3 2 19" xfId="20743"/>
    <cellStyle name="Normalny 3 2 2" xfId="20744"/>
    <cellStyle name="Normalny 3 2 2 2" xfId="20745"/>
    <cellStyle name="Normalny 3 2 20" xfId="20746"/>
    <cellStyle name="Normalny 3 2 21" xfId="20747"/>
    <cellStyle name="Normalny 3 2 22" xfId="20748"/>
    <cellStyle name="Normalny 3 2 23" xfId="20749"/>
    <cellStyle name="Normalny 3 2 24" xfId="20750"/>
    <cellStyle name="Normalny 3 2 3" xfId="20751"/>
    <cellStyle name="Normalny 3 2 4" xfId="20752"/>
    <cellStyle name="Normalny 3 2 5" xfId="20753"/>
    <cellStyle name="Normalny 3 2 6" xfId="20754"/>
    <cellStyle name="Normalny 3 2 7" xfId="20755"/>
    <cellStyle name="Normalny 3 2 8" xfId="20756"/>
    <cellStyle name="Normalny 3 2 9" xfId="20757"/>
    <cellStyle name="Normalny 3 3" xfId="20758"/>
    <cellStyle name="Normalny 3 3 10" xfId="20759"/>
    <cellStyle name="Normalny 3 3 11" xfId="20760"/>
    <cellStyle name="Normalny 3 3 12" xfId="20761"/>
    <cellStyle name="Normalny 3 3 13" xfId="20762"/>
    <cellStyle name="Normalny 3 3 14" xfId="20763"/>
    <cellStyle name="Normalny 3 3 15" xfId="20764"/>
    <cellStyle name="Normalny 3 3 16" xfId="20765"/>
    <cellStyle name="Normalny 3 3 17" xfId="20766"/>
    <cellStyle name="Normalny 3 3 18" xfId="20767"/>
    <cellStyle name="Normalny 3 3 19" xfId="20768"/>
    <cellStyle name="Normalny 3 3 2" xfId="20769"/>
    <cellStyle name="Normalny 3 3 2 2" xfId="20770"/>
    <cellStyle name="Normalny 3 3 20" xfId="20771"/>
    <cellStyle name="Normalny 3 3 21" xfId="20772"/>
    <cellStyle name="Normalny 3 3 3" xfId="20773"/>
    <cellStyle name="Normalny 3 3 4" xfId="20774"/>
    <cellStyle name="Normalny 3 3 5" xfId="20775"/>
    <cellStyle name="Normalny 3 3 6" xfId="20776"/>
    <cellStyle name="Normalny 3 3 7" xfId="20777"/>
    <cellStyle name="Normalny 3 3 8" xfId="20778"/>
    <cellStyle name="Normalny 3 3 9" xfId="20779"/>
    <cellStyle name="Normalny 3 4" xfId="20780"/>
    <cellStyle name="Normalny 3 4 2" xfId="20781"/>
    <cellStyle name="Normalny 3 4 2 2" xfId="20782"/>
    <cellStyle name="Normalny 3 4 3" xfId="20783"/>
    <cellStyle name="Normalny 3 4 4" xfId="20784"/>
    <cellStyle name="Normalny 3 4 5" xfId="20785"/>
    <cellStyle name="Normalny 3 4 6" xfId="20786"/>
    <cellStyle name="Normalny 3 5" xfId="20787"/>
    <cellStyle name="Normalny 3 5 2" xfId="20788"/>
    <cellStyle name="Normalny 3 5 3" xfId="20789"/>
    <cellStyle name="Normalny 3 6" xfId="20790"/>
    <cellStyle name="Normalny 3 6 2" xfId="20791"/>
    <cellStyle name="Normalny 3 6 3" xfId="20792"/>
    <cellStyle name="Normalny 3 7" xfId="20793"/>
    <cellStyle name="Normalny 3 7 2" xfId="20794"/>
    <cellStyle name="Normalny 3 7 3" xfId="20795"/>
    <cellStyle name="Normalny 3 8" xfId="20796"/>
    <cellStyle name="Normalny 3 8 2" xfId="20797"/>
    <cellStyle name="Normalny 3 8 3" xfId="20798"/>
    <cellStyle name="Normalny 3 9" xfId="20799"/>
    <cellStyle name="Normalny 3_CHURN " xfId="20800"/>
    <cellStyle name="Normalny 30" xfId="20801"/>
    <cellStyle name="Normalny 30 2" xfId="20802"/>
    <cellStyle name="Normalny 30 3" xfId="20803"/>
    <cellStyle name="Normalny 30 4" xfId="20804"/>
    <cellStyle name="Normalny 31" xfId="20805"/>
    <cellStyle name="Normalny 31 2" xfId="20806"/>
    <cellStyle name="Normalny 31 2 2" xfId="20807"/>
    <cellStyle name="Normalny 31 2 3" xfId="20808"/>
    <cellStyle name="Normalny 31 3" xfId="20809"/>
    <cellStyle name="Normalny 32" xfId="20810"/>
    <cellStyle name="Normalny 32 2" xfId="20811"/>
    <cellStyle name="Normalny 32 3" xfId="20812"/>
    <cellStyle name="Normalny 32 4" xfId="20813"/>
    <cellStyle name="Normalny 33" xfId="20814"/>
    <cellStyle name="Normalny 33 2" xfId="20815"/>
    <cellStyle name="Normalny 33 3" xfId="20816"/>
    <cellStyle name="Normalny 33 4" xfId="20817"/>
    <cellStyle name="Normalny 34" xfId="20818"/>
    <cellStyle name="Normalny 34 2" xfId="20819"/>
    <cellStyle name="Normalny 34 3" xfId="20820"/>
    <cellStyle name="Normalny 34 4" xfId="20821"/>
    <cellStyle name="Normalny 35" xfId="20822"/>
    <cellStyle name="Normalny 35 2" xfId="20823"/>
    <cellStyle name="Normalny 35 3" xfId="20824"/>
    <cellStyle name="Normalny 35 4" xfId="20825"/>
    <cellStyle name="Normalny 36" xfId="20826"/>
    <cellStyle name="Normalny 36 2" xfId="20827"/>
    <cellStyle name="Normalny 36 3" xfId="20828"/>
    <cellStyle name="Normalny 36 4" xfId="20829"/>
    <cellStyle name="Normalny 37" xfId="20830"/>
    <cellStyle name="Normalny 37 2" xfId="20831"/>
    <cellStyle name="Normalny 37 3" xfId="20832"/>
    <cellStyle name="Normalny 37 4" xfId="20833"/>
    <cellStyle name="Normalny 38" xfId="20834"/>
    <cellStyle name="Normalny 38 2" xfId="20835"/>
    <cellStyle name="Normalny 38 3" xfId="20836"/>
    <cellStyle name="Normalny 38 4" xfId="20837"/>
    <cellStyle name="Normalny 39" xfId="20838"/>
    <cellStyle name="Normalny 39 2" xfId="20839"/>
    <cellStyle name="Normalny 39 2 2" xfId="20840"/>
    <cellStyle name="Normalny 39 2 3" xfId="20841"/>
    <cellStyle name="Normalny 39 3" xfId="20842"/>
    <cellStyle name="Normalny 4" xfId="20843"/>
    <cellStyle name="Normalny 4 10" xfId="20844"/>
    <cellStyle name="Normalny 4 11" xfId="20845"/>
    <cellStyle name="Normalny 4 2" xfId="20846"/>
    <cellStyle name="Normalny 4 2 10" xfId="20847"/>
    <cellStyle name="Normalny 4 2 2" xfId="20848"/>
    <cellStyle name="Normalny 4 2 2 2" xfId="20849"/>
    <cellStyle name="Normalny 4 2 2 3" xfId="20850"/>
    <cellStyle name="Normalny 4 2 2 4" xfId="20851"/>
    <cellStyle name="Normalny 4 2 2 5" xfId="20852"/>
    <cellStyle name="Normalny 4 2 3" xfId="20853"/>
    <cellStyle name="Normalny 4 2 4" xfId="20854"/>
    <cellStyle name="Normalny 4 2 5" xfId="20855"/>
    <cellStyle name="Normalny 4 2 6" xfId="20856"/>
    <cellStyle name="Normalny 4 2 7" xfId="20857"/>
    <cellStyle name="Normalny 4 2 8" xfId="20858"/>
    <cellStyle name="Normalny 4 2 9" xfId="20859"/>
    <cellStyle name="Normalny 4 3" xfId="20860"/>
    <cellStyle name="Normalny 4 3 2" xfId="20861"/>
    <cellStyle name="Normalny 4 3 2 2" xfId="20862"/>
    <cellStyle name="Normalny 4 3 3" xfId="20863"/>
    <cellStyle name="Normalny 4 3 4" xfId="20864"/>
    <cellStyle name="Normalny 4 4" xfId="20865"/>
    <cellStyle name="Normalny 4 4 2" xfId="20866"/>
    <cellStyle name="Normalny 4 4 3" xfId="20867"/>
    <cellStyle name="Normalny 4 4 4" xfId="20868"/>
    <cellStyle name="Normalny 4 5" xfId="20869"/>
    <cellStyle name="Normalny 4 5 2" xfId="20870"/>
    <cellStyle name="Normalny 4 5 3" xfId="20871"/>
    <cellStyle name="Normalny 4 5 4" xfId="20872"/>
    <cellStyle name="Normalny 4 6" xfId="20873"/>
    <cellStyle name="Normalny 4 6 2" xfId="20874"/>
    <cellStyle name="Normalny 4 6 3" xfId="20875"/>
    <cellStyle name="Normalny 4 6 4" xfId="20876"/>
    <cellStyle name="Normalny 4 6 5" xfId="20877"/>
    <cellStyle name="Normalny 4 7" xfId="20878"/>
    <cellStyle name="Normalny 4 7 2" xfId="20879"/>
    <cellStyle name="Normalny 4 8" xfId="20880"/>
    <cellStyle name="Normalny 4 9" xfId="20881"/>
    <cellStyle name="Normalny 4_CHURN " xfId="20882"/>
    <cellStyle name="Normalny 40" xfId="20883"/>
    <cellStyle name="Normalny 40 2" xfId="20884"/>
    <cellStyle name="Normalny 40 2 2" xfId="20885"/>
    <cellStyle name="Normalny 40 2 3" xfId="20886"/>
    <cellStyle name="Normalny 40 3" xfId="20887"/>
    <cellStyle name="Normalny 40 4" xfId="20888"/>
    <cellStyle name="Normalny 41" xfId="20889"/>
    <cellStyle name="Normalny 41 2" xfId="20890"/>
    <cellStyle name="Normalny 41 2 2" xfId="20891"/>
    <cellStyle name="Normalny 41 3" xfId="20892"/>
    <cellStyle name="Normalny 42" xfId="20893"/>
    <cellStyle name="Normalny 42 2" xfId="20894"/>
    <cellStyle name="Normalny 42 2 2" xfId="20895"/>
    <cellStyle name="Normalny 42 3" xfId="20896"/>
    <cellStyle name="Normalny 43" xfId="20897"/>
    <cellStyle name="Normalny 43 2" xfId="20898"/>
    <cellStyle name="Normalny 43 2 2" xfId="20899"/>
    <cellStyle name="Normalny 43 3" xfId="20900"/>
    <cellStyle name="Normalny 44" xfId="20901"/>
    <cellStyle name="Normalny 44 2" xfId="20902"/>
    <cellStyle name="Normalny 44 2 2" xfId="20903"/>
    <cellStyle name="Normalny 44 3" xfId="20904"/>
    <cellStyle name="Normalny 44 4" xfId="20905"/>
    <cellStyle name="Normalny 45" xfId="20906"/>
    <cellStyle name="Normalny 45 2" xfId="20907"/>
    <cellStyle name="Normalny 45 2 2" xfId="20908"/>
    <cellStyle name="Normalny 45 3" xfId="20909"/>
    <cellStyle name="Normalny 45 4" xfId="20910"/>
    <cellStyle name="Normalny 46" xfId="20911"/>
    <cellStyle name="Normalny 46 2" xfId="20912"/>
    <cellStyle name="Normalny 46 2 2" xfId="20913"/>
    <cellStyle name="Normalny 46 3" xfId="20914"/>
    <cellStyle name="Normalny 46 4" xfId="20915"/>
    <cellStyle name="Normalny 47" xfId="13"/>
    <cellStyle name="Normalny 47 2" xfId="20916"/>
    <cellStyle name="Normalny 47 2 2" xfId="20917"/>
    <cellStyle name="Normalny 47 3" xfId="20918"/>
    <cellStyle name="Normalny 47 4" xfId="20919"/>
    <cellStyle name="Normalny 48" xfId="20920"/>
    <cellStyle name="Normalny 48 2" xfId="20921"/>
    <cellStyle name="Normalny 48 3" xfId="20922"/>
    <cellStyle name="Normalny 48 4" xfId="20923"/>
    <cellStyle name="Normalny 49" xfId="20924"/>
    <cellStyle name="Normalny 49 2" xfId="20925"/>
    <cellStyle name="Normalny 49 3" xfId="20926"/>
    <cellStyle name="Normalny 49 4" xfId="20927"/>
    <cellStyle name="Normalny 5" xfId="20928"/>
    <cellStyle name="Normalny 5 10" xfId="20929"/>
    <cellStyle name="Normalny 5 10 2" xfId="20930"/>
    <cellStyle name="Normalny 5 10 3" xfId="20931"/>
    <cellStyle name="Normalny 5 11" xfId="20932"/>
    <cellStyle name="Normalny 5 11 2" xfId="20933"/>
    <cellStyle name="Normalny 5 12" xfId="20934"/>
    <cellStyle name="Normalny 5 13" xfId="20935"/>
    <cellStyle name="Normalny 5 14" xfId="20936"/>
    <cellStyle name="Normalny 5 15" xfId="20937"/>
    <cellStyle name="Normalny 5 16" xfId="20938"/>
    <cellStyle name="Normalny 5 17" xfId="20939"/>
    <cellStyle name="Normalny 5 18" xfId="20940"/>
    <cellStyle name="Normalny 5 19" xfId="20941"/>
    <cellStyle name="Normalny 5 2" xfId="20942"/>
    <cellStyle name="Normalny 5 2 10" xfId="20943"/>
    <cellStyle name="Normalny 5 2 11" xfId="20944"/>
    <cellStyle name="Normalny 5 2 12" xfId="20945"/>
    <cellStyle name="Normalny 5 2 13" xfId="20946"/>
    <cellStyle name="Normalny 5 2 14" xfId="20947"/>
    <cellStyle name="Normalny 5 2 15" xfId="20948"/>
    <cellStyle name="Normalny 5 2 16" xfId="20949"/>
    <cellStyle name="Normalny 5 2 17" xfId="20950"/>
    <cellStyle name="Normalny 5 2 18" xfId="20951"/>
    <cellStyle name="Normalny 5 2 19" xfId="20952"/>
    <cellStyle name="Normalny 5 2 2" xfId="20953"/>
    <cellStyle name="Normalny 5 2 2 2" xfId="20954"/>
    <cellStyle name="Normalny 5 2 2 3" xfId="20955"/>
    <cellStyle name="Normalny 5 2 20" xfId="20956"/>
    <cellStyle name="Normalny 5 2 21" xfId="20957"/>
    <cellStyle name="Normalny 5 2 22" xfId="20958"/>
    <cellStyle name="Normalny 5 2 3" xfId="20959"/>
    <cellStyle name="Normalny 5 2 4" xfId="20960"/>
    <cellStyle name="Normalny 5 2 5" xfId="20961"/>
    <cellStyle name="Normalny 5 2 6" xfId="20962"/>
    <cellStyle name="Normalny 5 2 7" xfId="20963"/>
    <cellStyle name="Normalny 5 2 8" xfId="20964"/>
    <cellStyle name="Normalny 5 2 9" xfId="20965"/>
    <cellStyle name="Normalny 5 20" xfId="20966"/>
    <cellStyle name="Normalny 5 21" xfId="20967"/>
    <cellStyle name="Normalny 5 22" xfId="20968"/>
    <cellStyle name="Normalny 5 23" xfId="20969"/>
    <cellStyle name="Normalny 5 3" xfId="20970"/>
    <cellStyle name="Normalny 5 3 2" xfId="20971"/>
    <cellStyle name="Normalny 5 3 2 2" xfId="20972"/>
    <cellStyle name="Normalny 5 3 3" xfId="20973"/>
    <cellStyle name="Normalny 5 4" xfId="20974"/>
    <cellStyle name="Normalny 5 4 2" xfId="20975"/>
    <cellStyle name="Normalny 5 4 3" xfId="20976"/>
    <cellStyle name="Normalny 5 5" xfId="20977"/>
    <cellStyle name="Normalny 5 5 2" xfId="20978"/>
    <cellStyle name="Normalny 5 6" xfId="20979"/>
    <cellStyle name="Normalny 5 6 2" xfId="20980"/>
    <cellStyle name="Normalny 5 7" xfId="20981"/>
    <cellStyle name="Normalny 5 7 2" xfId="20982"/>
    <cellStyle name="Normalny 5 8" xfId="20983"/>
    <cellStyle name="Normalny 5 8 2" xfId="20984"/>
    <cellStyle name="Normalny 5 9" xfId="20985"/>
    <cellStyle name="Normalny 5 9 2" xfId="20986"/>
    <cellStyle name="Normalny 5_CHURN " xfId="20987"/>
    <cellStyle name="Normalny 50" xfId="20988"/>
    <cellStyle name="Normalny 50 2" xfId="20989"/>
    <cellStyle name="Normalny 50 3" xfId="20990"/>
    <cellStyle name="Normalny 50 4" xfId="20991"/>
    <cellStyle name="Normalny 51" xfId="20992"/>
    <cellStyle name="Normalny 51 2" xfId="20993"/>
    <cellStyle name="Normalny 51 3" xfId="20994"/>
    <cellStyle name="Normalny 51 4" xfId="20995"/>
    <cellStyle name="Normalny 52" xfId="20996"/>
    <cellStyle name="Normalny 52 2" xfId="20997"/>
    <cellStyle name="Normalny 52 3" xfId="20998"/>
    <cellStyle name="Normalny 52 4" xfId="20999"/>
    <cellStyle name="Normalny 53" xfId="21000"/>
    <cellStyle name="Normalny 53 2" xfId="21001"/>
    <cellStyle name="Normalny 53 3" xfId="21002"/>
    <cellStyle name="Normalny 53 4" xfId="21003"/>
    <cellStyle name="Normalny 54" xfId="21004"/>
    <cellStyle name="Normalny 54 2" xfId="21005"/>
    <cellStyle name="Normalny 54 3" xfId="21006"/>
    <cellStyle name="Normalny 54 4" xfId="21007"/>
    <cellStyle name="Normalny 55" xfId="21008"/>
    <cellStyle name="Normalny 55 2" xfId="21009"/>
    <cellStyle name="Normalny 55 3" xfId="21010"/>
    <cellStyle name="Normalny 55 4" xfId="21011"/>
    <cellStyle name="Normalny 56" xfId="21012"/>
    <cellStyle name="Normalny 56 2" xfId="21013"/>
    <cellStyle name="Normalny 56 3" xfId="21014"/>
    <cellStyle name="Normalny 56 4" xfId="21015"/>
    <cellStyle name="Normalny 57" xfId="21016"/>
    <cellStyle name="Normalny 57 2" xfId="21017"/>
    <cellStyle name="Normalny 57 3" xfId="21018"/>
    <cellStyle name="Normalny 57 4" xfId="21019"/>
    <cellStyle name="Normalny 58" xfId="21020"/>
    <cellStyle name="Normalny 58 2" xfId="21021"/>
    <cellStyle name="Normalny 58 3" xfId="21022"/>
    <cellStyle name="Normalny 58 4" xfId="21023"/>
    <cellStyle name="Normalny 59" xfId="21024"/>
    <cellStyle name="Normalny 59 2" xfId="21025"/>
    <cellStyle name="Normalny 6" xfId="21026"/>
    <cellStyle name="Normalny 6 10" xfId="21027"/>
    <cellStyle name="Normalny 6 10 2" xfId="21028"/>
    <cellStyle name="Normalny 6 10 3" xfId="21029"/>
    <cellStyle name="Normalny 6 11" xfId="21030"/>
    <cellStyle name="Normalny 6 11 2" xfId="21031"/>
    <cellStyle name="Normalny 6 12" xfId="21032"/>
    <cellStyle name="Normalny 6 12 2" xfId="21033"/>
    <cellStyle name="Normalny 6 12 3" xfId="21034"/>
    <cellStyle name="Normalny 6 13" xfId="21035"/>
    <cellStyle name="Normalny 6 13 2" xfId="21036"/>
    <cellStyle name="Normalny 6 14" xfId="21037"/>
    <cellStyle name="Normalny 6 15" xfId="21038"/>
    <cellStyle name="Normalny 6 16" xfId="21039"/>
    <cellStyle name="Normalny 6 17" xfId="21040"/>
    <cellStyle name="Normalny 6 18" xfId="21041"/>
    <cellStyle name="Normalny 6 19" xfId="21042"/>
    <cellStyle name="Normalny 6 2" xfId="21043"/>
    <cellStyle name="Normalny 6 2 10" xfId="21044"/>
    <cellStyle name="Normalny 6 2 10 2" xfId="21045"/>
    <cellStyle name="Normalny 6 2 11" xfId="21046"/>
    <cellStyle name="Normalny 6 2 11 2" xfId="21047"/>
    <cellStyle name="Normalny 6 2 12" xfId="21048"/>
    <cellStyle name="Normalny 6 2 12 2" xfId="21049"/>
    <cellStyle name="Normalny 6 2 13" xfId="21050"/>
    <cellStyle name="Normalny 6 2 14" xfId="21051"/>
    <cellStyle name="Normalny 6 2 15" xfId="21052"/>
    <cellStyle name="Normalny 6 2 16" xfId="21053"/>
    <cellStyle name="Normalny 6 2 17" xfId="21054"/>
    <cellStyle name="Normalny 6 2 18" xfId="21055"/>
    <cellStyle name="Normalny 6 2 19" xfId="21056"/>
    <cellStyle name="Normalny 6 2 2" xfId="21057"/>
    <cellStyle name="Normalny 6 2 2 2" xfId="21058"/>
    <cellStyle name="Normalny 6 2 2 2 2" xfId="21059"/>
    <cellStyle name="Normalny 6 2 2 3" xfId="21060"/>
    <cellStyle name="Normalny 6 2 20" xfId="21061"/>
    <cellStyle name="Normalny 6 2 21" xfId="21062"/>
    <cellStyle name="Normalny 6 2 22" xfId="21063"/>
    <cellStyle name="Normalny 6 2 23" xfId="21064"/>
    <cellStyle name="Normalny 6 2 24" xfId="21065"/>
    <cellStyle name="Normalny 6 2 3" xfId="21066"/>
    <cellStyle name="Normalny 6 2 3 2" xfId="21067"/>
    <cellStyle name="Normalny 6 2 3 3" xfId="21068"/>
    <cellStyle name="Normalny 6 2 4" xfId="21069"/>
    <cellStyle name="Normalny 6 2 4 2" xfId="21070"/>
    <cellStyle name="Normalny 6 2 5" xfId="21071"/>
    <cellStyle name="Normalny 6 2 5 2" xfId="21072"/>
    <cellStyle name="Normalny 6 2 6" xfId="21073"/>
    <cellStyle name="Normalny 6 2 6 2" xfId="21074"/>
    <cellStyle name="Normalny 6 2 7" xfId="21075"/>
    <cellStyle name="Normalny 6 2 7 2" xfId="21076"/>
    <cellStyle name="Normalny 6 2 8" xfId="21077"/>
    <cellStyle name="Normalny 6 2 8 2" xfId="21078"/>
    <cellStyle name="Normalny 6 2 9" xfId="21079"/>
    <cellStyle name="Normalny 6 2 9 2" xfId="21080"/>
    <cellStyle name="Normalny 6 3" xfId="21081"/>
    <cellStyle name="Normalny 6 3 10" xfId="21082"/>
    <cellStyle name="Normalny 6 3 11" xfId="21083"/>
    <cellStyle name="Normalny 6 3 12" xfId="21084"/>
    <cellStyle name="Normalny 6 3 13" xfId="21085"/>
    <cellStyle name="Normalny 6 3 14" xfId="21086"/>
    <cellStyle name="Normalny 6 3 15" xfId="21087"/>
    <cellStyle name="Normalny 6 3 16" xfId="21088"/>
    <cellStyle name="Normalny 6 3 17" xfId="21089"/>
    <cellStyle name="Normalny 6 3 18" xfId="21090"/>
    <cellStyle name="Normalny 6 3 19" xfId="21091"/>
    <cellStyle name="Normalny 6 3 2" xfId="21092"/>
    <cellStyle name="Normalny 6 3 2 2" xfId="21093"/>
    <cellStyle name="Normalny 6 3 20" xfId="21094"/>
    <cellStyle name="Normalny 6 3 21" xfId="21095"/>
    <cellStyle name="Normalny 6 3 22" xfId="21096"/>
    <cellStyle name="Normalny 6 3 23" xfId="21097"/>
    <cellStyle name="Normalny 6 3 24" xfId="21098"/>
    <cellStyle name="Normalny 6 3 3" xfId="21099"/>
    <cellStyle name="Normalny 6 3 4" xfId="21100"/>
    <cellStyle name="Normalny 6 3 5" xfId="21101"/>
    <cellStyle name="Normalny 6 3 6" xfId="21102"/>
    <cellStyle name="Normalny 6 3 7" xfId="21103"/>
    <cellStyle name="Normalny 6 3 8" xfId="21104"/>
    <cellStyle name="Normalny 6 3 9" xfId="21105"/>
    <cellStyle name="Normalny 6 4" xfId="21106"/>
    <cellStyle name="Normalny 6 4 2" xfId="21107"/>
    <cellStyle name="Normalny 6 4 2 2" xfId="21108"/>
    <cellStyle name="Normalny 6 4 3" xfId="21109"/>
    <cellStyle name="Normalny 6 4 4" xfId="21110"/>
    <cellStyle name="Normalny 6 4 5" xfId="21111"/>
    <cellStyle name="Normalny 6 5" xfId="21112"/>
    <cellStyle name="Normalny 6 5 2" xfId="21113"/>
    <cellStyle name="Normalny 6 5 2 2" xfId="21114"/>
    <cellStyle name="Normalny 6 5 3" xfId="21115"/>
    <cellStyle name="Normalny 6 5 4" xfId="21116"/>
    <cellStyle name="Normalny 6 5 5" xfId="21117"/>
    <cellStyle name="Normalny 6 6" xfId="21118"/>
    <cellStyle name="Normalny 6 6 2" xfId="21119"/>
    <cellStyle name="Normalny 6 6 2 2" xfId="21120"/>
    <cellStyle name="Normalny 6 6 3" xfId="21121"/>
    <cellStyle name="Normalny 6 6 4" xfId="21122"/>
    <cellStyle name="Normalny 6 6 5" xfId="21123"/>
    <cellStyle name="Normalny 6 7" xfId="21124"/>
    <cellStyle name="Normalny 6 7 2" xfId="21125"/>
    <cellStyle name="Normalny 6 7 3" xfId="21126"/>
    <cellStyle name="Normalny 6 8" xfId="21127"/>
    <cellStyle name="Normalny 6 8 2" xfId="21128"/>
    <cellStyle name="Normalny 6 8 3" xfId="21129"/>
    <cellStyle name="Normalny 6 9" xfId="21130"/>
    <cellStyle name="Normalny 6 9 2" xfId="21131"/>
    <cellStyle name="Normalny 6 9 3" xfId="21132"/>
    <cellStyle name="Normalny 6_CHURN " xfId="21133"/>
    <cellStyle name="Normalny 60" xfId="21134"/>
    <cellStyle name="Normalny 60 2" xfId="21135"/>
    <cellStyle name="Normalny 60 3" xfId="21136"/>
    <cellStyle name="Normalny 61" xfId="21137"/>
    <cellStyle name="Normalny 61 2" xfId="21138"/>
    <cellStyle name="Normalny 61 3" xfId="21139"/>
    <cellStyle name="Normalny 62" xfId="21140"/>
    <cellStyle name="Normalny 62 2" xfId="21141"/>
    <cellStyle name="Normalny 62 3" xfId="21142"/>
    <cellStyle name="Normalny 63" xfId="21143"/>
    <cellStyle name="Normalny 63 2" xfId="21144"/>
    <cellStyle name="Normalny 63 2 2" xfId="21145"/>
    <cellStyle name="Normalny 63 3" xfId="21146"/>
    <cellStyle name="Normalny 63 4" xfId="21147"/>
    <cellStyle name="Normalny 64" xfId="21148"/>
    <cellStyle name="Normalny 64 2" xfId="21149"/>
    <cellStyle name="Normalny 64 3" xfId="21150"/>
    <cellStyle name="Normalny 65" xfId="21151"/>
    <cellStyle name="Normalny 65 2" xfId="21152"/>
    <cellStyle name="Normalny 65 3" xfId="21153"/>
    <cellStyle name="Normalny 66" xfId="5"/>
    <cellStyle name="Normalny 66 2" xfId="21155"/>
    <cellStyle name="Normalny 66 3" xfId="21154"/>
    <cellStyle name="Normalny 67" xfId="21156"/>
    <cellStyle name="Normalny 67 2" xfId="21157"/>
    <cellStyle name="Normalny 68" xfId="21158"/>
    <cellStyle name="Normalny 68 2" xfId="21159"/>
    <cellStyle name="Normalny 69" xfId="21160"/>
    <cellStyle name="Normalny 69 2" xfId="21161"/>
    <cellStyle name="Normalny 7" xfId="21162"/>
    <cellStyle name="Normalny 7 10" xfId="21163"/>
    <cellStyle name="Normalny 7 11" xfId="21164"/>
    <cellStyle name="Normalny 7 12" xfId="21165"/>
    <cellStyle name="Normalny 7 13" xfId="21166"/>
    <cellStyle name="Normalny 7 14" xfId="21167"/>
    <cellStyle name="Normalny 7 2" xfId="21168"/>
    <cellStyle name="Normalny 7 2 2" xfId="21169"/>
    <cellStyle name="Normalny 7 2 2 2" xfId="21170"/>
    <cellStyle name="Normalny 7 2 3" xfId="21171"/>
    <cellStyle name="Normalny 7 2 4" xfId="21172"/>
    <cellStyle name="Normalny 7 2 5" xfId="21173"/>
    <cellStyle name="Normalny 7 2 6" xfId="21174"/>
    <cellStyle name="Normalny 7 3" xfId="21175"/>
    <cellStyle name="Normalny 7 3 2" xfId="21176"/>
    <cellStyle name="Normalny 7 3 2 2" xfId="21177"/>
    <cellStyle name="Normalny 7 3 3" xfId="21178"/>
    <cellStyle name="Normalny 7 3 4" xfId="21179"/>
    <cellStyle name="Normalny 7 3 5" xfId="21180"/>
    <cellStyle name="Normalny 7 4" xfId="21181"/>
    <cellStyle name="Normalny 7 4 2" xfId="21182"/>
    <cellStyle name="Normalny 7 5" xfId="21183"/>
    <cellStyle name="Normalny 7 5 2" xfId="21184"/>
    <cellStyle name="Normalny 7 6" xfId="21185"/>
    <cellStyle name="Normalny 7 7" xfId="21186"/>
    <cellStyle name="Normalny 7 8" xfId="21187"/>
    <cellStyle name="Normalny 7 9" xfId="21188"/>
    <cellStyle name="Normalny 7_CHURN " xfId="21189"/>
    <cellStyle name="Normalny 70" xfId="21190"/>
    <cellStyle name="Normalny 70 2" xfId="21191"/>
    <cellStyle name="Normalny 71" xfId="21192"/>
    <cellStyle name="Normalny 71 2" xfId="21193"/>
    <cellStyle name="Normalny 72" xfId="21194"/>
    <cellStyle name="Normalny 72 2" xfId="21195"/>
    <cellStyle name="Normalny 73" xfId="21196"/>
    <cellStyle name="Normalny 73 2" xfId="21197"/>
    <cellStyle name="Normalny 74" xfId="21198"/>
    <cellStyle name="Normalny 74 2" xfId="21199"/>
    <cellStyle name="Normalny 75" xfId="21200"/>
    <cellStyle name="Normalny 75 2" xfId="21201"/>
    <cellStyle name="Normalny 76" xfId="21202"/>
    <cellStyle name="Normalny 76 2" xfId="21203"/>
    <cellStyle name="Normalny 77" xfId="21204"/>
    <cellStyle name="Normalny 77 2" xfId="21205"/>
    <cellStyle name="Normalny 78" xfId="21206"/>
    <cellStyle name="Normalny 78 2" xfId="21207"/>
    <cellStyle name="Normalny 79" xfId="21208"/>
    <cellStyle name="Normalny 79 2" xfId="21209"/>
    <cellStyle name="Normalny 8" xfId="21210"/>
    <cellStyle name="Normalny 8 10" xfId="21211"/>
    <cellStyle name="Normalny 8 11" xfId="21212"/>
    <cellStyle name="Normalny 8 12" xfId="21213"/>
    <cellStyle name="Normalny 8 13" xfId="21214"/>
    <cellStyle name="Normalny 8 13 2" xfId="21215"/>
    <cellStyle name="Normalny 8 14" xfId="21216"/>
    <cellStyle name="Normalny 8 2" xfId="21217"/>
    <cellStyle name="Normalny 8 2 10" xfId="21218"/>
    <cellStyle name="Normalny 8 2 11" xfId="21219"/>
    <cellStyle name="Normalny 8 2 12" xfId="21220"/>
    <cellStyle name="Normalny 8 2 13" xfId="21221"/>
    <cellStyle name="Normalny 8 2 14" xfId="21222"/>
    <cellStyle name="Normalny 8 2 15" xfId="21223"/>
    <cellStyle name="Normalny 8 2 16" xfId="21224"/>
    <cellStyle name="Normalny 8 2 17" xfId="21225"/>
    <cellStyle name="Normalny 8 2 18" xfId="21226"/>
    <cellStyle name="Normalny 8 2 19" xfId="21227"/>
    <cellStyle name="Normalny 8 2 2" xfId="21228"/>
    <cellStyle name="Normalny 8 2 2 2" xfId="21229"/>
    <cellStyle name="Normalny 8 2 20" xfId="21230"/>
    <cellStyle name="Normalny 8 2 21" xfId="21231"/>
    <cellStyle name="Normalny 8 2 22" xfId="21232"/>
    <cellStyle name="Normalny 8 2 23" xfId="21233"/>
    <cellStyle name="Normalny 8 2 24" xfId="21234"/>
    <cellStyle name="Normalny 8 2 3" xfId="21235"/>
    <cellStyle name="Normalny 8 2 4" xfId="21236"/>
    <cellStyle name="Normalny 8 2 5" xfId="21237"/>
    <cellStyle name="Normalny 8 2 6" xfId="21238"/>
    <cellStyle name="Normalny 8 2 7" xfId="21239"/>
    <cellStyle name="Normalny 8 2 8" xfId="21240"/>
    <cellStyle name="Normalny 8 2 9" xfId="21241"/>
    <cellStyle name="Normalny 8 3" xfId="21242"/>
    <cellStyle name="Normalny 8 3 2" xfId="21243"/>
    <cellStyle name="Normalny 8 3 2 2" xfId="21244"/>
    <cellStyle name="Normalny 8 3 3" xfId="21245"/>
    <cellStyle name="Normalny 8 3 4" xfId="21246"/>
    <cellStyle name="Normalny 8 3 5" xfId="21247"/>
    <cellStyle name="Normalny 8 4" xfId="21248"/>
    <cellStyle name="Normalny 8 4 2" xfId="21249"/>
    <cellStyle name="Normalny 8 5" xfId="21250"/>
    <cellStyle name="Normalny 8 5 2" xfId="21251"/>
    <cellStyle name="Normalny 8 6" xfId="21252"/>
    <cellStyle name="Normalny 8 7" xfId="21253"/>
    <cellStyle name="Normalny 8 8" xfId="21254"/>
    <cellStyle name="Normalny 8 9" xfId="21255"/>
    <cellStyle name="Normalny 8_CHURN " xfId="21256"/>
    <cellStyle name="Normalny 80" xfId="21257"/>
    <cellStyle name="Normalny 80 2" xfId="21258"/>
    <cellStyle name="Normalny 81" xfId="21259"/>
    <cellStyle name="Normalny 81 2" xfId="21260"/>
    <cellStyle name="Normalny 82" xfId="19"/>
    <cellStyle name="Normalny 82 2" xfId="21261"/>
    <cellStyle name="Normalny 83" xfId="21262"/>
    <cellStyle name="Normalny 83 2" xfId="21263"/>
    <cellStyle name="Normalny 84" xfId="21264"/>
    <cellStyle name="Normalny 84 2" xfId="21265"/>
    <cellStyle name="Normalny 85" xfId="21266"/>
    <cellStyle name="Normalny 85 2" xfId="21267"/>
    <cellStyle name="Normalny 86" xfId="21268"/>
    <cellStyle name="Normalny 86 2" xfId="21269"/>
    <cellStyle name="Normalny 87" xfId="21270"/>
    <cellStyle name="Normalny 87 2" xfId="21271"/>
    <cellStyle name="Normalny 88" xfId="21272"/>
    <cellStyle name="Normalny 88 2" xfId="21273"/>
    <cellStyle name="Normalny 89" xfId="21274"/>
    <cellStyle name="Normalny 89 2" xfId="21275"/>
    <cellStyle name="Normalny 9" xfId="21276"/>
    <cellStyle name="Normalny 9 2" xfId="21277"/>
    <cellStyle name="Normalny 9 2 2" xfId="21278"/>
    <cellStyle name="Normalny 9 3" xfId="21279"/>
    <cellStyle name="Normalny 9 3 2" xfId="21280"/>
    <cellStyle name="Normalny 9 4" xfId="21281"/>
    <cellStyle name="Normalny 9 5" xfId="21282"/>
    <cellStyle name="Normalny 9 5 2" xfId="21283"/>
    <cellStyle name="Normalny 9 6" xfId="21284"/>
    <cellStyle name="Normalny 90" xfId="21285"/>
    <cellStyle name="Normalny 90 2" xfId="21286"/>
    <cellStyle name="Normalny 91" xfId="21287"/>
    <cellStyle name="Normalny 91 2" xfId="21288"/>
    <cellStyle name="Normalny 92" xfId="21289"/>
    <cellStyle name="Normalny 92 2" xfId="21290"/>
    <cellStyle name="Normalny 93" xfId="21291"/>
    <cellStyle name="Normalny 93 2" xfId="21292"/>
    <cellStyle name="Normalny 94" xfId="21293"/>
    <cellStyle name="Normalny 94 2" xfId="21294"/>
    <cellStyle name="Normalny 95" xfId="21295"/>
    <cellStyle name="Normalny 95 2" xfId="21296"/>
    <cellStyle name="Normalny 96" xfId="21297"/>
    <cellStyle name="Normalny 96 2" xfId="21298"/>
    <cellStyle name="Normalny 97" xfId="21299"/>
    <cellStyle name="Normalny 97 2" xfId="21300"/>
    <cellStyle name="Normalny 98" xfId="21301"/>
    <cellStyle name="Normalny 98 2" xfId="21302"/>
    <cellStyle name="Normalny 99" xfId="21303"/>
    <cellStyle name="Normalny 99 2" xfId="21304"/>
    <cellStyle name="Note 2" xfId="21305"/>
    <cellStyle name="Note 3" xfId="21306"/>
    <cellStyle name="NoteMark" xfId="21307"/>
    <cellStyle name="Obliczenia 2" xfId="21308"/>
    <cellStyle name="Obliczenia 2 10" xfId="21309"/>
    <cellStyle name="Obliczenia 2 10 10" xfId="21310"/>
    <cellStyle name="Obliczenia 2 10 10 2" xfId="21311"/>
    <cellStyle name="Obliczenia 2 10 10 3" xfId="21312"/>
    <cellStyle name="Obliczenia 2 10 10 4" xfId="21313"/>
    <cellStyle name="Obliczenia 2 10 11" xfId="21314"/>
    <cellStyle name="Obliczenia 2 10 11 2" xfId="21315"/>
    <cellStyle name="Obliczenia 2 10 11 3" xfId="21316"/>
    <cellStyle name="Obliczenia 2 10 11 4" xfId="21317"/>
    <cellStyle name="Obliczenia 2 10 12" xfId="21318"/>
    <cellStyle name="Obliczenia 2 10 12 2" xfId="21319"/>
    <cellStyle name="Obliczenia 2 10 12 3" xfId="21320"/>
    <cellStyle name="Obliczenia 2 10 12 4" xfId="21321"/>
    <cellStyle name="Obliczenia 2 10 13" xfId="21322"/>
    <cellStyle name="Obliczenia 2 10 13 2" xfId="21323"/>
    <cellStyle name="Obliczenia 2 10 13 3" xfId="21324"/>
    <cellStyle name="Obliczenia 2 10 13 4" xfId="21325"/>
    <cellStyle name="Obliczenia 2 10 14" xfId="21326"/>
    <cellStyle name="Obliczenia 2 10 14 2" xfId="21327"/>
    <cellStyle name="Obliczenia 2 10 14 3" xfId="21328"/>
    <cellStyle name="Obliczenia 2 10 14 4" xfId="21329"/>
    <cellStyle name="Obliczenia 2 10 15" xfId="21330"/>
    <cellStyle name="Obliczenia 2 10 15 2" xfId="21331"/>
    <cellStyle name="Obliczenia 2 10 15 3" xfId="21332"/>
    <cellStyle name="Obliczenia 2 10 15 4" xfId="21333"/>
    <cellStyle name="Obliczenia 2 10 16" xfId="21334"/>
    <cellStyle name="Obliczenia 2 10 16 2" xfId="21335"/>
    <cellStyle name="Obliczenia 2 10 16 3" xfId="21336"/>
    <cellStyle name="Obliczenia 2 10 16 4" xfId="21337"/>
    <cellStyle name="Obliczenia 2 10 17" xfId="21338"/>
    <cellStyle name="Obliczenia 2 10 17 2" xfId="21339"/>
    <cellStyle name="Obliczenia 2 10 17 3" xfId="21340"/>
    <cellStyle name="Obliczenia 2 10 17 4" xfId="21341"/>
    <cellStyle name="Obliczenia 2 10 18" xfId="21342"/>
    <cellStyle name="Obliczenia 2 10 18 2" xfId="21343"/>
    <cellStyle name="Obliczenia 2 10 18 3" xfId="21344"/>
    <cellStyle name="Obliczenia 2 10 18 4" xfId="21345"/>
    <cellStyle name="Obliczenia 2 10 19" xfId="21346"/>
    <cellStyle name="Obliczenia 2 10 19 2" xfId="21347"/>
    <cellStyle name="Obliczenia 2 10 19 3" xfId="21348"/>
    <cellStyle name="Obliczenia 2 10 19 4" xfId="21349"/>
    <cellStyle name="Obliczenia 2 10 2" xfId="21350"/>
    <cellStyle name="Obliczenia 2 10 2 2" xfId="21351"/>
    <cellStyle name="Obliczenia 2 10 2 3" xfId="21352"/>
    <cellStyle name="Obliczenia 2 10 2 4" xfId="21353"/>
    <cellStyle name="Obliczenia 2 10 20" xfId="21354"/>
    <cellStyle name="Obliczenia 2 10 20 2" xfId="21355"/>
    <cellStyle name="Obliczenia 2 10 20 3" xfId="21356"/>
    <cellStyle name="Obliczenia 2 10 20 4" xfId="21357"/>
    <cellStyle name="Obliczenia 2 10 21" xfId="21358"/>
    <cellStyle name="Obliczenia 2 10 21 2" xfId="21359"/>
    <cellStyle name="Obliczenia 2 10 21 3" xfId="21360"/>
    <cellStyle name="Obliczenia 2 10 22" xfId="21361"/>
    <cellStyle name="Obliczenia 2 10 22 2" xfId="21362"/>
    <cellStyle name="Obliczenia 2 10 22 3" xfId="21363"/>
    <cellStyle name="Obliczenia 2 10 23" xfId="21364"/>
    <cellStyle name="Obliczenia 2 10 23 2" xfId="21365"/>
    <cellStyle name="Obliczenia 2 10 23 3" xfId="21366"/>
    <cellStyle name="Obliczenia 2 10 24" xfId="21367"/>
    <cellStyle name="Obliczenia 2 10 24 2" xfId="21368"/>
    <cellStyle name="Obliczenia 2 10 24 3" xfId="21369"/>
    <cellStyle name="Obliczenia 2 10 25" xfId="21370"/>
    <cellStyle name="Obliczenia 2 10 25 2" xfId="21371"/>
    <cellStyle name="Obliczenia 2 10 25 3" xfId="21372"/>
    <cellStyle name="Obliczenia 2 10 26" xfId="21373"/>
    <cellStyle name="Obliczenia 2 10 26 2" xfId="21374"/>
    <cellStyle name="Obliczenia 2 10 26 3" xfId="21375"/>
    <cellStyle name="Obliczenia 2 10 27" xfId="21376"/>
    <cellStyle name="Obliczenia 2 10 27 2" xfId="21377"/>
    <cellStyle name="Obliczenia 2 10 27 3" xfId="21378"/>
    <cellStyle name="Obliczenia 2 10 28" xfId="21379"/>
    <cellStyle name="Obliczenia 2 10 28 2" xfId="21380"/>
    <cellStyle name="Obliczenia 2 10 28 3" xfId="21381"/>
    <cellStyle name="Obliczenia 2 10 29" xfId="21382"/>
    <cellStyle name="Obliczenia 2 10 29 2" xfId="21383"/>
    <cellStyle name="Obliczenia 2 10 29 3" xfId="21384"/>
    <cellStyle name="Obliczenia 2 10 3" xfId="21385"/>
    <cellStyle name="Obliczenia 2 10 3 2" xfId="21386"/>
    <cellStyle name="Obliczenia 2 10 3 3" xfId="21387"/>
    <cellStyle name="Obliczenia 2 10 3 4" xfId="21388"/>
    <cellStyle name="Obliczenia 2 10 30" xfId="21389"/>
    <cellStyle name="Obliczenia 2 10 30 2" xfId="21390"/>
    <cellStyle name="Obliczenia 2 10 30 3" xfId="21391"/>
    <cellStyle name="Obliczenia 2 10 31" xfId="21392"/>
    <cellStyle name="Obliczenia 2 10 31 2" xfId="21393"/>
    <cellStyle name="Obliczenia 2 10 31 3" xfId="21394"/>
    <cellStyle name="Obliczenia 2 10 32" xfId="21395"/>
    <cellStyle name="Obliczenia 2 10 32 2" xfId="21396"/>
    <cellStyle name="Obliczenia 2 10 32 3" xfId="21397"/>
    <cellStyle name="Obliczenia 2 10 33" xfId="21398"/>
    <cellStyle name="Obliczenia 2 10 33 2" xfId="21399"/>
    <cellStyle name="Obliczenia 2 10 33 3" xfId="21400"/>
    <cellStyle name="Obliczenia 2 10 34" xfId="21401"/>
    <cellStyle name="Obliczenia 2 10 34 2" xfId="21402"/>
    <cellStyle name="Obliczenia 2 10 34 3" xfId="21403"/>
    <cellStyle name="Obliczenia 2 10 35" xfId="21404"/>
    <cellStyle name="Obliczenia 2 10 35 2" xfId="21405"/>
    <cellStyle name="Obliczenia 2 10 35 3" xfId="21406"/>
    <cellStyle name="Obliczenia 2 10 36" xfId="21407"/>
    <cellStyle name="Obliczenia 2 10 36 2" xfId="21408"/>
    <cellStyle name="Obliczenia 2 10 36 3" xfId="21409"/>
    <cellStyle name="Obliczenia 2 10 37" xfId="21410"/>
    <cellStyle name="Obliczenia 2 10 37 2" xfId="21411"/>
    <cellStyle name="Obliczenia 2 10 37 3" xfId="21412"/>
    <cellStyle name="Obliczenia 2 10 38" xfId="21413"/>
    <cellStyle name="Obliczenia 2 10 38 2" xfId="21414"/>
    <cellStyle name="Obliczenia 2 10 38 3" xfId="21415"/>
    <cellStyle name="Obliczenia 2 10 39" xfId="21416"/>
    <cellStyle name="Obliczenia 2 10 39 2" xfId="21417"/>
    <cellStyle name="Obliczenia 2 10 39 3" xfId="21418"/>
    <cellStyle name="Obliczenia 2 10 4" xfId="21419"/>
    <cellStyle name="Obliczenia 2 10 4 2" xfId="21420"/>
    <cellStyle name="Obliczenia 2 10 4 3" xfId="21421"/>
    <cellStyle name="Obliczenia 2 10 4 4" xfId="21422"/>
    <cellStyle name="Obliczenia 2 10 40" xfId="21423"/>
    <cellStyle name="Obliczenia 2 10 40 2" xfId="21424"/>
    <cellStyle name="Obliczenia 2 10 40 3" xfId="21425"/>
    <cellStyle name="Obliczenia 2 10 41" xfId="21426"/>
    <cellStyle name="Obliczenia 2 10 41 2" xfId="21427"/>
    <cellStyle name="Obliczenia 2 10 41 3" xfId="21428"/>
    <cellStyle name="Obliczenia 2 10 42" xfId="21429"/>
    <cellStyle name="Obliczenia 2 10 42 2" xfId="21430"/>
    <cellStyle name="Obliczenia 2 10 42 3" xfId="21431"/>
    <cellStyle name="Obliczenia 2 10 43" xfId="21432"/>
    <cellStyle name="Obliczenia 2 10 43 2" xfId="21433"/>
    <cellStyle name="Obliczenia 2 10 43 3" xfId="21434"/>
    <cellStyle name="Obliczenia 2 10 44" xfId="21435"/>
    <cellStyle name="Obliczenia 2 10 44 2" xfId="21436"/>
    <cellStyle name="Obliczenia 2 10 44 3" xfId="21437"/>
    <cellStyle name="Obliczenia 2 10 45" xfId="21438"/>
    <cellStyle name="Obliczenia 2 10 45 2" xfId="21439"/>
    <cellStyle name="Obliczenia 2 10 45 3" xfId="21440"/>
    <cellStyle name="Obliczenia 2 10 46" xfId="21441"/>
    <cellStyle name="Obliczenia 2 10 46 2" xfId="21442"/>
    <cellStyle name="Obliczenia 2 10 46 3" xfId="21443"/>
    <cellStyle name="Obliczenia 2 10 47" xfId="21444"/>
    <cellStyle name="Obliczenia 2 10 47 2" xfId="21445"/>
    <cellStyle name="Obliczenia 2 10 47 3" xfId="21446"/>
    <cellStyle name="Obliczenia 2 10 48" xfId="21447"/>
    <cellStyle name="Obliczenia 2 10 48 2" xfId="21448"/>
    <cellStyle name="Obliczenia 2 10 48 3" xfId="21449"/>
    <cellStyle name="Obliczenia 2 10 49" xfId="21450"/>
    <cellStyle name="Obliczenia 2 10 49 2" xfId="21451"/>
    <cellStyle name="Obliczenia 2 10 49 3" xfId="21452"/>
    <cellStyle name="Obliczenia 2 10 5" xfId="21453"/>
    <cellStyle name="Obliczenia 2 10 5 2" xfId="21454"/>
    <cellStyle name="Obliczenia 2 10 5 3" xfId="21455"/>
    <cellStyle name="Obliczenia 2 10 5 4" xfId="21456"/>
    <cellStyle name="Obliczenia 2 10 50" xfId="21457"/>
    <cellStyle name="Obliczenia 2 10 50 2" xfId="21458"/>
    <cellStyle name="Obliczenia 2 10 50 3" xfId="21459"/>
    <cellStyle name="Obliczenia 2 10 51" xfId="21460"/>
    <cellStyle name="Obliczenia 2 10 51 2" xfId="21461"/>
    <cellStyle name="Obliczenia 2 10 51 3" xfId="21462"/>
    <cellStyle name="Obliczenia 2 10 52" xfId="21463"/>
    <cellStyle name="Obliczenia 2 10 52 2" xfId="21464"/>
    <cellStyle name="Obliczenia 2 10 52 3" xfId="21465"/>
    <cellStyle name="Obliczenia 2 10 53" xfId="21466"/>
    <cellStyle name="Obliczenia 2 10 53 2" xfId="21467"/>
    <cellStyle name="Obliczenia 2 10 53 3" xfId="21468"/>
    <cellStyle name="Obliczenia 2 10 54" xfId="21469"/>
    <cellStyle name="Obliczenia 2 10 54 2" xfId="21470"/>
    <cellStyle name="Obliczenia 2 10 54 3" xfId="21471"/>
    <cellStyle name="Obliczenia 2 10 55" xfId="21472"/>
    <cellStyle name="Obliczenia 2 10 55 2" xfId="21473"/>
    <cellStyle name="Obliczenia 2 10 55 3" xfId="21474"/>
    <cellStyle name="Obliczenia 2 10 56" xfId="21475"/>
    <cellStyle name="Obliczenia 2 10 56 2" xfId="21476"/>
    <cellStyle name="Obliczenia 2 10 56 3" xfId="21477"/>
    <cellStyle name="Obliczenia 2 10 57" xfId="21478"/>
    <cellStyle name="Obliczenia 2 10 58" xfId="21479"/>
    <cellStyle name="Obliczenia 2 10 6" xfId="21480"/>
    <cellStyle name="Obliczenia 2 10 6 2" xfId="21481"/>
    <cellStyle name="Obliczenia 2 10 6 3" xfId="21482"/>
    <cellStyle name="Obliczenia 2 10 6 4" xfId="21483"/>
    <cellStyle name="Obliczenia 2 10 7" xfId="21484"/>
    <cellStyle name="Obliczenia 2 10 7 2" xfId="21485"/>
    <cellStyle name="Obliczenia 2 10 7 3" xfId="21486"/>
    <cellStyle name="Obliczenia 2 10 7 4" xfId="21487"/>
    <cellStyle name="Obliczenia 2 10 8" xfId="21488"/>
    <cellStyle name="Obliczenia 2 10 8 2" xfId="21489"/>
    <cellStyle name="Obliczenia 2 10 8 3" xfId="21490"/>
    <cellStyle name="Obliczenia 2 10 8 4" xfId="21491"/>
    <cellStyle name="Obliczenia 2 10 9" xfId="21492"/>
    <cellStyle name="Obliczenia 2 10 9 2" xfId="21493"/>
    <cellStyle name="Obliczenia 2 10 9 3" xfId="21494"/>
    <cellStyle name="Obliczenia 2 10 9 4" xfId="21495"/>
    <cellStyle name="Obliczenia 2 11" xfId="21496"/>
    <cellStyle name="Obliczenia 2 11 10" xfId="21497"/>
    <cellStyle name="Obliczenia 2 11 10 2" xfId="21498"/>
    <cellStyle name="Obliczenia 2 11 10 3" xfId="21499"/>
    <cellStyle name="Obliczenia 2 11 10 4" xfId="21500"/>
    <cellStyle name="Obliczenia 2 11 11" xfId="21501"/>
    <cellStyle name="Obliczenia 2 11 11 2" xfId="21502"/>
    <cellStyle name="Obliczenia 2 11 11 3" xfId="21503"/>
    <cellStyle name="Obliczenia 2 11 11 4" xfId="21504"/>
    <cellStyle name="Obliczenia 2 11 12" xfId="21505"/>
    <cellStyle name="Obliczenia 2 11 12 2" xfId="21506"/>
    <cellStyle name="Obliczenia 2 11 12 3" xfId="21507"/>
    <cellStyle name="Obliczenia 2 11 12 4" xfId="21508"/>
    <cellStyle name="Obliczenia 2 11 13" xfId="21509"/>
    <cellStyle name="Obliczenia 2 11 13 2" xfId="21510"/>
    <cellStyle name="Obliczenia 2 11 13 3" xfId="21511"/>
    <cellStyle name="Obliczenia 2 11 13 4" xfId="21512"/>
    <cellStyle name="Obliczenia 2 11 14" xfId="21513"/>
    <cellStyle name="Obliczenia 2 11 14 2" xfId="21514"/>
    <cellStyle name="Obliczenia 2 11 14 3" xfId="21515"/>
    <cellStyle name="Obliczenia 2 11 14 4" xfId="21516"/>
    <cellStyle name="Obliczenia 2 11 15" xfId="21517"/>
    <cellStyle name="Obliczenia 2 11 15 2" xfId="21518"/>
    <cellStyle name="Obliczenia 2 11 15 3" xfId="21519"/>
    <cellStyle name="Obliczenia 2 11 15 4" xfId="21520"/>
    <cellStyle name="Obliczenia 2 11 16" xfId="21521"/>
    <cellStyle name="Obliczenia 2 11 16 2" xfId="21522"/>
    <cellStyle name="Obliczenia 2 11 16 3" xfId="21523"/>
    <cellStyle name="Obliczenia 2 11 16 4" xfId="21524"/>
    <cellStyle name="Obliczenia 2 11 17" xfId="21525"/>
    <cellStyle name="Obliczenia 2 11 17 2" xfId="21526"/>
    <cellStyle name="Obliczenia 2 11 17 3" xfId="21527"/>
    <cellStyle name="Obliczenia 2 11 17 4" xfId="21528"/>
    <cellStyle name="Obliczenia 2 11 18" xfId="21529"/>
    <cellStyle name="Obliczenia 2 11 18 2" xfId="21530"/>
    <cellStyle name="Obliczenia 2 11 18 3" xfId="21531"/>
    <cellStyle name="Obliczenia 2 11 18 4" xfId="21532"/>
    <cellStyle name="Obliczenia 2 11 19" xfId="21533"/>
    <cellStyle name="Obliczenia 2 11 19 2" xfId="21534"/>
    <cellStyle name="Obliczenia 2 11 19 3" xfId="21535"/>
    <cellStyle name="Obliczenia 2 11 19 4" xfId="21536"/>
    <cellStyle name="Obliczenia 2 11 2" xfId="21537"/>
    <cellStyle name="Obliczenia 2 11 2 2" xfId="21538"/>
    <cellStyle name="Obliczenia 2 11 2 3" xfId="21539"/>
    <cellStyle name="Obliczenia 2 11 2 4" xfId="21540"/>
    <cellStyle name="Obliczenia 2 11 20" xfId="21541"/>
    <cellStyle name="Obliczenia 2 11 20 2" xfId="21542"/>
    <cellStyle name="Obliczenia 2 11 20 3" xfId="21543"/>
    <cellStyle name="Obliczenia 2 11 20 4" xfId="21544"/>
    <cellStyle name="Obliczenia 2 11 21" xfId="21545"/>
    <cellStyle name="Obliczenia 2 11 21 2" xfId="21546"/>
    <cellStyle name="Obliczenia 2 11 21 3" xfId="21547"/>
    <cellStyle name="Obliczenia 2 11 22" xfId="21548"/>
    <cellStyle name="Obliczenia 2 11 22 2" xfId="21549"/>
    <cellStyle name="Obliczenia 2 11 22 3" xfId="21550"/>
    <cellStyle name="Obliczenia 2 11 23" xfId="21551"/>
    <cellStyle name="Obliczenia 2 11 23 2" xfId="21552"/>
    <cellStyle name="Obliczenia 2 11 23 3" xfId="21553"/>
    <cellStyle name="Obliczenia 2 11 24" xfId="21554"/>
    <cellStyle name="Obliczenia 2 11 24 2" xfId="21555"/>
    <cellStyle name="Obliczenia 2 11 24 3" xfId="21556"/>
    <cellStyle name="Obliczenia 2 11 25" xfId="21557"/>
    <cellStyle name="Obliczenia 2 11 25 2" xfId="21558"/>
    <cellStyle name="Obliczenia 2 11 25 3" xfId="21559"/>
    <cellStyle name="Obliczenia 2 11 26" xfId="21560"/>
    <cellStyle name="Obliczenia 2 11 26 2" xfId="21561"/>
    <cellStyle name="Obliczenia 2 11 26 3" xfId="21562"/>
    <cellStyle name="Obliczenia 2 11 27" xfId="21563"/>
    <cellStyle name="Obliczenia 2 11 27 2" xfId="21564"/>
    <cellStyle name="Obliczenia 2 11 27 3" xfId="21565"/>
    <cellStyle name="Obliczenia 2 11 28" xfId="21566"/>
    <cellStyle name="Obliczenia 2 11 28 2" xfId="21567"/>
    <cellStyle name="Obliczenia 2 11 28 3" xfId="21568"/>
    <cellStyle name="Obliczenia 2 11 29" xfId="21569"/>
    <cellStyle name="Obliczenia 2 11 29 2" xfId="21570"/>
    <cellStyle name="Obliczenia 2 11 29 3" xfId="21571"/>
    <cellStyle name="Obliczenia 2 11 3" xfId="21572"/>
    <cellStyle name="Obliczenia 2 11 3 2" xfId="21573"/>
    <cellStyle name="Obliczenia 2 11 3 3" xfId="21574"/>
    <cellStyle name="Obliczenia 2 11 3 4" xfId="21575"/>
    <cellStyle name="Obliczenia 2 11 30" xfId="21576"/>
    <cellStyle name="Obliczenia 2 11 30 2" xfId="21577"/>
    <cellStyle name="Obliczenia 2 11 30 3" xfId="21578"/>
    <cellStyle name="Obliczenia 2 11 31" xfId="21579"/>
    <cellStyle name="Obliczenia 2 11 31 2" xfId="21580"/>
    <cellStyle name="Obliczenia 2 11 31 3" xfId="21581"/>
    <cellStyle name="Obliczenia 2 11 32" xfId="21582"/>
    <cellStyle name="Obliczenia 2 11 32 2" xfId="21583"/>
    <cellStyle name="Obliczenia 2 11 32 3" xfId="21584"/>
    <cellStyle name="Obliczenia 2 11 33" xfId="21585"/>
    <cellStyle name="Obliczenia 2 11 33 2" xfId="21586"/>
    <cellStyle name="Obliczenia 2 11 33 3" xfId="21587"/>
    <cellStyle name="Obliczenia 2 11 34" xfId="21588"/>
    <cellStyle name="Obliczenia 2 11 34 2" xfId="21589"/>
    <cellStyle name="Obliczenia 2 11 34 3" xfId="21590"/>
    <cellStyle name="Obliczenia 2 11 35" xfId="21591"/>
    <cellStyle name="Obliczenia 2 11 35 2" xfId="21592"/>
    <cellStyle name="Obliczenia 2 11 35 3" xfId="21593"/>
    <cellStyle name="Obliczenia 2 11 36" xfId="21594"/>
    <cellStyle name="Obliczenia 2 11 36 2" xfId="21595"/>
    <cellStyle name="Obliczenia 2 11 36 3" xfId="21596"/>
    <cellStyle name="Obliczenia 2 11 37" xfId="21597"/>
    <cellStyle name="Obliczenia 2 11 37 2" xfId="21598"/>
    <cellStyle name="Obliczenia 2 11 37 3" xfId="21599"/>
    <cellStyle name="Obliczenia 2 11 38" xfId="21600"/>
    <cellStyle name="Obliczenia 2 11 38 2" xfId="21601"/>
    <cellStyle name="Obliczenia 2 11 38 3" xfId="21602"/>
    <cellStyle name="Obliczenia 2 11 39" xfId="21603"/>
    <cellStyle name="Obliczenia 2 11 39 2" xfId="21604"/>
    <cellStyle name="Obliczenia 2 11 39 3" xfId="21605"/>
    <cellStyle name="Obliczenia 2 11 4" xfId="21606"/>
    <cellStyle name="Obliczenia 2 11 4 2" xfId="21607"/>
    <cellStyle name="Obliczenia 2 11 4 3" xfId="21608"/>
    <cellStyle name="Obliczenia 2 11 4 4" xfId="21609"/>
    <cellStyle name="Obliczenia 2 11 40" xfId="21610"/>
    <cellStyle name="Obliczenia 2 11 40 2" xfId="21611"/>
    <cellStyle name="Obliczenia 2 11 40 3" xfId="21612"/>
    <cellStyle name="Obliczenia 2 11 41" xfId="21613"/>
    <cellStyle name="Obliczenia 2 11 41 2" xfId="21614"/>
    <cellStyle name="Obliczenia 2 11 41 3" xfId="21615"/>
    <cellStyle name="Obliczenia 2 11 42" xfId="21616"/>
    <cellStyle name="Obliczenia 2 11 42 2" xfId="21617"/>
    <cellStyle name="Obliczenia 2 11 42 3" xfId="21618"/>
    <cellStyle name="Obliczenia 2 11 43" xfId="21619"/>
    <cellStyle name="Obliczenia 2 11 43 2" xfId="21620"/>
    <cellStyle name="Obliczenia 2 11 43 3" xfId="21621"/>
    <cellStyle name="Obliczenia 2 11 44" xfId="21622"/>
    <cellStyle name="Obliczenia 2 11 44 2" xfId="21623"/>
    <cellStyle name="Obliczenia 2 11 44 3" xfId="21624"/>
    <cellStyle name="Obliczenia 2 11 45" xfId="21625"/>
    <cellStyle name="Obliczenia 2 11 45 2" xfId="21626"/>
    <cellStyle name="Obliczenia 2 11 45 3" xfId="21627"/>
    <cellStyle name="Obliczenia 2 11 46" xfId="21628"/>
    <cellStyle name="Obliczenia 2 11 46 2" xfId="21629"/>
    <cellStyle name="Obliczenia 2 11 46 3" xfId="21630"/>
    <cellStyle name="Obliczenia 2 11 47" xfId="21631"/>
    <cellStyle name="Obliczenia 2 11 47 2" xfId="21632"/>
    <cellStyle name="Obliczenia 2 11 47 3" xfId="21633"/>
    <cellStyle name="Obliczenia 2 11 48" xfId="21634"/>
    <cellStyle name="Obliczenia 2 11 48 2" xfId="21635"/>
    <cellStyle name="Obliczenia 2 11 48 3" xfId="21636"/>
    <cellStyle name="Obliczenia 2 11 49" xfId="21637"/>
    <cellStyle name="Obliczenia 2 11 49 2" xfId="21638"/>
    <cellStyle name="Obliczenia 2 11 49 3" xfId="21639"/>
    <cellStyle name="Obliczenia 2 11 5" xfId="21640"/>
    <cellStyle name="Obliczenia 2 11 5 2" xfId="21641"/>
    <cellStyle name="Obliczenia 2 11 5 3" xfId="21642"/>
    <cellStyle name="Obliczenia 2 11 5 4" xfId="21643"/>
    <cellStyle name="Obliczenia 2 11 50" xfId="21644"/>
    <cellStyle name="Obliczenia 2 11 50 2" xfId="21645"/>
    <cellStyle name="Obliczenia 2 11 50 3" xfId="21646"/>
    <cellStyle name="Obliczenia 2 11 51" xfId="21647"/>
    <cellStyle name="Obliczenia 2 11 51 2" xfId="21648"/>
    <cellStyle name="Obliczenia 2 11 51 3" xfId="21649"/>
    <cellStyle name="Obliczenia 2 11 52" xfId="21650"/>
    <cellStyle name="Obliczenia 2 11 52 2" xfId="21651"/>
    <cellStyle name="Obliczenia 2 11 52 3" xfId="21652"/>
    <cellStyle name="Obliczenia 2 11 53" xfId="21653"/>
    <cellStyle name="Obliczenia 2 11 53 2" xfId="21654"/>
    <cellStyle name="Obliczenia 2 11 53 3" xfId="21655"/>
    <cellStyle name="Obliczenia 2 11 54" xfId="21656"/>
    <cellStyle name="Obliczenia 2 11 54 2" xfId="21657"/>
    <cellStyle name="Obliczenia 2 11 54 3" xfId="21658"/>
    <cellStyle name="Obliczenia 2 11 55" xfId="21659"/>
    <cellStyle name="Obliczenia 2 11 55 2" xfId="21660"/>
    <cellStyle name="Obliczenia 2 11 55 3" xfId="21661"/>
    <cellStyle name="Obliczenia 2 11 56" xfId="21662"/>
    <cellStyle name="Obliczenia 2 11 56 2" xfId="21663"/>
    <cellStyle name="Obliczenia 2 11 56 3" xfId="21664"/>
    <cellStyle name="Obliczenia 2 11 57" xfId="21665"/>
    <cellStyle name="Obliczenia 2 11 58" xfId="21666"/>
    <cellStyle name="Obliczenia 2 11 6" xfId="21667"/>
    <cellStyle name="Obliczenia 2 11 6 2" xfId="21668"/>
    <cellStyle name="Obliczenia 2 11 6 3" xfId="21669"/>
    <cellStyle name="Obliczenia 2 11 6 4" xfId="21670"/>
    <cellStyle name="Obliczenia 2 11 7" xfId="21671"/>
    <cellStyle name="Obliczenia 2 11 7 2" xfId="21672"/>
    <cellStyle name="Obliczenia 2 11 7 3" xfId="21673"/>
    <cellStyle name="Obliczenia 2 11 7 4" xfId="21674"/>
    <cellStyle name="Obliczenia 2 11 8" xfId="21675"/>
    <cellStyle name="Obliczenia 2 11 8 2" xfId="21676"/>
    <cellStyle name="Obliczenia 2 11 8 3" xfId="21677"/>
    <cellStyle name="Obliczenia 2 11 8 4" xfId="21678"/>
    <cellStyle name="Obliczenia 2 11 9" xfId="21679"/>
    <cellStyle name="Obliczenia 2 11 9 2" xfId="21680"/>
    <cellStyle name="Obliczenia 2 11 9 3" xfId="21681"/>
    <cellStyle name="Obliczenia 2 11 9 4" xfId="21682"/>
    <cellStyle name="Obliczenia 2 12" xfId="21683"/>
    <cellStyle name="Obliczenia 2 12 10" xfId="21684"/>
    <cellStyle name="Obliczenia 2 12 10 2" xfId="21685"/>
    <cellStyle name="Obliczenia 2 12 10 3" xfId="21686"/>
    <cellStyle name="Obliczenia 2 12 10 4" xfId="21687"/>
    <cellStyle name="Obliczenia 2 12 11" xfId="21688"/>
    <cellStyle name="Obliczenia 2 12 11 2" xfId="21689"/>
    <cellStyle name="Obliczenia 2 12 11 3" xfId="21690"/>
    <cellStyle name="Obliczenia 2 12 11 4" xfId="21691"/>
    <cellStyle name="Obliczenia 2 12 12" xfId="21692"/>
    <cellStyle name="Obliczenia 2 12 12 2" xfId="21693"/>
    <cellStyle name="Obliczenia 2 12 12 3" xfId="21694"/>
    <cellStyle name="Obliczenia 2 12 12 4" xfId="21695"/>
    <cellStyle name="Obliczenia 2 12 13" xfId="21696"/>
    <cellStyle name="Obliczenia 2 12 13 2" xfId="21697"/>
    <cellStyle name="Obliczenia 2 12 13 3" xfId="21698"/>
    <cellStyle name="Obliczenia 2 12 13 4" xfId="21699"/>
    <cellStyle name="Obliczenia 2 12 14" xfId="21700"/>
    <cellStyle name="Obliczenia 2 12 14 2" xfId="21701"/>
    <cellStyle name="Obliczenia 2 12 14 3" xfId="21702"/>
    <cellStyle name="Obliczenia 2 12 14 4" xfId="21703"/>
    <cellStyle name="Obliczenia 2 12 15" xfId="21704"/>
    <cellStyle name="Obliczenia 2 12 15 2" xfId="21705"/>
    <cellStyle name="Obliczenia 2 12 15 3" xfId="21706"/>
    <cellStyle name="Obliczenia 2 12 15 4" xfId="21707"/>
    <cellStyle name="Obliczenia 2 12 16" xfId="21708"/>
    <cellStyle name="Obliczenia 2 12 16 2" xfId="21709"/>
    <cellStyle name="Obliczenia 2 12 16 3" xfId="21710"/>
    <cellStyle name="Obliczenia 2 12 16 4" xfId="21711"/>
    <cellStyle name="Obliczenia 2 12 17" xfId="21712"/>
    <cellStyle name="Obliczenia 2 12 17 2" xfId="21713"/>
    <cellStyle name="Obliczenia 2 12 17 3" xfId="21714"/>
    <cellStyle name="Obliczenia 2 12 17 4" xfId="21715"/>
    <cellStyle name="Obliczenia 2 12 18" xfId="21716"/>
    <cellStyle name="Obliczenia 2 12 18 2" xfId="21717"/>
    <cellStyle name="Obliczenia 2 12 18 3" xfId="21718"/>
    <cellStyle name="Obliczenia 2 12 18 4" xfId="21719"/>
    <cellStyle name="Obliczenia 2 12 19" xfId="21720"/>
    <cellStyle name="Obliczenia 2 12 19 2" xfId="21721"/>
    <cellStyle name="Obliczenia 2 12 19 3" xfId="21722"/>
    <cellStyle name="Obliczenia 2 12 19 4" xfId="21723"/>
    <cellStyle name="Obliczenia 2 12 2" xfId="21724"/>
    <cellStyle name="Obliczenia 2 12 2 2" xfId="21725"/>
    <cellStyle name="Obliczenia 2 12 2 3" xfId="21726"/>
    <cellStyle name="Obliczenia 2 12 2 4" xfId="21727"/>
    <cellStyle name="Obliczenia 2 12 20" xfId="21728"/>
    <cellStyle name="Obliczenia 2 12 20 2" xfId="21729"/>
    <cellStyle name="Obliczenia 2 12 20 3" xfId="21730"/>
    <cellStyle name="Obliczenia 2 12 20 4" xfId="21731"/>
    <cellStyle name="Obliczenia 2 12 21" xfId="21732"/>
    <cellStyle name="Obliczenia 2 12 21 2" xfId="21733"/>
    <cellStyle name="Obliczenia 2 12 21 3" xfId="21734"/>
    <cellStyle name="Obliczenia 2 12 22" xfId="21735"/>
    <cellStyle name="Obliczenia 2 12 22 2" xfId="21736"/>
    <cellStyle name="Obliczenia 2 12 22 3" xfId="21737"/>
    <cellStyle name="Obliczenia 2 12 23" xfId="21738"/>
    <cellStyle name="Obliczenia 2 12 23 2" xfId="21739"/>
    <cellStyle name="Obliczenia 2 12 23 3" xfId="21740"/>
    <cellStyle name="Obliczenia 2 12 24" xfId="21741"/>
    <cellStyle name="Obliczenia 2 12 24 2" xfId="21742"/>
    <cellStyle name="Obliczenia 2 12 24 3" xfId="21743"/>
    <cellStyle name="Obliczenia 2 12 25" xfId="21744"/>
    <cellStyle name="Obliczenia 2 12 25 2" xfId="21745"/>
    <cellStyle name="Obliczenia 2 12 25 3" xfId="21746"/>
    <cellStyle name="Obliczenia 2 12 26" xfId="21747"/>
    <cellStyle name="Obliczenia 2 12 26 2" xfId="21748"/>
    <cellStyle name="Obliczenia 2 12 26 3" xfId="21749"/>
    <cellStyle name="Obliczenia 2 12 27" xfId="21750"/>
    <cellStyle name="Obliczenia 2 12 27 2" xfId="21751"/>
    <cellStyle name="Obliczenia 2 12 27 3" xfId="21752"/>
    <cellStyle name="Obliczenia 2 12 28" xfId="21753"/>
    <cellStyle name="Obliczenia 2 12 28 2" xfId="21754"/>
    <cellStyle name="Obliczenia 2 12 28 3" xfId="21755"/>
    <cellStyle name="Obliczenia 2 12 29" xfId="21756"/>
    <cellStyle name="Obliczenia 2 12 29 2" xfId="21757"/>
    <cellStyle name="Obliczenia 2 12 29 3" xfId="21758"/>
    <cellStyle name="Obliczenia 2 12 3" xfId="21759"/>
    <cellStyle name="Obliczenia 2 12 3 2" xfId="21760"/>
    <cellStyle name="Obliczenia 2 12 3 3" xfId="21761"/>
    <cellStyle name="Obliczenia 2 12 3 4" xfId="21762"/>
    <cellStyle name="Obliczenia 2 12 30" xfId="21763"/>
    <cellStyle name="Obliczenia 2 12 30 2" xfId="21764"/>
    <cellStyle name="Obliczenia 2 12 30 3" xfId="21765"/>
    <cellStyle name="Obliczenia 2 12 31" xfId="21766"/>
    <cellStyle name="Obliczenia 2 12 31 2" xfId="21767"/>
    <cellStyle name="Obliczenia 2 12 31 3" xfId="21768"/>
    <cellStyle name="Obliczenia 2 12 32" xfId="21769"/>
    <cellStyle name="Obliczenia 2 12 32 2" xfId="21770"/>
    <cellStyle name="Obliczenia 2 12 32 3" xfId="21771"/>
    <cellStyle name="Obliczenia 2 12 33" xfId="21772"/>
    <cellStyle name="Obliczenia 2 12 33 2" xfId="21773"/>
    <cellStyle name="Obliczenia 2 12 33 3" xfId="21774"/>
    <cellStyle name="Obliczenia 2 12 34" xfId="21775"/>
    <cellStyle name="Obliczenia 2 12 34 2" xfId="21776"/>
    <cellStyle name="Obliczenia 2 12 34 3" xfId="21777"/>
    <cellStyle name="Obliczenia 2 12 35" xfId="21778"/>
    <cellStyle name="Obliczenia 2 12 35 2" xfId="21779"/>
    <cellStyle name="Obliczenia 2 12 35 3" xfId="21780"/>
    <cellStyle name="Obliczenia 2 12 36" xfId="21781"/>
    <cellStyle name="Obliczenia 2 12 36 2" xfId="21782"/>
    <cellStyle name="Obliczenia 2 12 36 3" xfId="21783"/>
    <cellStyle name="Obliczenia 2 12 37" xfId="21784"/>
    <cellStyle name="Obliczenia 2 12 37 2" xfId="21785"/>
    <cellStyle name="Obliczenia 2 12 37 3" xfId="21786"/>
    <cellStyle name="Obliczenia 2 12 38" xfId="21787"/>
    <cellStyle name="Obliczenia 2 12 38 2" xfId="21788"/>
    <cellStyle name="Obliczenia 2 12 38 3" xfId="21789"/>
    <cellStyle name="Obliczenia 2 12 39" xfId="21790"/>
    <cellStyle name="Obliczenia 2 12 39 2" xfId="21791"/>
    <cellStyle name="Obliczenia 2 12 39 3" xfId="21792"/>
    <cellStyle name="Obliczenia 2 12 4" xfId="21793"/>
    <cellStyle name="Obliczenia 2 12 4 2" xfId="21794"/>
    <cellStyle name="Obliczenia 2 12 4 3" xfId="21795"/>
    <cellStyle name="Obliczenia 2 12 4 4" xfId="21796"/>
    <cellStyle name="Obliczenia 2 12 40" xfId="21797"/>
    <cellStyle name="Obliczenia 2 12 40 2" xfId="21798"/>
    <cellStyle name="Obliczenia 2 12 40 3" xfId="21799"/>
    <cellStyle name="Obliczenia 2 12 41" xfId="21800"/>
    <cellStyle name="Obliczenia 2 12 41 2" xfId="21801"/>
    <cellStyle name="Obliczenia 2 12 41 3" xfId="21802"/>
    <cellStyle name="Obliczenia 2 12 42" xfId="21803"/>
    <cellStyle name="Obliczenia 2 12 42 2" xfId="21804"/>
    <cellStyle name="Obliczenia 2 12 42 3" xfId="21805"/>
    <cellStyle name="Obliczenia 2 12 43" xfId="21806"/>
    <cellStyle name="Obliczenia 2 12 43 2" xfId="21807"/>
    <cellStyle name="Obliczenia 2 12 43 3" xfId="21808"/>
    <cellStyle name="Obliczenia 2 12 44" xfId="21809"/>
    <cellStyle name="Obliczenia 2 12 44 2" xfId="21810"/>
    <cellStyle name="Obliczenia 2 12 44 3" xfId="21811"/>
    <cellStyle name="Obliczenia 2 12 45" xfId="21812"/>
    <cellStyle name="Obliczenia 2 12 45 2" xfId="21813"/>
    <cellStyle name="Obliczenia 2 12 45 3" xfId="21814"/>
    <cellStyle name="Obliczenia 2 12 46" xfId="21815"/>
    <cellStyle name="Obliczenia 2 12 46 2" xfId="21816"/>
    <cellStyle name="Obliczenia 2 12 46 3" xfId="21817"/>
    <cellStyle name="Obliczenia 2 12 47" xfId="21818"/>
    <cellStyle name="Obliczenia 2 12 47 2" xfId="21819"/>
    <cellStyle name="Obliczenia 2 12 47 3" xfId="21820"/>
    <cellStyle name="Obliczenia 2 12 48" xfId="21821"/>
    <cellStyle name="Obliczenia 2 12 48 2" xfId="21822"/>
    <cellStyle name="Obliczenia 2 12 48 3" xfId="21823"/>
    <cellStyle name="Obliczenia 2 12 49" xfId="21824"/>
    <cellStyle name="Obliczenia 2 12 49 2" xfId="21825"/>
    <cellStyle name="Obliczenia 2 12 49 3" xfId="21826"/>
    <cellStyle name="Obliczenia 2 12 5" xfId="21827"/>
    <cellStyle name="Obliczenia 2 12 5 2" xfId="21828"/>
    <cellStyle name="Obliczenia 2 12 5 3" xfId="21829"/>
    <cellStyle name="Obliczenia 2 12 5 4" xfId="21830"/>
    <cellStyle name="Obliczenia 2 12 50" xfId="21831"/>
    <cellStyle name="Obliczenia 2 12 50 2" xfId="21832"/>
    <cellStyle name="Obliczenia 2 12 50 3" xfId="21833"/>
    <cellStyle name="Obliczenia 2 12 51" xfId="21834"/>
    <cellStyle name="Obliczenia 2 12 51 2" xfId="21835"/>
    <cellStyle name="Obliczenia 2 12 51 3" xfId="21836"/>
    <cellStyle name="Obliczenia 2 12 52" xfId="21837"/>
    <cellStyle name="Obliczenia 2 12 52 2" xfId="21838"/>
    <cellStyle name="Obliczenia 2 12 52 3" xfId="21839"/>
    <cellStyle name="Obliczenia 2 12 53" xfId="21840"/>
    <cellStyle name="Obliczenia 2 12 53 2" xfId="21841"/>
    <cellStyle name="Obliczenia 2 12 53 3" xfId="21842"/>
    <cellStyle name="Obliczenia 2 12 54" xfId="21843"/>
    <cellStyle name="Obliczenia 2 12 54 2" xfId="21844"/>
    <cellStyle name="Obliczenia 2 12 54 3" xfId="21845"/>
    <cellStyle name="Obliczenia 2 12 55" xfId="21846"/>
    <cellStyle name="Obliczenia 2 12 55 2" xfId="21847"/>
    <cellStyle name="Obliczenia 2 12 55 3" xfId="21848"/>
    <cellStyle name="Obliczenia 2 12 56" xfId="21849"/>
    <cellStyle name="Obliczenia 2 12 56 2" xfId="21850"/>
    <cellStyle name="Obliczenia 2 12 56 3" xfId="21851"/>
    <cellStyle name="Obliczenia 2 12 57" xfId="21852"/>
    <cellStyle name="Obliczenia 2 12 58" xfId="21853"/>
    <cellStyle name="Obliczenia 2 12 6" xfId="21854"/>
    <cellStyle name="Obliczenia 2 12 6 2" xfId="21855"/>
    <cellStyle name="Obliczenia 2 12 6 3" xfId="21856"/>
    <cellStyle name="Obliczenia 2 12 6 4" xfId="21857"/>
    <cellStyle name="Obliczenia 2 12 7" xfId="21858"/>
    <cellStyle name="Obliczenia 2 12 7 2" xfId="21859"/>
    <cellStyle name="Obliczenia 2 12 7 3" xfId="21860"/>
    <cellStyle name="Obliczenia 2 12 7 4" xfId="21861"/>
    <cellStyle name="Obliczenia 2 12 8" xfId="21862"/>
    <cellStyle name="Obliczenia 2 12 8 2" xfId="21863"/>
    <cellStyle name="Obliczenia 2 12 8 3" xfId="21864"/>
    <cellStyle name="Obliczenia 2 12 8 4" xfId="21865"/>
    <cellStyle name="Obliczenia 2 12 9" xfId="21866"/>
    <cellStyle name="Obliczenia 2 12 9 2" xfId="21867"/>
    <cellStyle name="Obliczenia 2 12 9 3" xfId="21868"/>
    <cellStyle name="Obliczenia 2 12 9 4" xfId="21869"/>
    <cellStyle name="Obliczenia 2 13" xfId="21870"/>
    <cellStyle name="Obliczenia 2 13 10" xfId="21871"/>
    <cellStyle name="Obliczenia 2 13 10 2" xfId="21872"/>
    <cellStyle name="Obliczenia 2 13 10 3" xfId="21873"/>
    <cellStyle name="Obliczenia 2 13 10 4" xfId="21874"/>
    <cellStyle name="Obliczenia 2 13 11" xfId="21875"/>
    <cellStyle name="Obliczenia 2 13 11 2" xfId="21876"/>
    <cellStyle name="Obliczenia 2 13 11 3" xfId="21877"/>
    <cellStyle name="Obliczenia 2 13 11 4" xfId="21878"/>
    <cellStyle name="Obliczenia 2 13 12" xfId="21879"/>
    <cellStyle name="Obliczenia 2 13 12 2" xfId="21880"/>
    <cellStyle name="Obliczenia 2 13 12 3" xfId="21881"/>
    <cellStyle name="Obliczenia 2 13 12 4" xfId="21882"/>
    <cellStyle name="Obliczenia 2 13 13" xfId="21883"/>
    <cellStyle name="Obliczenia 2 13 13 2" xfId="21884"/>
    <cellStyle name="Obliczenia 2 13 13 3" xfId="21885"/>
    <cellStyle name="Obliczenia 2 13 13 4" xfId="21886"/>
    <cellStyle name="Obliczenia 2 13 14" xfId="21887"/>
    <cellStyle name="Obliczenia 2 13 14 2" xfId="21888"/>
    <cellStyle name="Obliczenia 2 13 14 3" xfId="21889"/>
    <cellStyle name="Obliczenia 2 13 14 4" xfId="21890"/>
    <cellStyle name="Obliczenia 2 13 15" xfId="21891"/>
    <cellStyle name="Obliczenia 2 13 15 2" xfId="21892"/>
    <cellStyle name="Obliczenia 2 13 15 3" xfId="21893"/>
    <cellStyle name="Obliczenia 2 13 15 4" xfId="21894"/>
    <cellStyle name="Obliczenia 2 13 16" xfId="21895"/>
    <cellStyle name="Obliczenia 2 13 16 2" xfId="21896"/>
    <cellStyle name="Obliczenia 2 13 16 3" xfId="21897"/>
    <cellStyle name="Obliczenia 2 13 16 4" xfId="21898"/>
    <cellStyle name="Obliczenia 2 13 17" xfId="21899"/>
    <cellStyle name="Obliczenia 2 13 17 2" xfId="21900"/>
    <cellStyle name="Obliczenia 2 13 17 3" xfId="21901"/>
    <cellStyle name="Obliczenia 2 13 17 4" xfId="21902"/>
    <cellStyle name="Obliczenia 2 13 18" xfId="21903"/>
    <cellStyle name="Obliczenia 2 13 18 2" xfId="21904"/>
    <cellStyle name="Obliczenia 2 13 18 3" xfId="21905"/>
    <cellStyle name="Obliczenia 2 13 18 4" xfId="21906"/>
    <cellStyle name="Obliczenia 2 13 19" xfId="21907"/>
    <cellStyle name="Obliczenia 2 13 19 2" xfId="21908"/>
    <cellStyle name="Obliczenia 2 13 19 3" xfId="21909"/>
    <cellStyle name="Obliczenia 2 13 19 4" xfId="21910"/>
    <cellStyle name="Obliczenia 2 13 2" xfId="21911"/>
    <cellStyle name="Obliczenia 2 13 2 2" xfId="21912"/>
    <cellStyle name="Obliczenia 2 13 2 3" xfId="21913"/>
    <cellStyle name="Obliczenia 2 13 2 4" xfId="21914"/>
    <cellStyle name="Obliczenia 2 13 20" xfId="21915"/>
    <cellStyle name="Obliczenia 2 13 20 2" xfId="21916"/>
    <cellStyle name="Obliczenia 2 13 20 3" xfId="21917"/>
    <cellStyle name="Obliczenia 2 13 20 4" xfId="21918"/>
    <cellStyle name="Obliczenia 2 13 21" xfId="21919"/>
    <cellStyle name="Obliczenia 2 13 21 2" xfId="21920"/>
    <cellStyle name="Obliczenia 2 13 21 3" xfId="21921"/>
    <cellStyle name="Obliczenia 2 13 22" xfId="21922"/>
    <cellStyle name="Obliczenia 2 13 22 2" xfId="21923"/>
    <cellStyle name="Obliczenia 2 13 22 3" xfId="21924"/>
    <cellStyle name="Obliczenia 2 13 23" xfId="21925"/>
    <cellStyle name="Obliczenia 2 13 23 2" xfId="21926"/>
    <cellStyle name="Obliczenia 2 13 23 3" xfId="21927"/>
    <cellStyle name="Obliczenia 2 13 24" xfId="21928"/>
    <cellStyle name="Obliczenia 2 13 24 2" xfId="21929"/>
    <cellStyle name="Obliczenia 2 13 24 3" xfId="21930"/>
    <cellStyle name="Obliczenia 2 13 25" xfId="21931"/>
    <cellStyle name="Obliczenia 2 13 25 2" xfId="21932"/>
    <cellStyle name="Obliczenia 2 13 25 3" xfId="21933"/>
    <cellStyle name="Obliczenia 2 13 26" xfId="21934"/>
    <cellStyle name="Obliczenia 2 13 26 2" xfId="21935"/>
    <cellStyle name="Obliczenia 2 13 26 3" xfId="21936"/>
    <cellStyle name="Obliczenia 2 13 27" xfId="21937"/>
    <cellStyle name="Obliczenia 2 13 27 2" xfId="21938"/>
    <cellStyle name="Obliczenia 2 13 27 3" xfId="21939"/>
    <cellStyle name="Obliczenia 2 13 28" xfId="21940"/>
    <cellStyle name="Obliczenia 2 13 28 2" xfId="21941"/>
    <cellStyle name="Obliczenia 2 13 28 3" xfId="21942"/>
    <cellStyle name="Obliczenia 2 13 29" xfId="21943"/>
    <cellStyle name="Obliczenia 2 13 29 2" xfId="21944"/>
    <cellStyle name="Obliczenia 2 13 29 3" xfId="21945"/>
    <cellStyle name="Obliczenia 2 13 3" xfId="21946"/>
    <cellStyle name="Obliczenia 2 13 3 2" xfId="21947"/>
    <cellStyle name="Obliczenia 2 13 3 3" xfId="21948"/>
    <cellStyle name="Obliczenia 2 13 3 4" xfId="21949"/>
    <cellStyle name="Obliczenia 2 13 30" xfId="21950"/>
    <cellStyle name="Obliczenia 2 13 30 2" xfId="21951"/>
    <cellStyle name="Obliczenia 2 13 30 3" xfId="21952"/>
    <cellStyle name="Obliczenia 2 13 31" xfId="21953"/>
    <cellStyle name="Obliczenia 2 13 31 2" xfId="21954"/>
    <cellStyle name="Obliczenia 2 13 31 3" xfId="21955"/>
    <cellStyle name="Obliczenia 2 13 32" xfId="21956"/>
    <cellStyle name="Obliczenia 2 13 32 2" xfId="21957"/>
    <cellStyle name="Obliczenia 2 13 32 3" xfId="21958"/>
    <cellStyle name="Obliczenia 2 13 33" xfId="21959"/>
    <cellStyle name="Obliczenia 2 13 33 2" xfId="21960"/>
    <cellStyle name="Obliczenia 2 13 33 3" xfId="21961"/>
    <cellStyle name="Obliczenia 2 13 34" xfId="21962"/>
    <cellStyle name="Obliczenia 2 13 34 2" xfId="21963"/>
    <cellStyle name="Obliczenia 2 13 34 3" xfId="21964"/>
    <cellStyle name="Obliczenia 2 13 35" xfId="21965"/>
    <cellStyle name="Obliczenia 2 13 35 2" xfId="21966"/>
    <cellStyle name="Obliczenia 2 13 35 3" xfId="21967"/>
    <cellStyle name="Obliczenia 2 13 36" xfId="21968"/>
    <cellStyle name="Obliczenia 2 13 36 2" xfId="21969"/>
    <cellStyle name="Obliczenia 2 13 36 3" xfId="21970"/>
    <cellStyle name="Obliczenia 2 13 37" xfId="21971"/>
    <cellStyle name="Obliczenia 2 13 37 2" xfId="21972"/>
    <cellStyle name="Obliczenia 2 13 37 3" xfId="21973"/>
    <cellStyle name="Obliczenia 2 13 38" xfId="21974"/>
    <cellStyle name="Obliczenia 2 13 38 2" xfId="21975"/>
    <cellStyle name="Obliczenia 2 13 38 3" xfId="21976"/>
    <cellStyle name="Obliczenia 2 13 39" xfId="21977"/>
    <cellStyle name="Obliczenia 2 13 39 2" xfId="21978"/>
    <cellStyle name="Obliczenia 2 13 39 3" xfId="21979"/>
    <cellStyle name="Obliczenia 2 13 4" xfId="21980"/>
    <cellStyle name="Obliczenia 2 13 4 2" xfId="21981"/>
    <cellStyle name="Obliczenia 2 13 4 3" xfId="21982"/>
    <cellStyle name="Obliczenia 2 13 4 4" xfId="21983"/>
    <cellStyle name="Obliczenia 2 13 40" xfId="21984"/>
    <cellStyle name="Obliczenia 2 13 40 2" xfId="21985"/>
    <cellStyle name="Obliczenia 2 13 40 3" xfId="21986"/>
    <cellStyle name="Obliczenia 2 13 41" xfId="21987"/>
    <cellStyle name="Obliczenia 2 13 41 2" xfId="21988"/>
    <cellStyle name="Obliczenia 2 13 41 3" xfId="21989"/>
    <cellStyle name="Obliczenia 2 13 42" xfId="21990"/>
    <cellStyle name="Obliczenia 2 13 42 2" xfId="21991"/>
    <cellStyle name="Obliczenia 2 13 42 3" xfId="21992"/>
    <cellStyle name="Obliczenia 2 13 43" xfId="21993"/>
    <cellStyle name="Obliczenia 2 13 43 2" xfId="21994"/>
    <cellStyle name="Obliczenia 2 13 43 3" xfId="21995"/>
    <cellStyle name="Obliczenia 2 13 44" xfId="21996"/>
    <cellStyle name="Obliczenia 2 13 44 2" xfId="21997"/>
    <cellStyle name="Obliczenia 2 13 44 3" xfId="21998"/>
    <cellStyle name="Obliczenia 2 13 45" xfId="21999"/>
    <cellStyle name="Obliczenia 2 13 45 2" xfId="22000"/>
    <cellStyle name="Obliczenia 2 13 45 3" xfId="22001"/>
    <cellStyle name="Obliczenia 2 13 46" xfId="22002"/>
    <cellStyle name="Obliczenia 2 13 46 2" xfId="22003"/>
    <cellStyle name="Obliczenia 2 13 46 3" xfId="22004"/>
    <cellStyle name="Obliczenia 2 13 47" xfId="22005"/>
    <cellStyle name="Obliczenia 2 13 47 2" xfId="22006"/>
    <cellStyle name="Obliczenia 2 13 47 3" xfId="22007"/>
    <cellStyle name="Obliczenia 2 13 48" xfId="22008"/>
    <cellStyle name="Obliczenia 2 13 48 2" xfId="22009"/>
    <cellStyle name="Obliczenia 2 13 48 3" xfId="22010"/>
    <cellStyle name="Obliczenia 2 13 49" xfId="22011"/>
    <cellStyle name="Obliczenia 2 13 49 2" xfId="22012"/>
    <cellStyle name="Obliczenia 2 13 49 3" xfId="22013"/>
    <cellStyle name="Obliczenia 2 13 5" xfId="22014"/>
    <cellStyle name="Obliczenia 2 13 5 2" xfId="22015"/>
    <cellStyle name="Obliczenia 2 13 5 3" xfId="22016"/>
    <cellStyle name="Obliczenia 2 13 5 4" xfId="22017"/>
    <cellStyle name="Obliczenia 2 13 50" xfId="22018"/>
    <cellStyle name="Obliczenia 2 13 50 2" xfId="22019"/>
    <cellStyle name="Obliczenia 2 13 50 3" xfId="22020"/>
    <cellStyle name="Obliczenia 2 13 51" xfId="22021"/>
    <cellStyle name="Obliczenia 2 13 51 2" xfId="22022"/>
    <cellStyle name="Obliczenia 2 13 51 3" xfId="22023"/>
    <cellStyle name="Obliczenia 2 13 52" xfId="22024"/>
    <cellStyle name="Obliczenia 2 13 52 2" xfId="22025"/>
    <cellStyle name="Obliczenia 2 13 52 3" xfId="22026"/>
    <cellStyle name="Obliczenia 2 13 53" xfId="22027"/>
    <cellStyle name="Obliczenia 2 13 53 2" xfId="22028"/>
    <cellStyle name="Obliczenia 2 13 53 3" xfId="22029"/>
    <cellStyle name="Obliczenia 2 13 54" xfId="22030"/>
    <cellStyle name="Obliczenia 2 13 54 2" xfId="22031"/>
    <cellStyle name="Obliczenia 2 13 54 3" xfId="22032"/>
    <cellStyle name="Obliczenia 2 13 55" xfId="22033"/>
    <cellStyle name="Obliczenia 2 13 55 2" xfId="22034"/>
    <cellStyle name="Obliczenia 2 13 55 3" xfId="22035"/>
    <cellStyle name="Obliczenia 2 13 56" xfId="22036"/>
    <cellStyle name="Obliczenia 2 13 56 2" xfId="22037"/>
    <cellStyle name="Obliczenia 2 13 56 3" xfId="22038"/>
    <cellStyle name="Obliczenia 2 13 57" xfId="22039"/>
    <cellStyle name="Obliczenia 2 13 58" xfId="22040"/>
    <cellStyle name="Obliczenia 2 13 6" xfId="22041"/>
    <cellStyle name="Obliczenia 2 13 6 2" xfId="22042"/>
    <cellStyle name="Obliczenia 2 13 6 3" xfId="22043"/>
    <cellStyle name="Obliczenia 2 13 6 4" xfId="22044"/>
    <cellStyle name="Obliczenia 2 13 7" xfId="22045"/>
    <cellStyle name="Obliczenia 2 13 7 2" xfId="22046"/>
    <cellStyle name="Obliczenia 2 13 7 3" xfId="22047"/>
    <cellStyle name="Obliczenia 2 13 7 4" xfId="22048"/>
    <cellStyle name="Obliczenia 2 13 8" xfId="22049"/>
    <cellStyle name="Obliczenia 2 13 8 2" xfId="22050"/>
    <cellStyle name="Obliczenia 2 13 8 3" xfId="22051"/>
    <cellStyle name="Obliczenia 2 13 8 4" xfId="22052"/>
    <cellStyle name="Obliczenia 2 13 9" xfId="22053"/>
    <cellStyle name="Obliczenia 2 13 9 2" xfId="22054"/>
    <cellStyle name="Obliczenia 2 13 9 3" xfId="22055"/>
    <cellStyle name="Obliczenia 2 13 9 4" xfId="22056"/>
    <cellStyle name="Obliczenia 2 14" xfId="22057"/>
    <cellStyle name="Obliczenia 2 14 10" xfId="22058"/>
    <cellStyle name="Obliczenia 2 14 10 2" xfId="22059"/>
    <cellStyle name="Obliczenia 2 14 10 3" xfId="22060"/>
    <cellStyle name="Obliczenia 2 14 10 4" xfId="22061"/>
    <cellStyle name="Obliczenia 2 14 11" xfId="22062"/>
    <cellStyle name="Obliczenia 2 14 11 2" xfId="22063"/>
    <cellStyle name="Obliczenia 2 14 11 3" xfId="22064"/>
    <cellStyle name="Obliczenia 2 14 11 4" xfId="22065"/>
    <cellStyle name="Obliczenia 2 14 12" xfId="22066"/>
    <cellStyle name="Obliczenia 2 14 12 2" xfId="22067"/>
    <cellStyle name="Obliczenia 2 14 12 3" xfId="22068"/>
    <cellStyle name="Obliczenia 2 14 12 4" xfId="22069"/>
    <cellStyle name="Obliczenia 2 14 13" xfId="22070"/>
    <cellStyle name="Obliczenia 2 14 13 2" xfId="22071"/>
    <cellStyle name="Obliczenia 2 14 13 3" xfId="22072"/>
    <cellStyle name="Obliczenia 2 14 13 4" xfId="22073"/>
    <cellStyle name="Obliczenia 2 14 14" xfId="22074"/>
    <cellStyle name="Obliczenia 2 14 14 2" xfId="22075"/>
    <cellStyle name="Obliczenia 2 14 14 3" xfId="22076"/>
    <cellStyle name="Obliczenia 2 14 14 4" xfId="22077"/>
    <cellStyle name="Obliczenia 2 14 15" xfId="22078"/>
    <cellStyle name="Obliczenia 2 14 15 2" xfId="22079"/>
    <cellStyle name="Obliczenia 2 14 15 3" xfId="22080"/>
    <cellStyle name="Obliczenia 2 14 15 4" xfId="22081"/>
    <cellStyle name="Obliczenia 2 14 16" xfId="22082"/>
    <cellStyle name="Obliczenia 2 14 16 2" xfId="22083"/>
    <cellStyle name="Obliczenia 2 14 16 3" xfId="22084"/>
    <cellStyle name="Obliczenia 2 14 16 4" xfId="22085"/>
    <cellStyle name="Obliczenia 2 14 17" xfId="22086"/>
    <cellStyle name="Obliczenia 2 14 17 2" xfId="22087"/>
    <cellStyle name="Obliczenia 2 14 17 3" xfId="22088"/>
    <cellStyle name="Obliczenia 2 14 17 4" xfId="22089"/>
    <cellStyle name="Obliczenia 2 14 18" xfId="22090"/>
    <cellStyle name="Obliczenia 2 14 18 2" xfId="22091"/>
    <cellStyle name="Obliczenia 2 14 18 3" xfId="22092"/>
    <cellStyle name="Obliczenia 2 14 18 4" xfId="22093"/>
    <cellStyle name="Obliczenia 2 14 19" xfId="22094"/>
    <cellStyle name="Obliczenia 2 14 19 2" xfId="22095"/>
    <cellStyle name="Obliczenia 2 14 19 3" xfId="22096"/>
    <cellStyle name="Obliczenia 2 14 19 4" xfId="22097"/>
    <cellStyle name="Obliczenia 2 14 2" xfId="22098"/>
    <cellStyle name="Obliczenia 2 14 2 2" xfId="22099"/>
    <cellStyle name="Obliczenia 2 14 2 3" xfId="22100"/>
    <cellStyle name="Obliczenia 2 14 2 4" xfId="22101"/>
    <cellStyle name="Obliczenia 2 14 20" xfId="22102"/>
    <cellStyle name="Obliczenia 2 14 20 2" xfId="22103"/>
    <cellStyle name="Obliczenia 2 14 20 3" xfId="22104"/>
    <cellStyle name="Obliczenia 2 14 20 4" xfId="22105"/>
    <cellStyle name="Obliczenia 2 14 21" xfId="22106"/>
    <cellStyle name="Obliczenia 2 14 21 2" xfId="22107"/>
    <cellStyle name="Obliczenia 2 14 21 3" xfId="22108"/>
    <cellStyle name="Obliczenia 2 14 22" xfId="22109"/>
    <cellStyle name="Obliczenia 2 14 22 2" xfId="22110"/>
    <cellStyle name="Obliczenia 2 14 22 3" xfId="22111"/>
    <cellStyle name="Obliczenia 2 14 23" xfId="22112"/>
    <cellStyle name="Obliczenia 2 14 23 2" xfId="22113"/>
    <cellStyle name="Obliczenia 2 14 23 3" xfId="22114"/>
    <cellStyle name="Obliczenia 2 14 24" xfId="22115"/>
    <cellStyle name="Obliczenia 2 14 24 2" xfId="22116"/>
    <cellStyle name="Obliczenia 2 14 24 3" xfId="22117"/>
    <cellStyle name="Obliczenia 2 14 25" xfId="22118"/>
    <cellStyle name="Obliczenia 2 14 25 2" xfId="22119"/>
    <cellStyle name="Obliczenia 2 14 25 3" xfId="22120"/>
    <cellStyle name="Obliczenia 2 14 26" xfId="22121"/>
    <cellStyle name="Obliczenia 2 14 26 2" xfId="22122"/>
    <cellStyle name="Obliczenia 2 14 26 3" xfId="22123"/>
    <cellStyle name="Obliczenia 2 14 27" xfId="22124"/>
    <cellStyle name="Obliczenia 2 14 27 2" xfId="22125"/>
    <cellStyle name="Obliczenia 2 14 27 3" xfId="22126"/>
    <cellStyle name="Obliczenia 2 14 28" xfId="22127"/>
    <cellStyle name="Obliczenia 2 14 28 2" xfId="22128"/>
    <cellStyle name="Obliczenia 2 14 28 3" xfId="22129"/>
    <cellStyle name="Obliczenia 2 14 29" xfId="22130"/>
    <cellStyle name="Obliczenia 2 14 29 2" xfId="22131"/>
    <cellStyle name="Obliczenia 2 14 29 3" xfId="22132"/>
    <cellStyle name="Obliczenia 2 14 3" xfId="22133"/>
    <cellStyle name="Obliczenia 2 14 3 2" xfId="22134"/>
    <cellStyle name="Obliczenia 2 14 3 3" xfId="22135"/>
    <cellStyle name="Obliczenia 2 14 3 4" xfId="22136"/>
    <cellStyle name="Obliczenia 2 14 30" xfId="22137"/>
    <cellStyle name="Obliczenia 2 14 30 2" xfId="22138"/>
    <cellStyle name="Obliczenia 2 14 30 3" xfId="22139"/>
    <cellStyle name="Obliczenia 2 14 31" xfId="22140"/>
    <cellStyle name="Obliczenia 2 14 31 2" xfId="22141"/>
    <cellStyle name="Obliczenia 2 14 31 3" xfId="22142"/>
    <cellStyle name="Obliczenia 2 14 32" xfId="22143"/>
    <cellStyle name="Obliczenia 2 14 32 2" xfId="22144"/>
    <cellStyle name="Obliczenia 2 14 32 3" xfId="22145"/>
    <cellStyle name="Obliczenia 2 14 33" xfId="22146"/>
    <cellStyle name="Obliczenia 2 14 33 2" xfId="22147"/>
    <cellStyle name="Obliczenia 2 14 33 3" xfId="22148"/>
    <cellStyle name="Obliczenia 2 14 34" xfId="22149"/>
    <cellStyle name="Obliczenia 2 14 34 2" xfId="22150"/>
    <cellStyle name="Obliczenia 2 14 34 3" xfId="22151"/>
    <cellStyle name="Obliczenia 2 14 35" xfId="22152"/>
    <cellStyle name="Obliczenia 2 14 35 2" xfId="22153"/>
    <cellStyle name="Obliczenia 2 14 35 3" xfId="22154"/>
    <cellStyle name="Obliczenia 2 14 36" xfId="22155"/>
    <cellStyle name="Obliczenia 2 14 36 2" xfId="22156"/>
    <cellStyle name="Obliczenia 2 14 36 3" xfId="22157"/>
    <cellStyle name="Obliczenia 2 14 37" xfId="22158"/>
    <cellStyle name="Obliczenia 2 14 37 2" xfId="22159"/>
    <cellStyle name="Obliczenia 2 14 37 3" xfId="22160"/>
    <cellStyle name="Obliczenia 2 14 38" xfId="22161"/>
    <cellStyle name="Obliczenia 2 14 38 2" xfId="22162"/>
    <cellStyle name="Obliczenia 2 14 38 3" xfId="22163"/>
    <cellStyle name="Obliczenia 2 14 39" xfId="22164"/>
    <cellStyle name="Obliczenia 2 14 39 2" xfId="22165"/>
    <cellStyle name="Obliczenia 2 14 39 3" xfId="22166"/>
    <cellStyle name="Obliczenia 2 14 4" xfId="22167"/>
    <cellStyle name="Obliczenia 2 14 4 2" xfId="22168"/>
    <cellStyle name="Obliczenia 2 14 4 3" xfId="22169"/>
    <cellStyle name="Obliczenia 2 14 4 4" xfId="22170"/>
    <cellStyle name="Obliczenia 2 14 40" xfId="22171"/>
    <cellStyle name="Obliczenia 2 14 40 2" xfId="22172"/>
    <cellStyle name="Obliczenia 2 14 40 3" xfId="22173"/>
    <cellStyle name="Obliczenia 2 14 41" xfId="22174"/>
    <cellStyle name="Obliczenia 2 14 41 2" xfId="22175"/>
    <cellStyle name="Obliczenia 2 14 41 3" xfId="22176"/>
    <cellStyle name="Obliczenia 2 14 42" xfId="22177"/>
    <cellStyle name="Obliczenia 2 14 42 2" xfId="22178"/>
    <cellStyle name="Obliczenia 2 14 42 3" xfId="22179"/>
    <cellStyle name="Obliczenia 2 14 43" xfId="22180"/>
    <cellStyle name="Obliczenia 2 14 43 2" xfId="22181"/>
    <cellStyle name="Obliczenia 2 14 43 3" xfId="22182"/>
    <cellStyle name="Obliczenia 2 14 44" xfId="22183"/>
    <cellStyle name="Obliczenia 2 14 44 2" xfId="22184"/>
    <cellStyle name="Obliczenia 2 14 44 3" xfId="22185"/>
    <cellStyle name="Obliczenia 2 14 45" xfId="22186"/>
    <cellStyle name="Obliczenia 2 14 45 2" xfId="22187"/>
    <cellStyle name="Obliczenia 2 14 45 3" xfId="22188"/>
    <cellStyle name="Obliczenia 2 14 46" xfId="22189"/>
    <cellStyle name="Obliczenia 2 14 46 2" xfId="22190"/>
    <cellStyle name="Obliczenia 2 14 46 3" xfId="22191"/>
    <cellStyle name="Obliczenia 2 14 47" xfId="22192"/>
    <cellStyle name="Obliczenia 2 14 47 2" xfId="22193"/>
    <cellStyle name="Obliczenia 2 14 47 3" xfId="22194"/>
    <cellStyle name="Obliczenia 2 14 48" xfId="22195"/>
    <cellStyle name="Obliczenia 2 14 48 2" xfId="22196"/>
    <cellStyle name="Obliczenia 2 14 48 3" xfId="22197"/>
    <cellStyle name="Obliczenia 2 14 49" xfId="22198"/>
    <cellStyle name="Obliczenia 2 14 49 2" xfId="22199"/>
    <cellStyle name="Obliczenia 2 14 49 3" xfId="22200"/>
    <cellStyle name="Obliczenia 2 14 5" xfId="22201"/>
    <cellStyle name="Obliczenia 2 14 5 2" xfId="22202"/>
    <cellStyle name="Obliczenia 2 14 5 3" xfId="22203"/>
    <cellStyle name="Obliczenia 2 14 5 4" xfId="22204"/>
    <cellStyle name="Obliczenia 2 14 50" xfId="22205"/>
    <cellStyle name="Obliczenia 2 14 50 2" xfId="22206"/>
    <cellStyle name="Obliczenia 2 14 50 3" xfId="22207"/>
    <cellStyle name="Obliczenia 2 14 51" xfId="22208"/>
    <cellStyle name="Obliczenia 2 14 51 2" xfId="22209"/>
    <cellStyle name="Obliczenia 2 14 51 3" xfId="22210"/>
    <cellStyle name="Obliczenia 2 14 52" xfId="22211"/>
    <cellStyle name="Obliczenia 2 14 52 2" xfId="22212"/>
    <cellStyle name="Obliczenia 2 14 52 3" xfId="22213"/>
    <cellStyle name="Obliczenia 2 14 53" xfId="22214"/>
    <cellStyle name="Obliczenia 2 14 53 2" xfId="22215"/>
    <cellStyle name="Obliczenia 2 14 53 3" xfId="22216"/>
    <cellStyle name="Obliczenia 2 14 54" xfId="22217"/>
    <cellStyle name="Obliczenia 2 14 54 2" xfId="22218"/>
    <cellStyle name="Obliczenia 2 14 54 3" xfId="22219"/>
    <cellStyle name="Obliczenia 2 14 55" xfId="22220"/>
    <cellStyle name="Obliczenia 2 14 55 2" xfId="22221"/>
    <cellStyle name="Obliczenia 2 14 55 3" xfId="22222"/>
    <cellStyle name="Obliczenia 2 14 56" xfId="22223"/>
    <cellStyle name="Obliczenia 2 14 56 2" xfId="22224"/>
    <cellStyle name="Obliczenia 2 14 56 3" xfId="22225"/>
    <cellStyle name="Obliczenia 2 14 57" xfId="22226"/>
    <cellStyle name="Obliczenia 2 14 58" xfId="22227"/>
    <cellStyle name="Obliczenia 2 14 6" xfId="22228"/>
    <cellStyle name="Obliczenia 2 14 6 2" xfId="22229"/>
    <cellStyle name="Obliczenia 2 14 6 3" xfId="22230"/>
    <cellStyle name="Obliczenia 2 14 6 4" xfId="22231"/>
    <cellStyle name="Obliczenia 2 14 7" xfId="22232"/>
    <cellStyle name="Obliczenia 2 14 7 2" xfId="22233"/>
    <cellStyle name="Obliczenia 2 14 7 3" xfId="22234"/>
    <cellStyle name="Obliczenia 2 14 7 4" xfId="22235"/>
    <cellStyle name="Obliczenia 2 14 8" xfId="22236"/>
    <cellStyle name="Obliczenia 2 14 8 2" xfId="22237"/>
    <cellStyle name="Obliczenia 2 14 8 3" xfId="22238"/>
    <cellStyle name="Obliczenia 2 14 8 4" xfId="22239"/>
    <cellStyle name="Obliczenia 2 14 9" xfId="22240"/>
    <cellStyle name="Obliczenia 2 14 9 2" xfId="22241"/>
    <cellStyle name="Obliczenia 2 14 9 3" xfId="22242"/>
    <cellStyle name="Obliczenia 2 14 9 4" xfId="22243"/>
    <cellStyle name="Obliczenia 2 15" xfId="22244"/>
    <cellStyle name="Obliczenia 2 15 10" xfId="22245"/>
    <cellStyle name="Obliczenia 2 15 10 2" xfId="22246"/>
    <cellStyle name="Obliczenia 2 15 10 3" xfId="22247"/>
    <cellStyle name="Obliczenia 2 15 10 4" xfId="22248"/>
    <cellStyle name="Obliczenia 2 15 11" xfId="22249"/>
    <cellStyle name="Obliczenia 2 15 11 2" xfId="22250"/>
    <cellStyle name="Obliczenia 2 15 11 3" xfId="22251"/>
    <cellStyle name="Obliczenia 2 15 11 4" xfId="22252"/>
    <cellStyle name="Obliczenia 2 15 12" xfId="22253"/>
    <cellStyle name="Obliczenia 2 15 12 2" xfId="22254"/>
    <cellStyle name="Obliczenia 2 15 12 3" xfId="22255"/>
    <cellStyle name="Obliczenia 2 15 12 4" xfId="22256"/>
    <cellStyle name="Obliczenia 2 15 13" xfId="22257"/>
    <cellStyle name="Obliczenia 2 15 13 2" xfId="22258"/>
    <cellStyle name="Obliczenia 2 15 13 3" xfId="22259"/>
    <cellStyle name="Obliczenia 2 15 13 4" xfId="22260"/>
    <cellStyle name="Obliczenia 2 15 14" xfId="22261"/>
    <cellStyle name="Obliczenia 2 15 14 2" xfId="22262"/>
    <cellStyle name="Obliczenia 2 15 14 3" xfId="22263"/>
    <cellStyle name="Obliczenia 2 15 14 4" xfId="22264"/>
    <cellStyle name="Obliczenia 2 15 15" xfId="22265"/>
    <cellStyle name="Obliczenia 2 15 15 2" xfId="22266"/>
    <cellStyle name="Obliczenia 2 15 15 3" xfId="22267"/>
    <cellStyle name="Obliczenia 2 15 15 4" xfId="22268"/>
    <cellStyle name="Obliczenia 2 15 16" xfId="22269"/>
    <cellStyle name="Obliczenia 2 15 16 2" xfId="22270"/>
    <cellStyle name="Obliczenia 2 15 16 3" xfId="22271"/>
    <cellStyle name="Obliczenia 2 15 16 4" xfId="22272"/>
    <cellStyle name="Obliczenia 2 15 17" xfId="22273"/>
    <cellStyle name="Obliczenia 2 15 17 2" xfId="22274"/>
    <cellStyle name="Obliczenia 2 15 17 3" xfId="22275"/>
    <cellStyle name="Obliczenia 2 15 17 4" xfId="22276"/>
    <cellStyle name="Obliczenia 2 15 18" xfId="22277"/>
    <cellStyle name="Obliczenia 2 15 18 2" xfId="22278"/>
    <cellStyle name="Obliczenia 2 15 18 3" xfId="22279"/>
    <cellStyle name="Obliczenia 2 15 18 4" xfId="22280"/>
    <cellStyle name="Obliczenia 2 15 19" xfId="22281"/>
    <cellStyle name="Obliczenia 2 15 19 2" xfId="22282"/>
    <cellStyle name="Obliczenia 2 15 19 3" xfId="22283"/>
    <cellStyle name="Obliczenia 2 15 19 4" xfId="22284"/>
    <cellStyle name="Obliczenia 2 15 2" xfId="22285"/>
    <cellStyle name="Obliczenia 2 15 2 2" xfId="22286"/>
    <cellStyle name="Obliczenia 2 15 2 3" xfId="22287"/>
    <cellStyle name="Obliczenia 2 15 2 4" xfId="22288"/>
    <cellStyle name="Obliczenia 2 15 20" xfId="22289"/>
    <cellStyle name="Obliczenia 2 15 20 2" xfId="22290"/>
    <cellStyle name="Obliczenia 2 15 20 3" xfId="22291"/>
    <cellStyle name="Obliczenia 2 15 20 4" xfId="22292"/>
    <cellStyle name="Obliczenia 2 15 21" xfId="22293"/>
    <cellStyle name="Obliczenia 2 15 21 2" xfId="22294"/>
    <cellStyle name="Obliczenia 2 15 21 3" xfId="22295"/>
    <cellStyle name="Obliczenia 2 15 22" xfId="22296"/>
    <cellStyle name="Obliczenia 2 15 22 2" xfId="22297"/>
    <cellStyle name="Obliczenia 2 15 22 3" xfId="22298"/>
    <cellStyle name="Obliczenia 2 15 23" xfId="22299"/>
    <cellStyle name="Obliczenia 2 15 23 2" xfId="22300"/>
    <cellStyle name="Obliczenia 2 15 23 3" xfId="22301"/>
    <cellStyle name="Obliczenia 2 15 24" xfId="22302"/>
    <cellStyle name="Obliczenia 2 15 24 2" xfId="22303"/>
    <cellStyle name="Obliczenia 2 15 24 3" xfId="22304"/>
    <cellStyle name="Obliczenia 2 15 25" xfId="22305"/>
    <cellStyle name="Obliczenia 2 15 25 2" xfId="22306"/>
    <cellStyle name="Obliczenia 2 15 25 3" xfId="22307"/>
    <cellStyle name="Obliczenia 2 15 26" xfId="22308"/>
    <cellStyle name="Obliczenia 2 15 26 2" xfId="22309"/>
    <cellStyle name="Obliczenia 2 15 26 3" xfId="22310"/>
    <cellStyle name="Obliczenia 2 15 27" xfId="22311"/>
    <cellStyle name="Obliczenia 2 15 27 2" xfId="22312"/>
    <cellStyle name="Obliczenia 2 15 27 3" xfId="22313"/>
    <cellStyle name="Obliczenia 2 15 28" xfId="22314"/>
    <cellStyle name="Obliczenia 2 15 28 2" xfId="22315"/>
    <cellStyle name="Obliczenia 2 15 28 3" xfId="22316"/>
    <cellStyle name="Obliczenia 2 15 29" xfId="22317"/>
    <cellStyle name="Obliczenia 2 15 29 2" xfId="22318"/>
    <cellStyle name="Obliczenia 2 15 29 3" xfId="22319"/>
    <cellStyle name="Obliczenia 2 15 3" xfId="22320"/>
    <cellStyle name="Obliczenia 2 15 3 2" xfId="22321"/>
    <cellStyle name="Obliczenia 2 15 3 3" xfId="22322"/>
    <cellStyle name="Obliczenia 2 15 3 4" xfId="22323"/>
    <cellStyle name="Obliczenia 2 15 30" xfId="22324"/>
    <cellStyle name="Obliczenia 2 15 30 2" xfId="22325"/>
    <cellStyle name="Obliczenia 2 15 30 3" xfId="22326"/>
    <cellStyle name="Obliczenia 2 15 31" xfId="22327"/>
    <cellStyle name="Obliczenia 2 15 31 2" xfId="22328"/>
    <cellStyle name="Obliczenia 2 15 31 3" xfId="22329"/>
    <cellStyle name="Obliczenia 2 15 32" xfId="22330"/>
    <cellStyle name="Obliczenia 2 15 32 2" xfId="22331"/>
    <cellStyle name="Obliczenia 2 15 32 3" xfId="22332"/>
    <cellStyle name="Obliczenia 2 15 33" xfId="22333"/>
    <cellStyle name="Obliczenia 2 15 33 2" xfId="22334"/>
    <cellStyle name="Obliczenia 2 15 33 3" xfId="22335"/>
    <cellStyle name="Obliczenia 2 15 34" xfId="22336"/>
    <cellStyle name="Obliczenia 2 15 34 2" xfId="22337"/>
    <cellStyle name="Obliczenia 2 15 34 3" xfId="22338"/>
    <cellStyle name="Obliczenia 2 15 35" xfId="22339"/>
    <cellStyle name="Obliczenia 2 15 35 2" xfId="22340"/>
    <cellStyle name="Obliczenia 2 15 35 3" xfId="22341"/>
    <cellStyle name="Obliczenia 2 15 36" xfId="22342"/>
    <cellStyle name="Obliczenia 2 15 36 2" xfId="22343"/>
    <cellStyle name="Obliczenia 2 15 36 3" xfId="22344"/>
    <cellStyle name="Obliczenia 2 15 37" xfId="22345"/>
    <cellStyle name="Obliczenia 2 15 37 2" xfId="22346"/>
    <cellStyle name="Obliczenia 2 15 37 3" xfId="22347"/>
    <cellStyle name="Obliczenia 2 15 38" xfId="22348"/>
    <cellStyle name="Obliczenia 2 15 38 2" xfId="22349"/>
    <cellStyle name="Obliczenia 2 15 38 3" xfId="22350"/>
    <cellStyle name="Obliczenia 2 15 39" xfId="22351"/>
    <cellStyle name="Obliczenia 2 15 39 2" xfId="22352"/>
    <cellStyle name="Obliczenia 2 15 39 3" xfId="22353"/>
    <cellStyle name="Obliczenia 2 15 4" xfId="22354"/>
    <cellStyle name="Obliczenia 2 15 4 2" xfId="22355"/>
    <cellStyle name="Obliczenia 2 15 4 3" xfId="22356"/>
    <cellStyle name="Obliczenia 2 15 4 4" xfId="22357"/>
    <cellStyle name="Obliczenia 2 15 40" xfId="22358"/>
    <cellStyle name="Obliczenia 2 15 40 2" xfId="22359"/>
    <cellStyle name="Obliczenia 2 15 40 3" xfId="22360"/>
    <cellStyle name="Obliczenia 2 15 41" xfId="22361"/>
    <cellStyle name="Obliczenia 2 15 41 2" xfId="22362"/>
    <cellStyle name="Obliczenia 2 15 41 3" xfId="22363"/>
    <cellStyle name="Obliczenia 2 15 42" xfId="22364"/>
    <cellStyle name="Obliczenia 2 15 42 2" xfId="22365"/>
    <cellStyle name="Obliczenia 2 15 42 3" xfId="22366"/>
    <cellStyle name="Obliczenia 2 15 43" xfId="22367"/>
    <cellStyle name="Obliczenia 2 15 43 2" xfId="22368"/>
    <cellStyle name="Obliczenia 2 15 43 3" xfId="22369"/>
    <cellStyle name="Obliczenia 2 15 44" xfId="22370"/>
    <cellStyle name="Obliczenia 2 15 44 2" xfId="22371"/>
    <cellStyle name="Obliczenia 2 15 44 3" xfId="22372"/>
    <cellStyle name="Obliczenia 2 15 45" xfId="22373"/>
    <cellStyle name="Obliczenia 2 15 45 2" xfId="22374"/>
    <cellStyle name="Obliczenia 2 15 45 3" xfId="22375"/>
    <cellStyle name="Obliczenia 2 15 46" xfId="22376"/>
    <cellStyle name="Obliczenia 2 15 46 2" xfId="22377"/>
    <cellStyle name="Obliczenia 2 15 46 3" xfId="22378"/>
    <cellStyle name="Obliczenia 2 15 47" xfId="22379"/>
    <cellStyle name="Obliczenia 2 15 47 2" xfId="22380"/>
    <cellStyle name="Obliczenia 2 15 47 3" xfId="22381"/>
    <cellStyle name="Obliczenia 2 15 48" xfId="22382"/>
    <cellStyle name="Obliczenia 2 15 48 2" xfId="22383"/>
    <cellStyle name="Obliczenia 2 15 48 3" xfId="22384"/>
    <cellStyle name="Obliczenia 2 15 49" xfId="22385"/>
    <cellStyle name="Obliczenia 2 15 49 2" xfId="22386"/>
    <cellStyle name="Obliczenia 2 15 49 3" xfId="22387"/>
    <cellStyle name="Obliczenia 2 15 5" xfId="22388"/>
    <cellStyle name="Obliczenia 2 15 5 2" xfId="22389"/>
    <cellStyle name="Obliczenia 2 15 5 3" xfId="22390"/>
    <cellStyle name="Obliczenia 2 15 5 4" xfId="22391"/>
    <cellStyle name="Obliczenia 2 15 50" xfId="22392"/>
    <cellStyle name="Obliczenia 2 15 50 2" xfId="22393"/>
    <cellStyle name="Obliczenia 2 15 50 3" xfId="22394"/>
    <cellStyle name="Obliczenia 2 15 51" xfId="22395"/>
    <cellStyle name="Obliczenia 2 15 51 2" xfId="22396"/>
    <cellStyle name="Obliczenia 2 15 51 3" xfId="22397"/>
    <cellStyle name="Obliczenia 2 15 52" xfId="22398"/>
    <cellStyle name="Obliczenia 2 15 52 2" xfId="22399"/>
    <cellStyle name="Obliczenia 2 15 52 3" xfId="22400"/>
    <cellStyle name="Obliczenia 2 15 53" xfId="22401"/>
    <cellStyle name="Obliczenia 2 15 53 2" xfId="22402"/>
    <cellStyle name="Obliczenia 2 15 53 3" xfId="22403"/>
    <cellStyle name="Obliczenia 2 15 54" xfId="22404"/>
    <cellStyle name="Obliczenia 2 15 54 2" xfId="22405"/>
    <cellStyle name="Obliczenia 2 15 54 3" xfId="22406"/>
    <cellStyle name="Obliczenia 2 15 55" xfId="22407"/>
    <cellStyle name="Obliczenia 2 15 55 2" xfId="22408"/>
    <cellStyle name="Obliczenia 2 15 55 3" xfId="22409"/>
    <cellStyle name="Obliczenia 2 15 56" xfId="22410"/>
    <cellStyle name="Obliczenia 2 15 56 2" xfId="22411"/>
    <cellStyle name="Obliczenia 2 15 56 3" xfId="22412"/>
    <cellStyle name="Obliczenia 2 15 57" xfId="22413"/>
    <cellStyle name="Obliczenia 2 15 58" xfId="22414"/>
    <cellStyle name="Obliczenia 2 15 6" xfId="22415"/>
    <cellStyle name="Obliczenia 2 15 6 2" xfId="22416"/>
    <cellStyle name="Obliczenia 2 15 6 3" xfId="22417"/>
    <cellStyle name="Obliczenia 2 15 6 4" xfId="22418"/>
    <cellStyle name="Obliczenia 2 15 7" xfId="22419"/>
    <cellStyle name="Obliczenia 2 15 7 2" xfId="22420"/>
    <cellStyle name="Obliczenia 2 15 7 3" xfId="22421"/>
    <cellStyle name="Obliczenia 2 15 7 4" xfId="22422"/>
    <cellStyle name="Obliczenia 2 15 8" xfId="22423"/>
    <cellStyle name="Obliczenia 2 15 8 2" xfId="22424"/>
    <cellStyle name="Obliczenia 2 15 8 3" xfId="22425"/>
    <cellStyle name="Obliczenia 2 15 8 4" xfId="22426"/>
    <cellStyle name="Obliczenia 2 15 9" xfId="22427"/>
    <cellStyle name="Obliczenia 2 15 9 2" xfId="22428"/>
    <cellStyle name="Obliczenia 2 15 9 3" xfId="22429"/>
    <cellStyle name="Obliczenia 2 15 9 4" xfId="22430"/>
    <cellStyle name="Obliczenia 2 16" xfId="22431"/>
    <cellStyle name="Obliczenia 2 16 10" xfId="22432"/>
    <cellStyle name="Obliczenia 2 16 10 2" xfId="22433"/>
    <cellStyle name="Obliczenia 2 16 10 3" xfId="22434"/>
    <cellStyle name="Obliczenia 2 16 10 4" xfId="22435"/>
    <cellStyle name="Obliczenia 2 16 11" xfId="22436"/>
    <cellStyle name="Obliczenia 2 16 11 2" xfId="22437"/>
    <cellStyle name="Obliczenia 2 16 11 3" xfId="22438"/>
    <cellStyle name="Obliczenia 2 16 11 4" xfId="22439"/>
    <cellStyle name="Obliczenia 2 16 12" xfId="22440"/>
    <cellStyle name="Obliczenia 2 16 12 2" xfId="22441"/>
    <cellStyle name="Obliczenia 2 16 12 3" xfId="22442"/>
    <cellStyle name="Obliczenia 2 16 12 4" xfId="22443"/>
    <cellStyle name="Obliczenia 2 16 13" xfId="22444"/>
    <cellStyle name="Obliczenia 2 16 13 2" xfId="22445"/>
    <cellStyle name="Obliczenia 2 16 13 3" xfId="22446"/>
    <cellStyle name="Obliczenia 2 16 13 4" xfId="22447"/>
    <cellStyle name="Obliczenia 2 16 14" xfId="22448"/>
    <cellStyle name="Obliczenia 2 16 14 2" xfId="22449"/>
    <cellStyle name="Obliczenia 2 16 14 3" xfId="22450"/>
    <cellStyle name="Obliczenia 2 16 14 4" xfId="22451"/>
    <cellStyle name="Obliczenia 2 16 15" xfId="22452"/>
    <cellStyle name="Obliczenia 2 16 15 2" xfId="22453"/>
    <cellStyle name="Obliczenia 2 16 15 3" xfId="22454"/>
    <cellStyle name="Obliczenia 2 16 15 4" xfId="22455"/>
    <cellStyle name="Obliczenia 2 16 16" xfId="22456"/>
    <cellStyle name="Obliczenia 2 16 16 2" xfId="22457"/>
    <cellStyle name="Obliczenia 2 16 16 3" xfId="22458"/>
    <cellStyle name="Obliczenia 2 16 16 4" xfId="22459"/>
    <cellStyle name="Obliczenia 2 16 17" xfId="22460"/>
    <cellStyle name="Obliczenia 2 16 17 2" xfId="22461"/>
    <cellStyle name="Obliczenia 2 16 17 3" xfId="22462"/>
    <cellStyle name="Obliczenia 2 16 17 4" xfId="22463"/>
    <cellStyle name="Obliczenia 2 16 18" xfId="22464"/>
    <cellStyle name="Obliczenia 2 16 18 2" xfId="22465"/>
    <cellStyle name="Obliczenia 2 16 18 3" xfId="22466"/>
    <cellStyle name="Obliczenia 2 16 18 4" xfId="22467"/>
    <cellStyle name="Obliczenia 2 16 19" xfId="22468"/>
    <cellStyle name="Obliczenia 2 16 19 2" xfId="22469"/>
    <cellStyle name="Obliczenia 2 16 19 3" xfId="22470"/>
    <cellStyle name="Obliczenia 2 16 19 4" xfId="22471"/>
    <cellStyle name="Obliczenia 2 16 2" xfId="22472"/>
    <cellStyle name="Obliczenia 2 16 2 2" xfId="22473"/>
    <cellStyle name="Obliczenia 2 16 2 3" xfId="22474"/>
    <cellStyle name="Obliczenia 2 16 2 4" xfId="22475"/>
    <cellStyle name="Obliczenia 2 16 20" xfId="22476"/>
    <cellStyle name="Obliczenia 2 16 20 2" xfId="22477"/>
    <cellStyle name="Obliczenia 2 16 20 3" xfId="22478"/>
    <cellStyle name="Obliczenia 2 16 20 4" xfId="22479"/>
    <cellStyle name="Obliczenia 2 16 21" xfId="22480"/>
    <cellStyle name="Obliczenia 2 16 21 2" xfId="22481"/>
    <cellStyle name="Obliczenia 2 16 21 3" xfId="22482"/>
    <cellStyle name="Obliczenia 2 16 22" xfId="22483"/>
    <cellStyle name="Obliczenia 2 16 22 2" xfId="22484"/>
    <cellStyle name="Obliczenia 2 16 22 3" xfId="22485"/>
    <cellStyle name="Obliczenia 2 16 23" xfId="22486"/>
    <cellStyle name="Obliczenia 2 16 23 2" xfId="22487"/>
    <cellStyle name="Obliczenia 2 16 23 3" xfId="22488"/>
    <cellStyle name="Obliczenia 2 16 24" xfId="22489"/>
    <cellStyle name="Obliczenia 2 16 24 2" xfId="22490"/>
    <cellStyle name="Obliczenia 2 16 24 3" xfId="22491"/>
    <cellStyle name="Obliczenia 2 16 25" xfId="22492"/>
    <cellStyle name="Obliczenia 2 16 25 2" xfId="22493"/>
    <cellStyle name="Obliczenia 2 16 25 3" xfId="22494"/>
    <cellStyle name="Obliczenia 2 16 26" xfId="22495"/>
    <cellStyle name="Obliczenia 2 16 26 2" xfId="22496"/>
    <cellStyle name="Obliczenia 2 16 26 3" xfId="22497"/>
    <cellStyle name="Obliczenia 2 16 27" xfId="22498"/>
    <cellStyle name="Obliczenia 2 16 27 2" xfId="22499"/>
    <cellStyle name="Obliczenia 2 16 27 3" xfId="22500"/>
    <cellStyle name="Obliczenia 2 16 28" xfId="22501"/>
    <cellStyle name="Obliczenia 2 16 28 2" xfId="22502"/>
    <cellStyle name="Obliczenia 2 16 28 3" xfId="22503"/>
    <cellStyle name="Obliczenia 2 16 29" xfId="22504"/>
    <cellStyle name="Obliczenia 2 16 29 2" xfId="22505"/>
    <cellStyle name="Obliczenia 2 16 29 3" xfId="22506"/>
    <cellStyle name="Obliczenia 2 16 3" xfId="22507"/>
    <cellStyle name="Obliczenia 2 16 3 2" xfId="22508"/>
    <cellStyle name="Obliczenia 2 16 3 3" xfId="22509"/>
    <cellStyle name="Obliczenia 2 16 3 4" xfId="22510"/>
    <cellStyle name="Obliczenia 2 16 30" xfId="22511"/>
    <cellStyle name="Obliczenia 2 16 30 2" xfId="22512"/>
    <cellStyle name="Obliczenia 2 16 30 3" xfId="22513"/>
    <cellStyle name="Obliczenia 2 16 31" xfId="22514"/>
    <cellStyle name="Obliczenia 2 16 31 2" xfId="22515"/>
    <cellStyle name="Obliczenia 2 16 31 3" xfId="22516"/>
    <cellStyle name="Obliczenia 2 16 32" xfId="22517"/>
    <cellStyle name="Obliczenia 2 16 32 2" xfId="22518"/>
    <cellStyle name="Obliczenia 2 16 32 3" xfId="22519"/>
    <cellStyle name="Obliczenia 2 16 33" xfId="22520"/>
    <cellStyle name="Obliczenia 2 16 33 2" xfId="22521"/>
    <cellStyle name="Obliczenia 2 16 33 3" xfId="22522"/>
    <cellStyle name="Obliczenia 2 16 34" xfId="22523"/>
    <cellStyle name="Obliczenia 2 16 34 2" xfId="22524"/>
    <cellStyle name="Obliczenia 2 16 34 3" xfId="22525"/>
    <cellStyle name="Obliczenia 2 16 35" xfId="22526"/>
    <cellStyle name="Obliczenia 2 16 35 2" xfId="22527"/>
    <cellStyle name="Obliczenia 2 16 35 3" xfId="22528"/>
    <cellStyle name="Obliczenia 2 16 36" xfId="22529"/>
    <cellStyle name="Obliczenia 2 16 36 2" xfId="22530"/>
    <cellStyle name="Obliczenia 2 16 36 3" xfId="22531"/>
    <cellStyle name="Obliczenia 2 16 37" xfId="22532"/>
    <cellStyle name="Obliczenia 2 16 37 2" xfId="22533"/>
    <cellStyle name="Obliczenia 2 16 37 3" xfId="22534"/>
    <cellStyle name="Obliczenia 2 16 38" xfId="22535"/>
    <cellStyle name="Obliczenia 2 16 38 2" xfId="22536"/>
    <cellStyle name="Obliczenia 2 16 38 3" xfId="22537"/>
    <cellStyle name="Obliczenia 2 16 39" xfId="22538"/>
    <cellStyle name="Obliczenia 2 16 39 2" xfId="22539"/>
    <cellStyle name="Obliczenia 2 16 39 3" xfId="22540"/>
    <cellStyle name="Obliczenia 2 16 4" xfId="22541"/>
    <cellStyle name="Obliczenia 2 16 4 2" xfId="22542"/>
    <cellStyle name="Obliczenia 2 16 4 3" xfId="22543"/>
    <cellStyle name="Obliczenia 2 16 4 4" xfId="22544"/>
    <cellStyle name="Obliczenia 2 16 40" xfId="22545"/>
    <cellStyle name="Obliczenia 2 16 40 2" xfId="22546"/>
    <cellStyle name="Obliczenia 2 16 40 3" xfId="22547"/>
    <cellStyle name="Obliczenia 2 16 41" xfId="22548"/>
    <cellStyle name="Obliczenia 2 16 41 2" xfId="22549"/>
    <cellStyle name="Obliczenia 2 16 41 3" xfId="22550"/>
    <cellStyle name="Obliczenia 2 16 42" xfId="22551"/>
    <cellStyle name="Obliczenia 2 16 42 2" xfId="22552"/>
    <cellStyle name="Obliczenia 2 16 42 3" xfId="22553"/>
    <cellStyle name="Obliczenia 2 16 43" xfId="22554"/>
    <cellStyle name="Obliczenia 2 16 43 2" xfId="22555"/>
    <cellStyle name="Obliczenia 2 16 43 3" xfId="22556"/>
    <cellStyle name="Obliczenia 2 16 44" xfId="22557"/>
    <cellStyle name="Obliczenia 2 16 44 2" xfId="22558"/>
    <cellStyle name="Obliczenia 2 16 44 3" xfId="22559"/>
    <cellStyle name="Obliczenia 2 16 45" xfId="22560"/>
    <cellStyle name="Obliczenia 2 16 45 2" xfId="22561"/>
    <cellStyle name="Obliczenia 2 16 45 3" xfId="22562"/>
    <cellStyle name="Obliczenia 2 16 46" xfId="22563"/>
    <cellStyle name="Obliczenia 2 16 46 2" xfId="22564"/>
    <cellStyle name="Obliczenia 2 16 46 3" xfId="22565"/>
    <cellStyle name="Obliczenia 2 16 47" xfId="22566"/>
    <cellStyle name="Obliczenia 2 16 47 2" xfId="22567"/>
    <cellStyle name="Obliczenia 2 16 47 3" xfId="22568"/>
    <cellStyle name="Obliczenia 2 16 48" xfId="22569"/>
    <cellStyle name="Obliczenia 2 16 48 2" xfId="22570"/>
    <cellStyle name="Obliczenia 2 16 48 3" xfId="22571"/>
    <cellStyle name="Obliczenia 2 16 49" xfId="22572"/>
    <cellStyle name="Obliczenia 2 16 49 2" xfId="22573"/>
    <cellStyle name="Obliczenia 2 16 49 3" xfId="22574"/>
    <cellStyle name="Obliczenia 2 16 5" xfId="22575"/>
    <cellStyle name="Obliczenia 2 16 5 2" xfId="22576"/>
    <cellStyle name="Obliczenia 2 16 5 3" xfId="22577"/>
    <cellStyle name="Obliczenia 2 16 5 4" xfId="22578"/>
    <cellStyle name="Obliczenia 2 16 50" xfId="22579"/>
    <cellStyle name="Obliczenia 2 16 50 2" xfId="22580"/>
    <cellStyle name="Obliczenia 2 16 50 3" xfId="22581"/>
    <cellStyle name="Obliczenia 2 16 51" xfId="22582"/>
    <cellStyle name="Obliczenia 2 16 51 2" xfId="22583"/>
    <cellStyle name="Obliczenia 2 16 51 3" xfId="22584"/>
    <cellStyle name="Obliczenia 2 16 52" xfId="22585"/>
    <cellStyle name="Obliczenia 2 16 52 2" xfId="22586"/>
    <cellStyle name="Obliczenia 2 16 52 3" xfId="22587"/>
    <cellStyle name="Obliczenia 2 16 53" xfId="22588"/>
    <cellStyle name="Obliczenia 2 16 53 2" xfId="22589"/>
    <cellStyle name="Obliczenia 2 16 53 3" xfId="22590"/>
    <cellStyle name="Obliczenia 2 16 54" xfId="22591"/>
    <cellStyle name="Obliczenia 2 16 54 2" xfId="22592"/>
    <cellStyle name="Obliczenia 2 16 54 3" xfId="22593"/>
    <cellStyle name="Obliczenia 2 16 55" xfId="22594"/>
    <cellStyle name="Obliczenia 2 16 55 2" xfId="22595"/>
    <cellStyle name="Obliczenia 2 16 55 3" xfId="22596"/>
    <cellStyle name="Obliczenia 2 16 56" xfId="22597"/>
    <cellStyle name="Obliczenia 2 16 56 2" xfId="22598"/>
    <cellStyle name="Obliczenia 2 16 56 3" xfId="22599"/>
    <cellStyle name="Obliczenia 2 16 57" xfId="22600"/>
    <cellStyle name="Obliczenia 2 16 58" xfId="22601"/>
    <cellStyle name="Obliczenia 2 16 6" xfId="22602"/>
    <cellStyle name="Obliczenia 2 16 6 2" xfId="22603"/>
    <cellStyle name="Obliczenia 2 16 6 3" xfId="22604"/>
    <cellStyle name="Obliczenia 2 16 6 4" xfId="22605"/>
    <cellStyle name="Obliczenia 2 16 7" xfId="22606"/>
    <cellStyle name="Obliczenia 2 16 7 2" xfId="22607"/>
    <cellStyle name="Obliczenia 2 16 7 3" xfId="22608"/>
    <cellStyle name="Obliczenia 2 16 7 4" xfId="22609"/>
    <cellStyle name="Obliczenia 2 16 8" xfId="22610"/>
    <cellStyle name="Obliczenia 2 16 8 2" xfId="22611"/>
    <cellStyle name="Obliczenia 2 16 8 3" xfId="22612"/>
    <cellStyle name="Obliczenia 2 16 8 4" xfId="22613"/>
    <cellStyle name="Obliczenia 2 16 9" xfId="22614"/>
    <cellStyle name="Obliczenia 2 16 9 2" xfId="22615"/>
    <cellStyle name="Obliczenia 2 16 9 3" xfId="22616"/>
    <cellStyle name="Obliczenia 2 16 9 4" xfId="22617"/>
    <cellStyle name="Obliczenia 2 17" xfId="22618"/>
    <cellStyle name="Obliczenia 2 17 10" xfId="22619"/>
    <cellStyle name="Obliczenia 2 17 10 2" xfId="22620"/>
    <cellStyle name="Obliczenia 2 17 10 3" xfId="22621"/>
    <cellStyle name="Obliczenia 2 17 10 4" xfId="22622"/>
    <cellStyle name="Obliczenia 2 17 11" xfId="22623"/>
    <cellStyle name="Obliczenia 2 17 11 2" xfId="22624"/>
    <cellStyle name="Obliczenia 2 17 11 3" xfId="22625"/>
    <cellStyle name="Obliczenia 2 17 11 4" xfId="22626"/>
    <cellStyle name="Obliczenia 2 17 12" xfId="22627"/>
    <cellStyle name="Obliczenia 2 17 12 2" xfId="22628"/>
    <cellStyle name="Obliczenia 2 17 12 3" xfId="22629"/>
    <cellStyle name="Obliczenia 2 17 12 4" xfId="22630"/>
    <cellStyle name="Obliczenia 2 17 13" xfId="22631"/>
    <cellStyle name="Obliczenia 2 17 13 2" xfId="22632"/>
    <cellStyle name="Obliczenia 2 17 13 3" xfId="22633"/>
    <cellStyle name="Obliczenia 2 17 13 4" xfId="22634"/>
    <cellStyle name="Obliczenia 2 17 14" xfId="22635"/>
    <cellStyle name="Obliczenia 2 17 14 2" xfId="22636"/>
    <cellStyle name="Obliczenia 2 17 14 3" xfId="22637"/>
    <cellStyle name="Obliczenia 2 17 14 4" xfId="22638"/>
    <cellStyle name="Obliczenia 2 17 15" xfId="22639"/>
    <cellStyle name="Obliczenia 2 17 15 2" xfId="22640"/>
    <cellStyle name="Obliczenia 2 17 15 3" xfId="22641"/>
    <cellStyle name="Obliczenia 2 17 15 4" xfId="22642"/>
    <cellStyle name="Obliczenia 2 17 16" xfId="22643"/>
    <cellStyle name="Obliczenia 2 17 16 2" xfId="22644"/>
    <cellStyle name="Obliczenia 2 17 16 3" xfId="22645"/>
    <cellStyle name="Obliczenia 2 17 16 4" xfId="22646"/>
    <cellStyle name="Obliczenia 2 17 17" xfId="22647"/>
    <cellStyle name="Obliczenia 2 17 17 2" xfId="22648"/>
    <cellStyle name="Obliczenia 2 17 17 3" xfId="22649"/>
    <cellStyle name="Obliczenia 2 17 17 4" xfId="22650"/>
    <cellStyle name="Obliczenia 2 17 18" xfId="22651"/>
    <cellStyle name="Obliczenia 2 17 18 2" xfId="22652"/>
    <cellStyle name="Obliczenia 2 17 18 3" xfId="22653"/>
    <cellStyle name="Obliczenia 2 17 18 4" xfId="22654"/>
    <cellStyle name="Obliczenia 2 17 19" xfId="22655"/>
    <cellStyle name="Obliczenia 2 17 19 2" xfId="22656"/>
    <cellStyle name="Obliczenia 2 17 19 3" xfId="22657"/>
    <cellStyle name="Obliczenia 2 17 19 4" xfId="22658"/>
    <cellStyle name="Obliczenia 2 17 2" xfId="22659"/>
    <cellStyle name="Obliczenia 2 17 2 2" xfId="22660"/>
    <cellStyle name="Obliczenia 2 17 2 3" xfId="22661"/>
    <cellStyle name="Obliczenia 2 17 2 4" xfId="22662"/>
    <cellStyle name="Obliczenia 2 17 20" xfId="22663"/>
    <cellStyle name="Obliczenia 2 17 20 2" xfId="22664"/>
    <cellStyle name="Obliczenia 2 17 20 3" xfId="22665"/>
    <cellStyle name="Obliczenia 2 17 20 4" xfId="22666"/>
    <cellStyle name="Obliczenia 2 17 21" xfId="22667"/>
    <cellStyle name="Obliczenia 2 17 21 2" xfId="22668"/>
    <cellStyle name="Obliczenia 2 17 21 3" xfId="22669"/>
    <cellStyle name="Obliczenia 2 17 22" xfId="22670"/>
    <cellStyle name="Obliczenia 2 17 22 2" xfId="22671"/>
    <cellStyle name="Obliczenia 2 17 22 3" xfId="22672"/>
    <cellStyle name="Obliczenia 2 17 23" xfId="22673"/>
    <cellStyle name="Obliczenia 2 17 23 2" xfId="22674"/>
    <cellStyle name="Obliczenia 2 17 23 3" xfId="22675"/>
    <cellStyle name="Obliczenia 2 17 24" xfId="22676"/>
    <cellStyle name="Obliczenia 2 17 24 2" xfId="22677"/>
    <cellStyle name="Obliczenia 2 17 24 3" xfId="22678"/>
    <cellStyle name="Obliczenia 2 17 25" xfId="22679"/>
    <cellStyle name="Obliczenia 2 17 25 2" xfId="22680"/>
    <cellStyle name="Obliczenia 2 17 25 3" xfId="22681"/>
    <cellStyle name="Obliczenia 2 17 26" xfId="22682"/>
    <cellStyle name="Obliczenia 2 17 26 2" xfId="22683"/>
    <cellStyle name="Obliczenia 2 17 26 3" xfId="22684"/>
    <cellStyle name="Obliczenia 2 17 27" xfId="22685"/>
    <cellStyle name="Obliczenia 2 17 27 2" xfId="22686"/>
    <cellStyle name="Obliczenia 2 17 27 3" xfId="22687"/>
    <cellStyle name="Obliczenia 2 17 28" xfId="22688"/>
    <cellStyle name="Obliczenia 2 17 28 2" xfId="22689"/>
    <cellStyle name="Obliczenia 2 17 28 3" xfId="22690"/>
    <cellStyle name="Obliczenia 2 17 29" xfId="22691"/>
    <cellStyle name="Obliczenia 2 17 29 2" xfId="22692"/>
    <cellStyle name="Obliczenia 2 17 29 3" xfId="22693"/>
    <cellStyle name="Obliczenia 2 17 3" xfId="22694"/>
    <cellStyle name="Obliczenia 2 17 3 2" xfId="22695"/>
    <cellStyle name="Obliczenia 2 17 3 3" xfId="22696"/>
    <cellStyle name="Obliczenia 2 17 3 4" xfId="22697"/>
    <cellStyle name="Obliczenia 2 17 30" xfId="22698"/>
    <cellStyle name="Obliczenia 2 17 30 2" xfId="22699"/>
    <cellStyle name="Obliczenia 2 17 30 3" xfId="22700"/>
    <cellStyle name="Obliczenia 2 17 31" xfId="22701"/>
    <cellStyle name="Obliczenia 2 17 31 2" xfId="22702"/>
    <cellStyle name="Obliczenia 2 17 31 3" xfId="22703"/>
    <cellStyle name="Obliczenia 2 17 32" xfId="22704"/>
    <cellStyle name="Obliczenia 2 17 32 2" xfId="22705"/>
    <cellStyle name="Obliczenia 2 17 32 3" xfId="22706"/>
    <cellStyle name="Obliczenia 2 17 33" xfId="22707"/>
    <cellStyle name="Obliczenia 2 17 33 2" xfId="22708"/>
    <cellStyle name="Obliczenia 2 17 33 3" xfId="22709"/>
    <cellStyle name="Obliczenia 2 17 34" xfId="22710"/>
    <cellStyle name="Obliczenia 2 17 34 2" xfId="22711"/>
    <cellStyle name="Obliczenia 2 17 34 3" xfId="22712"/>
    <cellStyle name="Obliczenia 2 17 35" xfId="22713"/>
    <cellStyle name="Obliczenia 2 17 35 2" xfId="22714"/>
    <cellStyle name="Obliczenia 2 17 35 3" xfId="22715"/>
    <cellStyle name="Obliczenia 2 17 36" xfId="22716"/>
    <cellStyle name="Obliczenia 2 17 36 2" xfId="22717"/>
    <cellStyle name="Obliczenia 2 17 36 3" xfId="22718"/>
    <cellStyle name="Obliczenia 2 17 37" xfId="22719"/>
    <cellStyle name="Obliczenia 2 17 37 2" xfId="22720"/>
    <cellStyle name="Obliczenia 2 17 37 3" xfId="22721"/>
    <cellStyle name="Obliczenia 2 17 38" xfId="22722"/>
    <cellStyle name="Obliczenia 2 17 38 2" xfId="22723"/>
    <cellStyle name="Obliczenia 2 17 38 3" xfId="22724"/>
    <cellStyle name="Obliczenia 2 17 39" xfId="22725"/>
    <cellStyle name="Obliczenia 2 17 39 2" xfId="22726"/>
    <cellStyle name="Obliczenia 2 17 39 3" xfId="22727"/>
    <cellStyle name="Obliczenia 2 17 4" xfId="22728"/>
    <cellStyle name="Obliczenia 2 17 4 2" xfId="22729"/>
    <cellStyle name="Obliczenia 2 17 4 3" xfId="22730"/>
    <cellStyle name="Obliczenia 2 17 4 4" xfId="22731"/>
    <cellStyle name="Obliczenia 2 17 40" xfId="22732"/>
    <cellStyle name="Obliczenia 2 17 40 2" xfId="22733"/>
    <cellStyle name="Obliczenia 2 17 40 3" xfId="22734"/>
    <cellStyle name="Obliczenia 2 17 41" xfId="22735"/>
    <cellStyle name="Obliczenia 2 17 41 2" xfId="22736"/>
    <cellStyle name="Obliczenia 2 17 41 3" xfId="22737"/>
    <cellStyle name="Obliczenia 2 17 42" xfId="22738"/>
    <cellStyle name="Obliczenia 2 17 42 2" xfId="22739"/>
    <cellStyle name="Obliczenia 2 17 42 3" xfId="22740"/>
    <cellStyle name="Obliczenia 2 17 43" xfId="22741"/>
    <cellStyle name="Obliczenia 2 17 43 2" xfId="22742"/>
    <cellStyle name="Obliczenia 2 17 43 3" xfId="22743"/>
    <cellStyle name="Obliczenia 2 17 44" xfId="22744"/>
    <cellStyle name="Obliczenia 2 17 44 2" xfId="22745"/>
    <cellStyle name="Obliczenia 2 17 44 3" xfId="22746"/>
    <cellStyle name="Obliczenia 2 17 45" xfId="22747"/>
    <cellStyle name="Obliczenia 2 17 45 2" xfId="22748"/>
    <cellStyle name="Obliczenia 2 17 45 3" xfId="22749"/>
    <cellStyle name="Obliczenia 2 17 46" xfId="22750"/>
    <cellStyle name="Obliczenia 2 17 46 2" xfId="22751"/>
    <cellStyle name="Obliczenia 2 17 46 3" xfId="22752"/>
    <cellStyle name="Obliczenia 2 17 47" xfId="22753"/>
    <cellStyle name="Obliczenia 2 17 47 2" xfId="22754"/>
    <cellStyle name="Obliczenia 2 17 47 3" xfId="22755"/>
    <cellStyle name="Obliczenia 2 17 48" xfId="22756"/>
    <cellStyle name="Obliczenia 2 17 48 2" xfId="22757"/>
    <cellStyle name="Obliczenia 2 17 48 3" xfId="22758"/>
    <cellStyle name="Obliczenia 2 17 49" xfId="22759"/>
    <cellStyle name="Obliczenia 2 17 49 2" xfId="22760"/>
    <cellStyle name="Obliczenia 2 17 49 3" xfId="22761"/>
    <cellStyle name="Obliczenia 2 17 5" xfId="22762"/>
    <cellStyle name="Obliczenia 2 17 5 2" xfId="22763"/>
    <cellStyle name="Obliczenia 2 17 5 3" xfId="22764"/>
    <cellStyle name="Obliczenia 2 17 5 4" xfId="22765"/>
    <cellStyle name="Obliczenia 2 17 50" xfId="22766"/>
    <cellStyle name="Obliczenia 2 17 50 2" xfId="22767"/>
    <cellStyle name="Obliczenia 2 17 50 3" xfId="22768"/>
    <cellStyle name="Obliczenia 2 17 51" xfId="22769"/>
    <cellStyle name="Obliczenia 2 17 51 2" xfId="22770"/>
    <cellStyle name="Obliczenia 2 17 51 3" xfId="22771"/>
    <cellStyle name="Obliczenia 2 17 52" xfId="22772"/>
    <cellStyle name="Obliczenia 2 17 52 2" xfId="22773"/>
    <cellStyle name="Obliczenia 2 17 52 3" xfId="22774"/>
    <cellStyle name="Obliczenia 2 17 53" xfId="22775"/>
    <cellStyle name="Obliczenia 2 17 53 2" xfId="22776"/>
    <cellStyle name="Obliczenia 2 17 53 3" xfId="22777"/>
    <cellStyle name="Obliczenia 2 17 54" xfId="22778"/>
    <cellStyle name="Obliczenia 2 17 54 2" xfId="22779"/>
    <cellStyle name="Obliczenia 2 17 54 3" xfId="22780"/>
    <cellStyle name="Obliczenia 2 17 55" xfId="22781"/>
    <cellStyle name="Obliczenia 2 17 55 2" xfId="22782"/>
    <cellStyle name="Obliczenia 2 17 55 3" xfId="22783"/>
    <cellStyle name="Obliczenia 2 17 56" xfId="22784"/>
    <cellStyle name="Obliczenia 2 17 56 2" xfId="22785"/>
    <cellStyle name="Obliczenia 2 17 56 3" xfId="22786"/>
    <cellStyle name="Obliczenia 2 17 57" xfId="22787"/>
    <cellStyle name="Obliczenia 2 17 58" xfId="22788"/>
    <cellStyle name="Obliczenia 2 17 6" xfId="22789"/>
    <cellStyle name="Obliczenia 2 17 6 2" xfId="22790"/>
    <cellStyle name="Obliczenia 2 17 6 3" xfId="22791"/>
    <cellStyle name="Obliczenia 2 17 6 4" xfId="22792"/>
    <cellStyle name="Obliczenia 2 17 7" xfId="22793"/>
    <cellStyle name="Obliczenia 2 17 7 2" xfId="22794"/>
    <cellStyle name="Obliczenia 2 17 7 3" xfId="22795"/>
    <cellStyle name="Obliczenia 2 17 7 4" xfId="22796"/>
    <cellStyle name="Obliczenia 2 17 8" xfId="22797"/>
    <cellStyle name="Obliczenia 2 17 8 2" xfId="22798"/>
    <cellStyle name="Obliczenia 2 17 8 3" xfId="22799"/>
    <cellStyle name="Obliczenia 2 17 8 4" xfId="22800"/>
    <cellStyle name="Obliczenia 2 17 9" xfId="22801"/>
    <cellStyle name="Obliczenia 2 17 9 2" xfId="22802"/>
    <cellStyle name="Obliczenia 2 17 9 3" xfId="22803"/>
    <cellStyle name="Obliczenia 2 17 9 4" xfId="22804"/>
    <cellStyle name="Obliczenia 2 18" xfId="22805"/>
    <cellStyle name="Obliczenia 2 18 10" xfId="22806"/>
    <cellStyle name="Obliczenia 2 18 10 2" xfId="22807"/>
    <cellStyle name="Obliczenia 2 18 10 3" xfId="22808"/>
    <cellStyle name="Obliczenia 2 18 10 4" xfId="22809"/>
    <cellStyle name="Obliczenia 2 18 11" xfId="22810"/>
    <cellStyle name="Obliczenia 2 18 11 2" xfId="22811"/>
    <cellStyle name="Obliczenia 2 18 11 3" xfId="22812"/>
    <cellStyle name="Obliczenia 2 18 11 4" xfId="22813"/>
    <cellStyle name="Obliczenia 2 18 12" xfId="22814"/>
    <cellStyle name="Obliczenia 2 18 12 2" xfId="22815"/>
    <cellStyle name="Obliczenia 2 18 12 3" xfId="22816"/>
    <cellStyle name="Obliczenia 2 18 12 4" xfId="22817"/>
    <cellStyle name="Obliczenia 2 18 13" xfId="22818"/>
    <cellStyle name="Obliczenia 2 18 13 2" xfId="22819"/>
    <cellStyle name="Obliczenia 2 18 13 3" xfId="22820"/>
    <cellStyle name="Obliczenia 2 18 13 4" xfId="22821"/>
    <cellStyle name="Obliczenia 2 18 14" xfId="22822"/>
    <cellStyle name="Obliczenia 2 18 14 2" xfId="22823"/>
    <cellStyle name="Obliczenia 2 18 14 3" xfId="22824"/>
    <cellStyle name="Obliczenia 2 18 14 4" xfId="22825"/>
    <cellStyle name="Obliczenia 2 18 15" xfId="22826"/>
    <cellStyle name="Obliczenia 2 18 15 2" xfId="22827"/>
    <cellStyle name="Obliczenia 2 18 15 3" xfId="22828"/>
    <cellStyle name="Obliczenia 2 18 15 4" xfId="22829"/>
    <cellStyle name="Obliczenia 2 18 16" xfId="22830"/>
    <cellStyle name="Obliczenia 2 18 16 2" xfId="22831"/>
    <cellStyle name="Obliczenia 2 18 16 3" xfId="22832"/>
    <cellStyle name="Obliczenia 2 18 16 4" xfId="22833"/>
    <cellStyle name="Obliczenia 2 18 17" xfId="22834"/>
    <cellStyle name="Obliczenia 2 18 17 2" xfId="22835"/>
    <cellStyle name="Obliczenia 2 18 17 3" xfId="22836"/>
    <cellStyle name="Obliczenia 2 18 17 4" xfId="22837"/>
    <cellStyle name="Obliczenia 2 18 18" xfId="22838"/>
    <cellStyle name="Obliczenia 2 18 18 2" xfId="22839"/>
    <cellStyle name="Obliczenia 2 18 18 3" xfId="22840"/>
    <cellStyle name="Obliczenia 2 18 18 4" xfId="22841"/>
    <cellStyle name="Obliczenia 2 18 19" xfId="22842"/>
    <cellStyle name="Obliczenia 2 18 19 2" xfId="22843"/>
    <cellStyle name="Obliczenia 2 18 19 3" xfId="22844"/>
    <cellStyle name="Obliczenia 2 18 19 4" xfId="22845"/>
    <cellStyle name="Obliczenia 2 18 2" xfId="22846"/>
    <cellStyle name="Obliczenia 2 18 2 2" xfId="22847"/>
    <cellStyle name="Obliczenia 2 18 2 3" xfId="22848"/>
    <cellStyle name="Obliczenia 2 18 2 4" xfId="22849"/>
    <cellStyle name="Obliczenia 2 18 20" xfId="22850"/>
    <cellStyle name="Obliczenia 2 18 20 2" xfId="22851"/>
    <cellStyle name="Obliczenia 2 18 20 3" xfId="22852"/>
    <cellStyle name="Obliczenia 2 18 20 4" xfId="22853"/>
    <cellStyle name="Obliczenia 2 18 21" xfId="22854"/>
    <cellStyle name="Obliczenia 2 18 21 2" xfId="22855"/>
    <cellStyle name="Obliczenia 2 18 21 3" xfId="22856"/>
    <cellStyle name="Obliczenia 2 18 22" xfId="22857"/>
    <cellStyle name="Obliczenia 2 18 22 2" xfId="22858"/>
    <cellStyle name="Obliczenia 2 18 22 3" xfId="22859"/>
    <cellStyle name="Obliczenia 2 18 23" xfId="22860"/>
    <cellStyle name="Obliczenia 2 18 23 2" xfId="22861"/>
    <cellStyle name="Obliczenia 2 18 23 3" xfId="22862"/>
    <cellStyle name="Obliczenia 2 18 24" xfId="22863"/>
    <cellStyle name="Obliczenia 2 18 24 2" xfId="22864"/>
    <cellStyle name="Obliczenia 2 18 24 3" xfId="22865"/>
    <cellStyle name="Obliczenia 2 18 25" xfId="22866"/>
    <cellStyle name="Obliczenia 2 18 25 2" xfId="22867"/>
    <cellStyle name="Obliczenia 2 18 25 3" xfId="22868"/>
    <cellStyle name="Obliczenia 2 18 26" xfId="22869"/>
    <cellStyle name="Obliczenia 2 18 26 2" xfId="22870"/>
    <cellStyle name="Obliczenia 2 18 26 3" xfId="22871"/>
    <cellStyle name="Obliczenia 2 18 27" xfId="22872"/>
    <cellStyle name="Obliczenia 2 18 27 2" xfId="22873"/>
    <cellStyle name="Obliczenia 2 18 27 3" xfId="22874"/>
    <cellStyle name="Obliczenia 2 18 28" xfId="22875"/>
    <cellStyle name="Obliczenia 2 18 28 2" xfId="22876"/>
    <cellStyle name="Obliczenia 2 18 28 3" xfId="22877"/>
    <cellStyle name="Obliczenia 2 18 29" xfId="22878"/>
    <cellStyle name="Obliczenia 2 18 29 2" xfId="22879"/>
    <cellStyle name="Obliczenia 2 18 29 3" xfId="22880"/>
    <cellStyle name="Obliczenia 2 18 3" xfId="22881"/>
    <cellStyle name="Obliczenia 2 18 3 2" xfId="22882"/>
    <cellStyle name="Obliczenia 2 18 3 3" xfId="22883"/>
    <cellStyle name="Obliczenia 2 18 3 4" xfId="22884"/>
    <cellStyle name="Obliczenia 2 18 30" xfId="22885"/>
    <cellStyle name="Obliczenia 2 18 30 2" xfId="22886"/>
    <cellStyle name="Obliczenia 2 18 30 3" xfId="22887"/>
    <cellStyle name="Obliczenia 2 18 31" xfId="22888"/>
    <cellStyle name="Obliczenia 2 18 31 2" xfId="22889"/>
    <cellStyle name="Obliczenia 2 18 31 3" xfId="22890"/>
    <cellStyle name="Obliczenia 2 18 32" xfId="22891"/>
    <cellStyle name="Obliczenia 2 18 32 2" xfId="22892"/>
    <cellStyle name="Obliczenia 2 18 32 3" xfId="22893"/>
    <cellStyle name="Obliczenia 2 18 33" xfId="22894"/>
    <cellStyle name="Obliczenia 2 18 33 2" xfId="22895"/>
    <cellStyle name="Obliczenia 2 18 33 3" xfId="22896"/>
    <cellStyle name="Obliczenia 2 18 34" xfId="22897"/>
    <cellStyle name="Obliczenia 2 18 34 2" xfId="22898"/>
    <cellStyle name="Obliczenia 2 18 34 3" xfId="22899"/>
    <cellStyle name="Obliczenia 2 18 35" xfId="22900"/>
    <cellStyle name="Obliczenia 2 18 35 2" xfId="22901"/>
    <cellStyle name="Obliczenia 2 18 35 3" xfId="22902"/>
    <cellStyle name="Obliczenia 2 18 36" xfId="22903"/>
    <cellStyle name="Obliczenia 2 18 36 2" xfId="22904"/>
    <cellStyle name="Obliczenia 2 18 36 3" xfId="22905"/>
    <cellStyle name="Obliczenia 2 18 37" xfId="22906"/>
    <cellStyle name="Obliczenia 2 18 37 2" xfId="22907"/>
    <cellStyle name="Obliczenia 2 18 37 3" xfId="22908"/>
    <cellStyle name="Obliczenia 2 18 38" xfId="22909"/>
    <cellStyle name="Obliczenia 2 18 38 2" xfId="22910"/>
    <cellStyle name="Obliczenia 2 18 38 3" xfId="22911"/>
    <cellStyle name="Obliczenia 2 18 39" xfId="22912"/>
    <cellStyle name="Obliczenia 2 18 39 2" xfId="22913"/>
    <cellStyle name="Obliczenia 2 18 39 3" xfId="22914"/>
    <cellStyle name="Obliczenia 2 18 4" xfId="22915"/>
    <cellStyle name="Obliczenia 2 18 4 2" xfId="22916"/>
    <cellStyle name="Obliczenia 2 18 4 3" xfId="22917"/>
    <cellStyle name="Obliczenia 2 18 4 4" xfId="22918"/>
    <cellStyle name="Obliczenia 2 18 40" xfId="22919"/>
    <cellStyle name="Obliczenia 2 18 40 2" xfId="22920"/>
    <cellStyle name="Obliczenia 2 18 40 3" xfId="22921"/>
    <cellStyle name="Obliczenia 2 18 41" xfId="22922"/>
    <cellStyle name="Obliczenia 2 18 41 2" xfId="22923"/>
    <cellStyle name="Obliczenia 2 18 41 3" xfId="22924"/>
    <cellStyle name="Obliczenia 2 18 42" xfId="22925"/>
    <cellStyle name="Obliczenia 2 18 42 2" xfId="22926"/>
    <cellStyle name="Obliczenia 2 18 42 3" xfId="22927"/>
    <cellStyle name="Obliczenia 2 18 43" xfId="22928"/>
    <cellStyle name="Obliczenia 2 18 43 2" xfId="22929"/>
    <cellStyle name="Obliczenia 2 18 43 3" xfId="22930"/>
    <cellStyle name="Obliczenia 2 18 44" xfId="22931"/>
    <cellStyle name="Obliczenia 2 18 44 2" xfId="22932"/>
    <cellStyle name="Obliczenia 2 18 44 3" xfId="22933"/>
    <cellStyle name="Obliczenia 2 18 45" xfId="22934"/>
    <cellStyle name="Obliczenia 2 18 45 2" xfId="22935"/>
    <cellStyle name="Obliczenia 2 18 45 3" xfId="22936"/>
    <cellStyle name="Obliczenia 2 18 46" xfId="22937"/>
    <cellStyle name="Obliczenia 2 18 46 2" xfId="22938"/>
    <cellStyle name="Obliczenia 2 18 46 3" xfId="22939"/>
    <cellStyle name="Obliczenia 2 18 47" xfId="22940"/>
    <cellStyle name="Obliczenia 2 18 47 2" xfId="22941"/>
    <cellStyle name="Obliczenia 2 18 47 3" xfId="22942"/>
    <cellStyle name="Obliczenia 2 18 48" xfId="22943"/>
    <cellStyle name="Obliczenia 2 18 48 2" xfId="22944"/>
    <cellStyle name="Obliczenia 2 18 48 3" xfId="22945"/>
    <cellStyle name="Obliczenia 2 18 49" xfId="22946"/>
    <cellStyle name="Obliczenia 2 18 49 2" xfId="22947"/>
    <cellStyle name="Obliczenia 2 18 49 3" xfId="22948"/>
    <cellStyle name="Obliczenia 2 18 5" xfId="22949"/>
    <cellStyle name="Obliczenia 2 18 5 2" xfId="22950"/>
    <cellStyle name="Obliczenia 2 18 5 3" xfId="22951"/>
    <cellStyle name="Obliczenia 2 18 5 4" xfId="22952"/>
    <cellStyle name="Obliczenia 2 18 50" xfId="22953"/>
    <cellStyle name="Obliczenia 2 18 50 2" xfId="22954"/>
    <cellStyle name="Obliczenia 2 18 50 3" xfId="22955"/>
    <cellStyle name="Obliczenia 2 18 51" xfId="22956"/>
    <cellStyle name="Obliczenia 2 18 51 2" xfId="22957"/>
    <cellStyle name="Obliczenia 2 18 51 3" xfId="22958"/>
    <cellStyle name="Obliczenia 2 18 52" xfId="22959"/>
    <cellStyle name="Obliczenia 2 18 52 2" xfId="22960"/>
    <cellStyle name="Obliczenia 2 18 52 3" xfId="22961"/>
    <cellStyle name="Obliczenia 2 18 53" xfId="22962"/>
    <cellStyle name="Obliczenia 2 18 53 2" xfId="22963"/>
    <cellStyle name="Obliczenia 2 18 53 3" xfId="22964"/>
    <cellStyle name="Obliczenia 2 18 54" xfId="22965"/>
    <cellStyle name="Obliczenia 2 18 54 2" xfId="22966"/>
    <cellStyle name="Obliczenia 2 18 54 3" xfId="22967"/>
    <cellStyle name="Obliczenia 2 18 55" xfId="22968"/>
    <cellStyle name="Obliczenia 2 18 55 2" xfId="22969"/>
    <cellStyle name="Obliczenia 2 18 55 3" xfId="22970"/>
    <cellStyle name="Obliczenia 2 18 56" xfId="22971"/>
    <cellStyle name="Obliczenia 2 18 56 2" xfId="22972"/>
    <cellStyle name="Obliczenia 2 18 56 3" xfId="22973"/>
    <cellStyle name="Obliczenia 2 18 57" xfId="22974"/>
    <cellStyle name="Obliczenia 2 18 58" xfId="22975"/>
    <cellStyle name="Obliczenia 2 18 6" xfId="22976"/>
    <cellStyle name="Obliczenia 2 18 6 2" xfId="22977"/>
    <cellStyle name="Obliczenia 2 18 6 3" xfId="22978"/>
    <cellStyle name="Obliczenia 2 18 6 4" xfId="22979"/>
    <cellStyle name="Obliczenia 2 18 7" xfId="22980"/>
    <cellStyle name="Obliczenia 2 18 7 2" xfId="22981"/>
    <cellStyle name="Obliczenia 2 18 7 3" xfId="22982"/>
    <cellStyle name="Obliczenia 2 18 7 4" xfId="22983"/>
    <cellStyle name="Obliczenia 2 18 8" xfId="22984"/>
    <cellStyle name="Obliczenia 2 18 8 2" xfId="22985"/>
    <cellStyle name="Obliczenia 2 18 8 3" xfId="22986"/>
    <cellStyle name="Obliczenia 2 18 8 4" xfId="22987"/>
    <cellStyle name="Obliczenia 2 18 9" xfId="22988"/>
    <cellStyle name="Obliczenia 2 18 9 2" xfId="22989"/>
    <cellStyle name="Obliczenia 2 18 9 3" xfId="22990"/>
    <cellStyle name="Obliczenia 2 18 9 4" xfId="22991"/>
    <cellStyle name="Obliczenia 2 19" xfId="22992"/>
    <cellStyle name="Obliczenia 2 19 10" xfId="22993"/>
    <cellStyle name="Obliczenia 2 19 10 2" xfId="22994"/>
    <cellStyle name="Obliczenia 2 19 10 3" xfId="22995"/>
    <cellStyle name="Obliczenia 2 19 10 4" xfId="22996"/>
    <cellStyle name="Obliczenia 2 19 11" xfId="22997"/>
    <cellStyle name="Obliczenia 2 19 11 2" xfId="22998"/>
    <cellStyle name="Obliczenia 2 19 11 3" xfId="22999"/>
    <cellStyle name="Obliczenia 2 19 11 4" xfId="23000"/>
    <cellStyle name="Obliczenia 2 19 12" xfId="23001"/>
    <cellStyle name="Obliczenia 2 19 12 2" xfId="23002"/>
    <cellStyle name="Obliczenia 2 19 12 3" xfId="23003"/>
    <cellStyle name="Obliczenia 2 19 12 4" xfId="23004"/>
    <cellStyle name="Obliczenia 2 19 13" xfId="23005"/>
    <cellStyle name="Obliczenia 2 19 13 2" xfId="23006"/>
    <cellStyle name="Obliczenia 2 19 13 3" xfId="23007"/>
    <cellStyle name="Obliczenia 2 19 13 4" xfId="23008"/>
    <cellStyle name="Obliczenia 2 19 14" xfId="23009"/>
    <cellStyle name="Obliczenia 2 19 14 2" xfId="23010"/>
    <cellStyle name="Obliczenia 2 19 14 3" xfId="23011"/>
    <cellStyle name="Obliczenia 2 19 14 4" xfId="23012"/>
    <cellStyle name="Obliczenia 2 19 15" xfId="23013"/>
    <cellStyle name="Obliczenia 2 19 15 2" xfId="23014"/>
    <cellStyle name="Obliczenia 2 19 15 3" xfId="23015"/>
    <cellStyle name="Obliczenia 2 19 15 4" xfId="23016"/>
    <cellStyle name="Obliczenia 2 19 16" xfId="23017"/>
    <cellStyle name="Obliczenia 2 19 16 2" xfId="23018"/>
    <cellStyle name="Obliczenia 2 19 16 3" xfId="23019"/>
    <cellStyle name="Obliczenia 2 19 16 4" xfId="23020"/>
    <cellStyle name="Obliczenia 2 19 17" xfId="23021"/>
    <cellStyle name="Obliczenia 2 19 17 2" xfId="23022"/>
    <cellStyle name="Obliczenia 2 19 17 3" xfId="23023"/>
    <cellStyle name="Obliczenia 2 19 17 4" xfId="23024"/>
    <cellStyle name="Obliczenia 2 19 18" xfId="23025"/>
    <cellStyle name="Obliczenia 2 19 18 2" xfId="23026"/>
    <cellStyle name="Obliczenia 2 19 18 3" xfId="23027"/>
    <cellStyle name="Obliczenia 2 19 18 4" xfId="23028"/>
    <cellStyle name="Obliczenia 2 19 19" xfId="23029"/>
    <cellStyle name="Obliczenia 2 19 19 2" xfId="23030"/>
    <cellStyle name="Obliczenia 2 19 19 3" xfId="23031"/>
    <cellStyle name="Obliczenia 2 19 19 4" xfId="23032"/>
    <cellStyle name="Obliczenia 2 19 2" xfId="23033"/>
    <cellStyle name="Obliczenia 2 19 2 2" xfId="23034"/>
    <cellStyle name="Obliczenia 2 19 2 3" xfId="23035"/>
    <cellStyle name="Obliczenia 2 19 2 4" xfId="23036"/>
    <cellStyle name="Obliczenia 2 19 20" xfId="23037"/>
    <cellStyle name="Obliczenia 2 19 20 2" xfId="23038"/>
    <cellStyle name="Obliczenia 2 19 20 3" xfId="23039"/>
    <cellStyle name="Obliczenia 2 19 20 4" xfId="23040"/>
    <cellStyle name="Obliczenia 2 19 21" xfId="23041"/>
    <cellStyle name="Obliczenia 2 19 21 2" xfId="23042"/>
    <cellStyle name="Obliczenia 2 19 21 3" xfId="23043"/>
    <cellStyle name="Obliczenia 2 19 22" xfId="23044"/>
    <cellStyle name="Obliczenia 2 19 22 2" xfId="23045"/>
    <cellStyle name="Obliczenia 2 19 22 3" xfId="23046"/>
    <cellStyle name="Obliczenia 2 19 23" xfId="23047"/>
    <cellStyle name="Obliczenia 2 19 23 2" xfId="23048"/>
    <cellStyle name="Obliczenia 2 19 23 3" xfId="23049"/>
    <cellStyle name="Obliczenia 2 19 24" xfId="23050"/>
    <cellStyle name="Obliczenia 2 19 24 2" xfId="23051"/>
    <cellStyle name="Obliczenia 2 19 24 3" xfId="23052"/>
    <cellStyle name="Obliczenia 2 19 25" xfId="23053"/>
    <cellStyle name="Obliczenia 2 19 25 2" xfId="23054"/>
    <cellStyle name="Obliczenia 2 19 25 3" xfId="23055"/>
    <cellStyle name="Obliczenia 2 19 26" xfId="23056"/>
    <cellStyle name="Obliczenia 2 19 26 2" xfId="23057"/>
    <cellStyle name="Obliczenia 2 19 26 3" xfId="23058"/>
    <cellStyle name="Obliczenia 2 19 27" xfId="23059"/>
    <cellStyle name="Obliczenia 2 19 27 2" xfId="23060"/>
    <cellStyle name="Obliczenia 2 19 27 3" xfId="23061"/>
    <cellStyle name="Obliczenia 2 19 28" xfId="23062"/>
    <cellStyle name="Obliczenia 2 19 28 2" xfId="23063"/>
    <cellStyle name="Obliczenia 2 19 28 3" xfId="23064"/>
    <cellStyle name="Obliczenia 2 19 29" xfId="23065"/>
    <cellStyle name="Obliczenia 2 19 29 2" xfId="23066"/>
    <cellStyle name="Obliczenia 2 19 29 3" xfId="23067"/>
    <cellStyle name="Obliczenia 2 19 3" xfId="23068"/>
    <cellStyle name="Obliczenia 2 19 3 2" xfId="23069"/>
    <cellStyle name="Obliczenia 2 19 3 3" xfId="23070"/>
    <cellStyle name="Obliczenia 2 19 3 4" xfId="23071"/>
    <cellStyle name="Obliczenia 2 19 30" xfId="23072"/>
    <cellStyle name="Obliczenia 2 19 30 2" xfId="23073"/>
    <cellStyle name="Obliczenia 2 19 30 3" xfId="23074"/>
    <cellStyle name="Obliczenia 2 19 31" xfId="23075"/>
    <cellStyle name="Obliczenia 2 19 31 2" xfId="23076"/>
    <cellStyle name="Obliczenia 2 19 31 3" xfId="23077"/>
    <cellStyle name="Obliczenia 2 19 32" xfId="23078"/>
    <cellStyle name="Obliczenia 2 19 32 2" xfId="23079"/>
    <cellStyle name="Obliczenia 2 19 32 3" xfId="23080"/>
    <cellStyle name="Obliczenia 2 19 33" xfId="23081"/>
    <cellStyle name="Obliczenia 2 19 33 2" xfId="23082"/>
    <cellStyle name="Obliczenia 2 19 33 3" xfId="23083"/>
    <cellStyle name="Obliczenia 2 19 34" xfId="23084"/>
    <cellStyle name="Obliczenia 2 19 34 2" xfId="23085"/>
    <cellStyle name="Obliczenia 2 19 34 3" xfId="23086"/>
    <cellStyle name="Obliczenia 2 19 35" xfId="23087"/>
    <cellStyle name="Obliczenia 2 19 35 2" xfId="23088"/>
    <cellStyle name="Obliczenia 2 19 35 3" xfId="23089"/>
    <cellStyle name="Obliczenia 2 19 36" xfId="23090"/>
    <cellStyle name="Obliczenia 2 19 36 2" xfId="23091"/>
    <cellStyle name="Obliczenia 2 19 36 3" xfId="23092"/>
    <cellStyle name="Obliczenia 2 19 37" xfId="23093"/>
    <cellStyle name="Obliczenia 2 19 37 2" xfId="23094"/>
    <cellStyle name="Obliczenia 2 19 37 3" xfId="23095"/>
    <cellStyle name="Obliczenia 2 19 38" xfId="23096"/>
    <cellStyle name="Obliczenia 2 19 38 2" xfId="23097"/>
    <cellStyle name="Obliczenia 2 19 38 3" xfId="23098"/>
    <cellStyle name="Obliczenia 2 19 39" xfId="23099"/>
    <cellStyle name="Obliczenia 2 19 39 2" xfId="23100"/>
    <cellStyle name="Obliczenia 2 19 39 3" xfId="23101"/>
    <cellStyle name="Obliczenia 2 19 4" xfId="23102"/>
    <cellStyle name="Obliczenia 2 19 4 2" xfId="23103"/>
    <cellStyle name="Obliczenia 2 19 4 3" xfId="23104"/>
    <cellStyle name="Obliczenia 2 19 4 4" xfId="23105"/>
    <cellStyle name="Obliczenia 2 19 40" xfId="23106"/>
    <cellStyle name="Obliczenia 2 19 40 2" xfId="23107"/>
    <cellStyle name="Obliczenia 2 19 40 3" xfId="23108"/>
    <cellStyle name="Obliczenia 2 19 41" xfId="23109"/>
    <cellStyle name="Obliczenia 2 19 41 2" xfId="23110"/>
    <cellStyle name="Obliczenia 2 19 41 3" xfId="23111"/>
    <cellStyle name="Obliczenia 2 19 42" xfId="23112"/>
    <cellStyle name="Obliczenia 2 19 42 2" xfId="23113"/>
    <cellStyle name="Obliczenia 2 19 42 3" xfId="23114"/>
    <cellStyle name="Obliczenia 2 19 43" xfId="23115"/>
    <cellStyle name="Obliczenia 2 19 43 2" xfId="23116"/>
    <cellStyle name="Obliczenia 2 19 43 3" xfId="23117"/>
    <cellStyle name="Obliczenia 2 19 44" xfId="23118"/>
    <cellStyle name="Obliczenia 2 19 44 2" xfId="23119"/>
    <cellStyle name="Obliczenia 2 19 44 3" xfId="23120"/>
    <cellStyle name="Obliczenia 2 19 45" xfId="23121"/>
    <cellStyle name="Obliczenia 2 19 45 2" xfId="23122"/>
    <cellStyle name="Obliczenia 2 19 45 3" xfId="23123"/>
    <cellStyle name="Obliczenia 2 19 46" xfId="23124"/>
    <cellStyle name="Obliczenia 2 19 46 2" xfId="23125"/>
    <cellStyle name="Obliczenia 2 19 46 3" xfId="23126"/>
    <cellStyle name="Obliczenia 2 19 47" xfId="23127"/>
    <cellStyle name="Obliczenia 2 19 47 2" xfId="23128"/>
    <cellStyle name="Obliczenia 2 19 47 3" xfId="23129"/>
    <cellStyle name="Obliczenia 2 19 48" xfId="23130"/>
    <cellStyle name="Obliczenia 2 19 48 2" xfId="23131"/>
    <cellStyle name="Obliczenia 2 19 48 3" xfId="23132"/>
    <cellStyle name="Obliczenia 2 19 49" xfId="23133"/>
    <cellStyle name="Obliczenia 2 19 49 2" xfId="23134"/>
    <cellStyle name="Obliczenia 2 19 49 3" xfId="23135"/>
    <cellStyle name="Obliczenia 2 19 5" xfId="23136"/>
    <cellStyle name="Obliczenia 2 19 5 2" xfId="23137"/>
    <cellStyle name="Obliczenia 2 19 5 3" xfId="23138"/>
    <cellStyle name="Obliczenia 2 19 5 4" xfId="23139"/>
    <cellStyle name="Obliczenia 2 19 50" xfId="23140"/>
    <cellStyle name="Obliczenia 2 19 50 2" xfId="23141"/>
    <cellStyle name="Obliczenia 2 19 50 3" xfId="23142"/>
    <cellStyle name="Obliczenia 2 19 51" xfId="23143"/>
    <cellStyle name="Obliczenia 2 19 51 2" xfId="23144"/>
    <cellStyle name="Obliczenia 2 19 51 3" xfId="23145"/>
    <cellStyle name="Obliczenia 2 19 52" xfId="23146"/>
    <cellStyle name="Obliczenia 2 19 52 2" xfId="23147"/>
    <cellStyle name="Obliczenia 2 19 52 3" xfId="23148"/>
    <cellStyle name="Obliczenia 2 19 53" xfId="23149"/>
    <cellStyle name="Obliczenia 2 19 53 2" xfId="23150"/>
    <cellStyle name="Obliczenia 2 19 53 3" xfId="23151"/>
    <cellStyle name="Obliczenia 2 19 54" xfId="23152"/>
    <cellStyle name="Obliczenia 2 19 54 2" xfId="23153"/>
    <cellStyle name="Obliczenia 2 19 54 3" xfId="23154"/>
    <cellStyle name="Obliczenia 2 19 55" xfId="23155"/>
    <cellStyle name="Obliczenia 2 19 55 2" xfId="23156"/>
    <cellStyle name="Obliczenia 2 19 55 3" xfId="23157"/>
    <cellStyle name="Obliczenia 2 19 56" xfId="23158"/>
    <cellStyle name="Obliczenia 2 19 56 2" xfId="23159"/>
    <cellStyle name="Obliczenia 2 19 56 3" xfId="23160"/>
    <cellStyle name="Obliczenia 2 19 57" xfId="23161"/>
    <cellStyle name="Obliczenia 2 19 58" xfId="23162"/>
    <cellStyle name="Obliczenia 2 19 6" xfId="23163"/>
    <cellStyle name="Obliczenia 2 19 6 2" xfId="23164"/>
    <cellStyle name="Obliczenia 2 19 6 3" xfId="23165"/>
    <cellStyle name="Obliczenia 2 19 6 4" xfId="23166"/>
    <cellStyle name="Obliczenia 2 19 7" xfId="23167"/>
    <cellStyle name="Obliczenia 2 19 7 2" xfId="23168"/>
    <cellStyle name="Obliczenia 2 19 7 3" xfId="23169"/>
    <cellStyle name="Obliczenia 2 19 7 4" xfId="23170"/>
    <cellStyle name="Obliczenia 2 19 8" xfId="23171"/>
    <cellStyle name="Obliczenia 2 19 8 2" xfId="23172"/>
    <cellStyle name="Obliczenia 2 19 8 3" xfId="23173"/>
    <cellStyle name="Obliczenia 2 19 8 4" xfId="23174"/>
    <cellStyle name="Obliczenia 2 19 9" xfId="23175"/>
    <cellStyle name="Obliczenia 2 19 9 2" xfId="23176"/>
    <cellStyle name="Obliczenia 2 19 9 3" xfId="23177"/>
    <cellStyle name="Obliczenia 2 19 9 4" xfId="23178"/>
    <cellStyle name="Obliczenia 2 2" xfId="23179"/>
    <cellStyle name="Obliczenia 2 2 10" xfId="23180"/>
    <cellStyle name="Obliczenia 2 2 10 2" xfId="23181"/>
    <cellStyle name="Obliczenia 2 2 10 3" xfId="23182"/>
    <cellStyle name="Obliczenia 2 2 10 4" xfId="23183"/>
    <cellStyle name="Obliczenia 2 2 11" xfId="23184"/>
    <cellStyle name="Obliczenia 2 2 11 2" xfId="23185"/>
    <cellStyle name="Obliczenia 2 2 11 3" xfId="23186"/>
    <cellStyle name="Obliczenia 2 2 11 4" xfId="23187"/>
    <cellStyle name="Obliczenia 2 2 12" xfId="23188"/>
    <cellStyle name="Obliczenia 2 2 12 2" xfId="23189"/>
    <cellStyle name="Obliczenia 2 2 12 3" xfId="23190"/>
    <cellStyle name="Obliczenia 2 2 12 4" xfId="23191"/>
    <cellStyle name="Obliczenia 2 2 13" xfId="23192"/>
    <cellStyle name="Obliczenia 2 2 13 2" xfId="23193"/>
    <cellStyle name="Obliczenia 2 2 13 3" xfId="23194"/>
    <cellStyle name="Obliczenia 2 2 13 4" xfId="23195"/>
    <cellStyle name="Obliczenia 2 2 14" xfId="23196"/>
    <cellStyle name="Obliczenia 2 2 14 2" xfId="23197"/>
    <cellStyle name="Obliczenia 2 2 14 3" xfId="23198"/>
    <cellStyle name="Obliczenia 2 2 14 4" xfId="23199"/>
    <cellStyle name="Obliczenia 2 2 15" xfId="23200"/>
    <cellStyle name="Obliczenia 2 2 15 2" xfId="23201"/>
    <cellStyle name="Obliczenia 2 2 15 3" xfId="23202"/>
    <cellStyle name="Obliczenia 2 2 15 4" xfId="23203"/>
    <cellStyle name="Obliczenia 2 2 16" xfId="23204"/>
    <cellStyle name="Obliczenia 2 2 16 2" xfId="23205"/>
    <cellStyle name="Obliczenia 2 2 16 3" xfId="23206"/>
    <cellStyle name="Obliczenia 2 2 16 4" xfId="23207"/>
    <cellStyle name="Obliczenia 2 2 17" xfId="23208"/>
    <cellStyle name="Obliczenia 2 2 17 2" xfId="23209"/>
    <cellStyle name="Obliczenia 2 2 17 3" xfId="23210"/>
    <cellStyle name="Obliczenia 2 2 17 4" xfId="23211"/>
    <cellStyle name="Obliczenia 2 2 18" xfId="23212"/>
    <cellStyle name="Obliczenia 2 2 18 2" xfId="23213"/>
    <cellStyle name="Obliczenia 2 2 18 3" xfId="23214"/>
    <cellStyle name="Obliczenia 2 2 18 4" xfId="23215"/>
    <cellStyle name="Obliczenia 2 2 19" xfId="23216"/>
    <cellStyle name="Obliczenia 2 2 19 2" xfId="23217"/>
    <cellStyle name="Obliczenia 2 2 19 3" xfId="23218"/>
    <cellStyle name="Obliczenia 2 2 19 4" xfId="23219"/>
    <cellStyle name="Obliczenia 2 2 2" xfId="23220"/>
    <cellStyle name="Obliczenia 2 2 2 2" xfId="23221"/>
    <cellStyle name="Obliczenia 2 2 2 3" xfId="23222"/>
    <cellStyle name="Obliczenia 2 2 2 4" xfId="23223"/>
    <cellStyle name="Obliczenia 2 2 20" xfId="23224"/>
    <cellStyle name="Obliczenia 2 2 20 2" xfId="23225"/>
    <cellStyle name="Obliczenia 2 2 20 3" xfId="23226"/>
    <cellStyle name="Obliczenia 2 2 20 4" xfId="23227"/>
    <cellStyle name="Obliczenia 2 2 21" xfId="23228"/>
    <cellStyle name="Obliczenia 2 2 21 2" xfId="23229"/>
    <cellStyle name="Obliczenia 2 2 21 3" xfId="23230"/>
    <cellStyle name="Obliczenia 2 2 22" xfId="23231"/>
    <cellStyle name="Obliczenia 2 2 22 2" xfId="23232"/>
    <cellStyle name="Obliczenia 2 2 22 3" xfId="23233"/>
    <cellStyle name="Obliczenia 2 2 23" xfId="23234"/>
    <cellStyle name="Obliczenia 2 2 23 2" xfId="23235"/>
    <cellStyle name="Obliczenia 2 2 23 3" xfId="23236"/>
    <cellStyle name="Obliczenia 2 2 24" xfId="23237"/>
    <cellStyle name="Obliczenia 2 2 24 2" xfId="23238"/>
    <cellStyle name="Obliczenia 2 2 24 3" xfId="23239"/>
    <cellStyle name="Obliczenia 2 2 25" xfId="23240"/>
    <cellStyle name="Obliczenia 2 2 25 2" xfId="23241"/>
    <cellStyle name="Obliczenia 2 2 25 3" xfId="23242"/>
    <cellStyle name="Obliczenia 2 2 26" xfId="23243"/>
    <cellStyle name="Obliczenia 2 2 26 2" xfId="23244"/>
    <cellStyle name="Obliczenia 2 2 26 3" xfId="23245"/>
    <cellStyle name="Obliczenia 2 2 27" xfId="23246"/>
    <cellStyle name="Obliczenia 2 2 27 2" xfId="23247"/>
    <cellStyle name="Obliczenia 2 2 27 3" xfId="23248"/>
    <cellStyle name="Obliczenia 2 2 28" xfId="23249"/>
    <cellStyle name="Obliczenia 2 2 28 2" xfId="23250"/>
    <cellStyle name="Obliczenia 2 2 28 3" xfId="23251"/>
    <cellStyle name="Obliczenia 2 2 29" xfId="23252"/>
    <cellStyle name="Obliczenia 2 2 29 2" xfId="23253"/>
    <cellStyle name="Obliczenia 2 2 29 3" xfId="23254"/>
    <cellStyle name="Obliczenia 2 2 3" xfId="23255"/>
    <cellStyle name="Obliczenia 2 2 3 2" xfId="23256"/>
    <cellStyle name="Obliczenia 2 2 3 3" xfId="23257"/>
    <cellStyle name="Obliczenia 2 2 3 4" xfId="23258"/>
    <cellStyle name="Obliczenia 2 2 30" xfId="23259"/>
    <cellStyle name="Obliczenia 2 2 30 2" xfId="23260"/>
    <cellStyle name="Obliczenia 2 2 30 3" xfId="23261"/>
    <cellStyle name="Obliczenia 2 2 31" xfId="23262"/>
    <cellStyle name="Obliczenia 2 2 31 2" xfId="23263"/>
    <cellStyle name="Obliczenia 2 2 31 3" xfId="23264"/>
    <cellStyle name="Obliczenia 2 2 32" xfId="23265"/>
    <cellStyle name="Obliczenia 2 2 32 2" xfId="23266"/>
    <cellStyle name="Obliczenia 2 2 32 3" xfId="23267"/>
    <cellStyle name="Obliczenia 2 2 33" xfId="23268"/>
    <cellStyle name="Obliczenia 2 2 33 2" xfId="23269"/>
    <cellStyle name="Obliczenia 2 2 33 3" xfId="23270"/>
    <cellStyle name="Obliczenia 2 2 34" xfId="23271"/>
    <cellStyle name="Obliczenia 2 2 34 2" xfId="23272"/>
    <cellStyle name="Obliczenia 2 2 34 3" xfId="23273"/>
    <cellStyle name="Obliczenia 2 2 35" xfId="23274"/>
    <cellStyle name="Obliczenia 2 2 35 2" xfId="23275"/>
    <cellStyle name="Obliczenia 2 2 35 3" xfId="23276"/>
    <cellStyle name="Obliczenia 2 2 36" xfId="23277"/>
    <cellStyle name="Obliczenia 2 2 36 2" xfId="23278"/>
    <cellStyle name="Obliczenia 2 2 36 3" xfId="23279"/>
    <cellStyle name="Obliczenia 2 2 37" xfId="23280"/>
    <cellStyle name="Obliczenia 2 2 37 2" xfId="23281"/>
    <cellStyle name="Obliczenia 2 2 37 3" xfId="23282"/>
    <cellStyle name="Obliczenia 2 2 38" xfId="23283"/>
    <cellStyle name="Obliczenia 2 2 38 2" xfId="23284"/>
    <cellStyle name="Obliczenia 2 2 38 3" xfId="23285"/>
    <cellStyle name="Obliczenia 2 2 39" xfId="23286"/>
    <cellStyle name="Obliczenia 2 2 39 2" xfId="23287"/>
    <cellStyle name="Obliczenia 2 2 39 3" xfId="23288"/>
    <cellStyle name="Obliczenia 2 2 4" xfId="23289"/>
    <cellStyle name="Obliczenia 2 2 4 2" xfId="23290"/>
    <cellStyle name="Obliczenia 2 2 4 3" xfId="23291"/>
    <cellStyle name="Obliczenia 2 2 4 4" xfId="23292"/>
    <cellStyle name="Obliczenia 2 2 40" xfId="23293"/>
    <cellStyle name="Obliczenia 2 2 40 2" xfId="23294"/>
    <cellStyle name="Obliczenia 2 2 40 3" xfId="23295"/>
    <cellStyle name="Obliczenia 2 2 41" xfId="23296"/>
    <cellStyle name="Obliczenia 2 2 41 2" xfId="23297"/>
    <cellStyle name="Obliczenia 2 2 41 3" xfId="23298"/>
    <cellStyle name="Obliczenia 2 2 42" xfId="23299"/>
    <cellStyle name="Obliczenia 2 2 42 2" xfId="23300"/>
    <cellStyle name="Obliczenia 2 2 42 3" xfId="23301"/>
    <cellStyle name="Obliczenia 2 2 43" xfId="23302"/>
    <cellStyle name="Obliczenia 2 2 43 2" xfId="23303"/>
    <cellStyle name="Obliczenia 2 2 43 3" xfId="23304"/>
    <cellStyle name="Obliczenia 2 2 44" xfId="23305"/>
    <cellStyle name="Obliczenia 2 2 44 2" xfId="23306"/>
    <cellStyle name="Obliczenia 2 2 44 3" xfId="23307"/>
    <cellStyle name="Obliczenia 2 2 45" xfId="23308"/>
    <cellStyle name="Obliczenia 2 2 45 2" xfId="23309"/>
    <cellStyle name="Obliczenia 2 2 45 3" xfId="23310"/>
    <cellStyle name="Obliczenia 2 2 46" xfId="23311"/>
    <cellStyle name="Obliczenia 2 2 46 2" xfId="23312"/>
    <cellStyle name="Obliczenia 2 2 46 3" xfId="23313"/>
    <cellStyle name="Obliczenia 2 2 47" xfId="23314"/>
    <cellStyle name="Obliczenia 2 2 47 2" xfId="23315"/>
    <cellStyle name="Obliczenia 2 2 47 3" xfId="23316"/>
    <cellStyle name="Obliczenia 2 2 48" xfId="23317"/>
    <cellStyle name="Obliczenia 2 2 48 2" xfId="23318"/>
    <cellStyle name="Obliczenia 2 2 48 3" xfId="23319"/>
    <cellStyle name="Obliczenia 2 2 49" xfId="23320"/>
    <cellStyle name="Obliczenia 2 2 49 2" xfId="23321"/>
    <cellStyle name="Obliczenia 2 2 49 3" xfId="23322"/>
    <cellStyle name="Obliczenia 2 2 5" xfId="23323"/>
    <cellStyle name="Obliczenia 2 2 5 2" xfId="23324"/>
    <cellStyle name="Obliczenia 2 2 5 3" xfId="23325"/>
    <cellStyle name="Obliczenia 2 2 5 4" xfId="23326"/>
    <cellStyle name="Obliczenia 2 2 50" xfId="23327"/>
    <cellStyle name="Obliczenia 2 2 50 2" xfId="23328"/>
    <cellStyle name="Obliczenia 2 2 50 3" xfId="23329"/>
    <cellStyle name="Obliczenia 2 2 51" xfId="23330"/>
    <cellStyle name="Obliczenia 2 2 51 2" xfId="23331"/>
    <cellStyle name="Obliczenia 2 2 51 3" xfId="23332"/>
    <cellStyle name="Obliczenia 2 2 52" xfId="23333"/>
    <cellStyle name="Obliczenia 2 2 52 2" xfId="23334"/>
    <cellStyle name="Obliczenia 2 2 52 3" xfId="23335"/>
    <cellStyle name="Obliczenia 2 2 53" xfId="23336"/>
    <cellStyle name="Obliczenia 2 2 53 2" xfId="23337"/>
    <cellStyle name="Obliczenia 2 2 53 3" xfId="23338"/>
    <cellStyle name="Obliczenia 2 2 54" xfId="23339"/>
    <cellStyle name="Obliczenia 2 2 54 2" xfId="23340"/>
    <cellStyle name="Obliczenia 2 2 54 3" xfId="23341"/>
    <cellStyle name="Obliczenia 2 2 55" xfId="23342"/>
    <cellStyle name="Obliczenia 2 2 55 2" xfId="23343"/>
    <cellStyle name="Obliczenia 2 2 55 3" xfId="23344"/>
    <cellStyle name="Obliczenia 2 2 56" xfId="23345"/>
    <cellStyle name="Obliczenia 2 2 56 2" xfId="23346"/>
    <cellStyle name="Obliczenia 2 2 56 3" xfId="23347"/>
    <cellStyle name="Obliczenia 2 2 57" xfId="23348"/>
    <cellStyle name="Obliczenia 2 2 58" xfId="23349"/>
    <cellStyle name="Obliczenia 2 2 59" xfId="23350"/>
    <cellStyle name="Obliczenia 2 2 6" xfId="23351"/>
    <cellStyle name="Obliczenia 2 2 6 2" xfId="23352"/>
    <cellStyle name="Obliczenia 2 2 6 3" xfId="23353"/>
    <cellStyle name="Obliczenia 2 2 6 4" xfId="23354"/>
    <cellStyle name="Obliczenia 2 2 7" xfId="23355"/>
    <cellStyle name="Obliczenia 2 2 7 2" xfId="23356"/>
    <cellStyle name="Obliczenia 2 2 7 3" xfId="23357"/>
    <cellStyle name="Obliczenia 2 2 7 4" xfId="23358"/>
    <cellStyle name="Obliczenia 2 2 8" xfId="23359"/>
    <cellStyle name="Obliczenia 2 2 8 2" xfId="23360"/>
    <cellStyle name="Obliczenia 2 2 8 3" xfId="23361"/>
    <cellStyle name="Obliczenia 2 2 8 4" xfId="23362"/>
    <cellStyle name="Obliczenia 2 2 9" xfId="23363"/>
    <cellStyle name="Obliczenia 2 2 9 2" xfId="23364"/>
    <cellStyle name="Obliczenia 2 2 9 3" xfId="23365"/>
    <cellStyle name="Obliczenia 2 2 9 4" xfId="23366"/>
    <cellStyle name="Obliczenia 2 20" xfId="23367"/>
    <cellStyle name="Obliczenia 2 20 10" xfId="23368"/>
    <cellStyle name="Obliczenia 2 20 10 2" xfId="23369"/>
    <cellStyle name="Obliczenia 2 20 10 3" xfId="23370"/>
    <cellStyle name="Obliczenia 2 20 10 4" xfId="23371"/>
    <cellStyle name="Obliczenia 2 20 11" xfId="23372"/>
    <cellStyle name="Obliczenia 2 20 11 2" xfId="23373"/>
    <cellStyle name="Obliczenia 2 20 11 3" xfId="23374"/>
    <cellStyle name="Obliczenia 2 20 11 4" xfId="23375"/>
    <cellStyle name="Obliczenia 2 20 12" xfId="23376"/>
    <cellStyle name="Obliczenia 2 20 12 2" xfId="23377"/>
    <cellStyle name="Obliczenia 2 20 12 3" xfId="23378"/>
    <cellStyle name="Obliczenia 2 20 12 4" xfId="23379"/>
    <cellStyle name="Obliczenia 2 20 13" xfId="23380"/>
    <cellStyle name="Obliczenia 2 20 13 2" xfId="23381"/>
    <cellStyle name="Obliczenia 2 20 13 3" xfId="23382"/>
    <cellStyle name="Obliczenia 2 20 13 4" xfId="23383"/>
    <cellStyle name="Obliczenia 2 20 14" xfId="23384"/>
    <cellStyle name="Obliczenia 2 20 14 2" xfId="23385"/>
    <cellStyle name="Obliczenia 2 20 14 3" xfId="23386"/>
    <cellStyle name="Obliczenia 2 20 14 4" xfId="23387"/>
    <cellStyle name="Obliczenia 2 20 15" xfId="23388"/>
    <cellStyle name="Obliczenia 2 20 15 2" xfId="23389"/>
    <cellStyle name="Obliczenia 2 20 15 3" xfId="23390"/>
    <cellStyle name="Obliczenia 2 20 15 4" xfId="23391"/>
    <cellStyle name="Obliczenia 2 20 16" xfId="23392"/>
    <cellStyle name="Obliczenia 2 20 16 2" xfId="23393"/>
    <cellStyle name="Obliczenia 2 20 16 3" xfId="23394"/>
    <cellStyle name="Obliczenia 2 20 16 4" xfId="23395"/>
    <cellStyle name="Obliczenia 2 20 17" xfId="23396"/>
    <cellStyle name="Obliczenia 2 20 17 2" xfId="23397"/>
    <cellStyle name="Obliczenia 2 20 17 3" xfId="23398"/>
    <cellStyle name="Obliczenia 2 20 17 4" xfId="23399"/>
    <cellStyle name="Obliczenia 2 20 18" xfId="23400"/>
    <cellStyle name="Obliczenia 2 20 18 2" xfId="23401"/>
    <cellStyle name="Obliczenia 2 20 18 3" xfId="23402"/>
    <cellStyle name="Obliczenia 2 20 18 4" xfId="23403"/>
    <cellStyle name="Obliczenia 2 20 19" xfId="23404"/>
    <cellStyle name="Obliczenia 2 20 19 2" xfId="23405"/>
    <cellStyle name="Obliczenia 2 20 19 3" xfId="23406"/>
    <cellStyle name="Obliczenia 2 20 19 4" xfId="23407"/>
    <cellStyle name="Obliczenia 2 20 2" xfId="23408"/>
    <cellStyle name="Obliczenia 2 20 2 2" xfId="23409"/>
    <cellStyle name="Obliczenia 2 20 2 3" xfId="23410"/>
    <cellStyle name="Obliczenia 2 20 2 4" xfId="23411"/>
    <cellStyle name="Obliczenia 2 20 20" xfId="23412"/>
    <cellStyle name="Obliczenia 2 20 20 2" xfId="23413"/>
    <cellStyle name="Obliczenia 2 20 20 3" xfId="23414"/>
    <cellStyle name="Obliczenia 2 20 20 4" xfId="23415"/>
    <cellStyle name="Obliczenia 2 20 21" xfId="23416"/>
    <cellStyle name="Obliczenia 2 20 21 2" xfId="23417"/>
    <cellStyle name="Obliczenia 2 20 21 3" xfId="23418"/>
    <cellStyle name="Obliczenia 2 20 22" xfId="23419"/>
    <cellStyle name="Obliczenia 2 20 22 2" xfId="23420"/>
    <cellStyle name="Obliczenia 2 20 22 3" xfId="23421"/>
    <cellStyle name="Obliczenia 2 20 23" xfId="23422"/>
    <cellStyle name="Obliczenia 2 20 23 2" xfId="23423"/>
    <cellStyle name="Obliczenia 2 20 23 3" xfId="23424"/>
    <cellStyle name="Obliczenia 2 20 24" xfId="23425"/>
    <cellStyle name="Obliczenia 2 20 24 2" xfId="23426"/>
    <cellStyle name="Obliczenia 2 20 24 3" xfId="23427"/>
    <cellStyle name="Obliczenia 2 20 25" xfId="23428"/>
    <cellStyle name="Obliczenia 2 20 25 2" xfId="23429"/>
    <cellStyle name="Obliczenia 2 20 25 3" xfId="23430"/>
    <cellStyle name="Obliczenia 2 20 26" xfId="23431"/>
    <cellStyle name="Obliczenia 2 20 26 2" xfId="23432"/>
    <cellStyle name="Obliczenia 2 20 26 3" xfId="23433"/>
    <cellStyle name="Obliczenia 2 20 27" xfId="23434"/>
    <cellStyle name="Obliczenia 2 20 27 2" xfId="23435"/>
    <cellStyle name="Obliczenia 2 20 27 3" xfId="23436"/>
    <cellStyle name="Obliczenia 2 20 28" xfId="23437"/>
    <cellStyle name="Obliczenia 2 20 28 2" xfId="23438"/>
    <cellStyle name="Obliczenia 2 20 28 3" xfId="23439"/>
    <cellStyle name="Obliczenia 2 20 29" xfId="23440"/>
    <cellStyle name="Obliczenia 2 20 29 2" xfId="23441"/>
    <cellStyle name="Obliczenia 2 20 29 3" xfId="23442"/>
    <cellStyle name="Obliczenia 2 20 3" xfId="23443"/>
    <cellStyle name="Obliczenia 2 20 3 2" xfId="23444"/>
    <cellStyle name="Obliczenia 2 20 3 3" xfId="23445"/>
    <cellStyle name="Obliczenia 2 20 3 4" xfId="23446"/>
    <cellStyle name="Obliczenia 2 20 30" xfId="23447"/>
    <cellStyle name="Obliczenia 2 20 30 2" xfId="23448"/>
    <cellStyle name="Obliczenia 2 20 30 3" xfId="23449"/>
    <cellStyle name="Obliczenia 2 20 31" xfId="23450"/>
    <cellStyle name="Obliczenia 2 20 31 2" xfId="23451"/>
    <cellStyle name="Obliczenia 2 20 31 3" xfId="23452"/>
    <cellStyle name="Obliczenia 2 20 32" xfId="23453"/>
    <cellStyle name="Obliczenia 2 20 32 2" xfId="23454"/>
    <cellStyle name="Obliczenia 2 20 32 3" xfId="23455"/>
    <cellStyle name="Obliczenia 2 20 33" xfId="23456"/>
    <cellStyle name="Obliczenia 2 20 33 2" xfId="23457"/>
    <cellStyle name="Obliczenia 2 20 33 3" xfId="23458"/>
    <cellStyle name="Obliczenia 2 20 34" xfId="23459"/>
    <cellStyle name="Obliczenia 2 20 34 2" xfId="23460"/>
    <cellStyle name="Obliczenia 2 20 34 3" xfId="23461"/>
    <cellStyle name="Obliczenia 2 20 35" xfId="23462"/>
    <cellStyle name="Obliczenia 2 20 35 2" xfId="23463"/>
    <cellStyle name="Obliczenia 2 20 35 3" xfId="23464"/>
    <cellStyle name="Obliczenia 2 20 36" xfId="23465"/>
    <cellStyle name="Obliczenia 2 20 36 2" xfId="23466"/>
    <cellStyle name="Obliczenia 2 20 36 3" xfId="23467"/>
    <cellStyle name="Obliczenia 2 20 37" xfId="23468"/>
    <cellStyle name="Obliczenia 2 20 37 2" xfId="23469"/>
    <cellStyle name="Obliczenia 2 20 37 3" xfId="23470"/>
    <cellStyle name="Obliczenia 2 20 38" xfId="23471"/>
    <cellStyle name="Obliczenia 2 20 38 2" xfId="23472"/>
    <cellStyle name="Obliczenia 2 20 38 3" xfId="23473"/>
    <cellStyle name="Obliczenia 2 20 39" xfId="23474"/>
    <cellStyle name="Obliczenia 2 20 39 2" xfId="23475"/>
    <cellStyle name="Obliczenia 2 20 39 3" xfId="23476"/>
    <cellStyle name="Obliczenia 2 20 4" xfId="23477"/>
    <cellStyle name="Obliczenia 2 20 4 2" xfId="23478"/>
    <cellStyle name="Obliczenia 2 20 4 3" xfId="23479"/>
    <cellStyle name="Obliczenia 2 20 4 4" xfId="23480"/>
    <cellStyle name="Obliczenia 2 20 40" xfId="23481"/>
    <cellStyle name="Obliczenia 2 20 40 2" xfId="23482"/>
    <cellStyle name="Obliczenia 2 20 40 3" xfId="23483"/>
    <cellStyle name="Obliczenia 2 20 41" xfId="23484"/>
    <cellStyle name="Obliczenia 2 20 41 2" xfId="23485"/>
    <cellStyle name="Obliczenia 2 20 41 3" xfId="23486"/>
    <cellStyle name="Obliczenia 2 20 42" xfId="23487"/>
    <cellStyle name="Obliczenia 2 20 42 2" xfId="23488"/>
    <cellStyle name="Obliczenia 2 20 42 3" xfId="23489"/>
    <cellStyle name="Obliczenia 2 20 43" xfId="23490"/>
    <cellStyle name="Obliczenia 2 20 43 2" xfId="23491"/>
    <cellStyle name="Obliczenia 2 20 43 3" xfId="23492"/>
    <cellStyle name="Obliczenia 2 20 44" xfId="23493"/>
    <cellStyle name="Obliczenia 2 20 44 2" xfId="23494"/>
    <cellStyle name="Obliczenia 2 20 44 3" xfId="23495"/>
    <cellStyle name="Obliczenia 2 20 45" xfId="23496"/>
    <cellStyle name="Obliczenia 2 20 45 2" xfId="23497"/>
    <cellStyle name="Obliczenia 2 20 45 3" xfId="23498"/>
    <cellStyle name="Obliczenia 2 20 46" xfId="23499"/>
    <cellStyle name="Obliczenia 2 20 46 2" xfId="23500"/>
    <cellStyle name="Obliczenia 2 20 46 3" xfId="23501"/>
    <cellStyle name="Obliczenia 2 20 47" xfId="23502"/>
    <cellStyle name="Obliczenia 2 20 47 2" xfId="23503"/>
    <cellStyle name="Obliczenia 2 20 47 3" xfId="23504"/>
    <cellStyle name="Obliczenia 2 20 48" xfId="23505"/>
    <cellStyle name="Obliczenia 2 20 48 2" xfId="23506"/>
    <cellStyle name="Obliczenia 2 20 48 3" xfId="23507"/>
    <cellStyle name="Obliczenia 2 20 49" xfId="23508"/>
    <cellStyle name="Obliczenia 2 20 49 2" xfId="23509"/>
    <cellStyle name="Obliczenia 2 20 49 3" xfId="23510"/>
    <cellStyle name="Obliczenia 2 20 5" xfId="23511"/>
    <cellStyle name="Obliczenia 2 20 5 2" xfId="23512"/>
    <cellStyle name="Obliczenia 2 20 5 3" xfId="23513"/>
    <cellStyle name="Obliczenia 2 20 5 4" xfId="23514"/>
    <cellStyle name="Obliczenia 2 20 50" xfId="23515"/>
    <cellStyle name="Obliczenia 2 20 50 2" xfId="23516"/>
    <cellStyle name="Obliczenia 2 20 50 3" xfId="23517"/>
    <cellStyle name="Obliczenia 2 20 51" xfId="23518"/>
    <cellStyle name="Obliczenia 2 20 51 2" xfId="23519"/>
    <cellStyle name="Obliczenia 2 20 51 3" xfId="23520"/>
    <cellStyle name="Obliczenia 2 20 52" xfId="23521"/>
    <cellStyle name="Obliczenia 2 20 52 2" xfId="23522"/>
    <cellStyle name="Obliczenia 2 20 52 3" xfId="23523"/>
    <cellStyle name="Obliczenia 2 20 53" xfId="23524"/>
    <cellStyle name="Obliczenia 2 20 53 2" xfId="23525"/>
    <cellStyle name="Obliczenia 2 20 53 3" xfId="23526"/>
    <cellStyle name="Obliczenia 2 20 54" xfId="23527"/>
    <cellStyle name="Obliczenia 2 20 54 2" xfId="23528"/>
    <cellStyle name="Obliczenia 2 20 54 3" xfId="23529"/>
    <cellStyle name="Obliczenia 2 20 55" xfId="23530"/>
    <cellStyle name="Obliczenia 2 20 55 2" xfId="23531"/>
    <cellStyle name="Obliczenia 2 20 55 3" xfId="23532"/>
    <cellStyle name="Obliczenia 2 20 56" xfId="23533"/>
    <cellStyle name="Obliczenia 2 20 56 2" xfId="23534"/>
    <cellStyle name="Obliczenia 2 20 56 3" xfId="23535"/>
    <cellStyle name="Obliczenia 2 20 57" xfId="23536"/>
    <cellStyle name="Obliczenia 2 20 58" xfId="23537"/>
    <cellStyle name="Obliczenia 2 20 6" xfId="23538"/>
    <cellStyle name="Obliczenia 2 20 6 2" xfId="23539"/>
    <cellStyle name="Obliczenia 2 20 6 3" xfId="23540"/>
    <cellStyle name="Obliczenia 2 20 6 4" xfId="23541"/>
    <cellStyle name="Obliczenia 2 20 7" xfId="23542"/>
    <cellStyle name="Obliczenia 2 20 7 2" xfId="23543"/>
    <cellStyle name="Obliczenia 2 20 7 3" xfId="23544"/>
    <cellStyle name="Obliczenia 2 20 7 4" xfId="23545"/>
    <cellStyle name="Obliczenia 2 20 8" xfId="23546"/>
    <cellStyle name="Obliczenia 2 20 8 2" xfId="23547"/>
    <cellStyle name="Obliczenia 2 20 8 3" xfId="23548"/>
    <cellStyle name="Obliczenia 2 20 8 4" xfId="23549"/>
    <cellStyle name="Obliczenia 2 20 9" xfId="23550"/>
    <cellStyle name="Obliczenia 2 20 9 2" xfId="23551"/>
    <cellStyle name="Obliczenia 2 20 9 3" xfId="23552"/>
    <cellStyle name="Obliczenia 2 20 9 4" xfId="23553"/>
    <cellStyle name="Obliczenia 2 21" xfId="23554"/>
    <cellStyle name="Obliczenia 2 21 10" xfId="23555"/>
    <cellStyle name="Obliczenia 2 21 10 2" xfId="23556"/>
    <cellStyle name="Obliczenia 2 21 10 3" xfId="23557"/>
    <cellStyle name="Obliczenia 2 21 10 4" xfId="23558"/>
    <cellStyle name="Obliczenia 2 21 11" xfId="23559"/>
    <cellStyle name="Obliczenia 2 21 11 2" xfId="23560"/>
    <cellStyle name="Obliczenia 2 21 11 3" xfId="23561"/>
    <cellStyle name="Obliczenia 2 21 11 4" xfId="23562"/>
    <cellStyle name="Obliczenia 2 21 12" xfId="23563"/>
    <cellStyle name="Obliczenia 2 21 12 2" xfId="23564"/>
    <cellStyle name="Obliczenia 2 21 12 3" xfId="23565"/>
    <cellStyle name="Obliczenia 2 21 12 4" xfId="23566"/>
    <cellStyle name="Obliczenia 2 21 13" xfId="23567"/>
    <cellStyle name="Obliczenia 2 21 13 2" xfId="23568"/>
    <cellStyle name="Obliczenia 2 21 13 3" xfId="23569"/>
    <cellStyle name="Obliczenia 2 21 13 4" xfId="23570"/>
    <cellStyle name="Obliczenia 2 21 14" xfId="23571"/>
    <cellStyle name="Obliczenia 2 21 14 2" xfId="23572"/>
    <cellStyle name="Obliczenia 2 21 14 3" xfId="23573"/>
    <cellStyle name="Obliczenia 2 21 14 4" xfId="23574"/>
    <cellStyle name="Obliczenia 2 21 15" xfId="23575"/>
    <cellStyle name="Obliczenia 2 21 15 2" xfId="23576"/>
    <cellStyle name="Obliczenia 2 21 15 3" xfId="23577"/>
    <cellStyle name="Obliczenia 2 21 15 4" xfId="23578"/>
    <cellStyle name="Obliczenia 2 21 16" xfId="23579"/>
    <cellStyle name="Obliczenia 2 21 16 2" xfId="23580"/>
    <cellStyle name="Obliczenia 2 21 16 3" xfId="23581"/>
    <cellStyle name="Obliczenia 2 21 16 4" xfId="23582"/>
    <cellStyle name="Obliczenia 2 21 17" xfId="23583"/>
    <cellStyle name="Obliczenia 2 21 17 2" xfId="23584"/>
    <cellStyle name="Obliczenia 2 21 17 3" xfId="23585"/>
    <cellStyle name="Obliczenia 2 21 17 4" xfId="23586"/>
    <cellStyle name="Obliczenia 2 21 18" xfId="23587"/>
    <cellStyle name="Obliczenia 2 21 18 2" xfId="23588"/>
    <cellStyle name="Obliczenia 2 21 18 3" xfId="23589"/>
    <cellStyle name="Obliczenia 2 21 18 4" xfId="23590"/>
    <cellStyle name="Obliczenia 2 21 19" xfId="23591"/>
    <cellStyle name="Obliczenia 2 21 19 2" xfId="23592"/>
    <cellStyle name="Obliczenia 2 21 19 3" xfId="23593"/>
    <cellStyle name="Obliczenia 2 21 19 4" xfId="23594"/>
    <cellStyle name="Obliczenia 2 21 2" xfId="23595"/>
    <cellStyle name="Obliczenia 2 21 2 2" xfId="23596"/>
    <cellStyle name="Obliczenia 2 21 2 3" xfId="23597"/>
    <cellStyle name="Obliczenia 2 21 2 4" xfId="23598"/>
    <cellStyle name="Obliczenia 2 21 20" xfId="23599"/>
    <cellStyle name="Obliczenia 2 21 20 2" xfId="23600"/>
    <cellStyle name="Obliczenia 2 21 20 3" xfId="23601"/>
    <cellStyle name="Obliczenia 2 21 20 4" xfId="23602"/>
    <cellStyle name="Obliczenia 2 21 21" xfId="23603"/>
    <cellStyle name="Obliczenia 2 21 21 2" xfId="23604"/>
    <cellStyle name="Obliczenia 2 21 21 3" xfId="23605"/>
    <cellStyle name="Obliczenia 2 21 22" xfId="23606"/>
    <cellStyle name="Obliczenia 2 21 22 2" xfId="23607"/>
    <cellStyle name="Obliczenia 2 21 22 3" xfId="23608"/>
    <cellStyle name="Obliczenia 2 21 23" xfId="23609"/>
    <cellStyle name="Obliczenia 2 21 23 2" xfId="23610"/>
    <cellStyle name="Obliczenia 2 21 23 3" xfId="23611"/>
    <cellStyle name="Obliczenia 2 21 24" xfId="23612"/>
    <cellStyle name="Obliczenia 2 21 24 2" xfId="23613"/>
    <cellStyle name="Obliczenia 2 21 24 3" xfId="23614"/>
    <cellStyle name="Obliczenia 2 21 25" xfId="23615"/>
    <cellStyle name="Obliczenia 2 21 25 2" xfId="23616"/>
    <cellStyle name="Obliczenia 2 21 25 3" xfId="23617"/>
    <cellStyle name="Obliczenia 2 21 26" xfId="23618"/>
    <cellStyle name="Obliczenia 2 21 26 2" xfId="23619"/>
    <cellStyle name="Obliczenia 2 21 26 3" xfId="23620"/>
    <cellStyle name="Obliczenia 2 21 27" xfId="23621"/>
    <cellStyle name="Obliczenia 2 21 27 2" xfId="23622"/>
    <cellStyle name="Obliczenia 2 21 27 3" xfId="23623"/>
    <cellStyle name="Obliczenia 2 21 28" xfId="23624"/>
    <cellStyle name="Obliczenia 2 21 28 2" xfId="23625"/>
    <cellStyle name="Obliczenia 2 21 28 3" xfId="23626"/>
    <cellStyle name="Obliczenia 2 21 29" xfId="23627"/>
    <cellStyle name="Obliczenia 2 21 29 2" xfId="23628"/>
    <cellStyle name="Obliczenia 2 21 29 3" xfId="23629"/>
    <cellStyle name="Obliczenia 2 21 3" xfId="23630"/>
    <cellStyle name="Obliczenia 2 21 3 2" xfId="23631"/>
    <cellStyle name="Obliczenia 2 21 3 3" xfId="23632"/>
    <cellStyle name="Obliczenia 2 21 3 4" xfId="23633"/>
    <cellStyle name="Obliczenia 2 21 30" xfId="23634"/>
    <cellStyle name="Obliczenia 2 21 30 2" xfId="23635"/>
    <cellStyle name="Obliczenia 2 21 30 3" xfId="23636"/>
    <cellStyle name="Obliczenia 2 21 31" xfId="23637"/>
    <cellStyle name="Obliczenia 2 21 31 2" xfId="23638"/>
    <cellStyle name="Obliczenia 2 21 31 3" xfId="23639"/>
    <cellStyle name="Obliczenia 2 21 32" xfId="23640"/>
    <cellStyle name="Obliczenia 2 21 32 2" xfId="23641"/>
    <cellStyle name="Obliczenia 2 21 32 3" xfId="23642"/>
    <cellStyle name="Obliczenia 2 21 33" xfId="23643"/>
    <cellStyle name="Obliczenia 2 21 33 2" xfId="23644"/>
    <cellStyle name="Obliczenia 2 21 33 3" xfId="23645"/>
    <cellStyle name="Obliczenia 2 21 34" xfId="23646"/>
    <cellStyle name="Obliczenia 2 21 34 2" xfId="23647"/>
    <cellStyle name="Obliczenia 2 21 34 3" xfId="23648"/>
    <cellStyle name="Obliczenia 2 21 35" xfId="23649"/>
    <cellStyle name="Obliczenia 2 21 35 2" xfId="23650"/>
    <cellStyle name="Obliczenia 2 21 35 3" xfId="23651"/>
    <cellStyle name="Obliczenia 2 21 36" xfId="23652"/>
    <cellStyle name="Obliczenia 2 21 36 2" xfId="23653"/>
    <cellStyle name="Obliczenia 2 21 36 3" xfId="23654"/>
    <cellStyle name="Obliczenia 2 21 37" xfId="23655"/>
    <cellStyle name="Obliczenia 2 21 37 2" xfId="23656"/>
    <cellStyle name="Obliczenia 2 21 37 3" xfId="23657"/>
    <cellStyle name="Obliczenia 2 21 38" xfId="23658"/>
    <cellStyle name="Obliczenia 2 21 38 2" xfId="23659"/>
    <cellStyle name="Obliczenia 2 21 38 3" xfId="23660"/>
    <cellStyle name="Obliczenia 2 21 39" xfId="23661"/>
    <cellStyle name="Obliczenia 2 21 39 2" xfId="23662"/>
    <cellStyle name="Obliczenia 2 21 39 3" xfId="23663"/>
    <cellStyle name="Obliczenia 2 21 4" xfId="23664"/>
    <cellStyle name="Obliczenia 2 21 4 2" xfId="23665"/>
    <cellStyle name="Obliczenia 2 21 4 3" xfId="23666"/>
    <cellStyle name="Obliczenia 2 21 4 4" xfId="23667"/>
    <cellStyle name="Obliczenia 2 21 40" xfId="23668"/>
    <cellStyle name="Obliczenia 2 21 40 2" xfId="23669"/>
    <cellStyle name="Obliczenia 2 21 40 3" xfId="23670"/>
    <cellStyle name="Obliczenia 2 21 41" xfId="23671"/>
    <cellStyle name="Obliczenia 2 21 41 2" xfId="23672"/>
    <cellStyle name="Obliczenia 2 21 41 3" xfId="23673"/>
    <cellStyle name="Obliczenia 2 21 42" xfId="23674"/>
    <cellStyle name="Obliczenia 2 21 42 2" xfId="23675"/>
    <cellStyle name="Obliczenia 2 21 42 3" xfId="23676"/>
    <cellStyle name="Obliczenia 2 21 43" xfId="23677"/>
    <cellStyle name="Obliczenia 2 21 43 2" xfId="23678"/>
    <cellStyle name="Obliczenia 2 21 43 3" xfId="23679"/>
    <cellStyle name="Obliczenia 2 21 44" xfId="23680"/>
    <cellStyle name="Obliczenia 2 21 44 2" xfId="23681"/>
    <cellStyle name="Obliczenia 2 21 44 3" xfId="23682"/>
    <cellStyle name="Obliczenia 2 21 45" xfId="23683"/>
    <cellStyle name="Obliczenia 2 21 45 2" xfId="23684"/>
    <cellStyle name="Obliczenia 2 21 45 3" xfId="23685"/>
    <cellStyle name="Obliczenia 2 21 46" xfId="23686"/>
    <cellStyle name="Obliczenia 2 21 46 2" xfId="23687"/>
    <cellStyle name="Obliczenia 2 21 46 3" xfId="23688"/>
    <cellStyle name="Obliczenia 2 21 47" xfId="23689"/>
    <cellStyle name="Obliczenia 2 21 47 2" xfId="23690"/>
    <cellStyle name="Obliczenia 2 21 47 3" xfId="23691"/>
    <cellStyle name="Obliczenia 2 21 48" xfId="23692"/>
    <cellStyle name="Obliczenia 2 21 48 2" xfId="23693"/>
    <cellStyle name="Obliczenia 2 21 48 3" xfId="23694"/>
    <cellStyle name="Obliczenia 2 21 49" xfId="23695"/>
    <cellStyle name="Obliczenia 2 21 49 2" xfId="23696"/>
    <cellStyle name="Obliczenia 2 21 49 3" xfId="23697"/>
    <cellStyle name="Obliczenia 2 21 5" xfId="23698"/>
    <cellStyle name="Obliczenia 2 21 5 2" xfId="23699"/>
    <cellStyle name="Obliczenia 2 21 5 3" xfId="23700"/>
    <cellStyle name="Obliczenia 2 21 5 4" xfId="23701"/>
    <cellStyle name="Obliczenia 2 21 50" xfId="23702"/>
    <cellStyle name="Obliczenia 2 21 50 2" xfId="23703"/>
    <cellStyle name="Obliczenia 2 21 50 3" xfId="23704"/>
    <cellStyle name="Obliczenia 2 21 51" xfId="23705"/>
    <cellStyle name="Obliczenia 2 21 51 2" xfId="23706"/>
    <cellStyle name="Obliczenia 2 21 51 3" xfId="23707"/>
    <cellStyle name="Obliczenia 2 21 52" xfId="23708"/>
    <cellStyle name="Obliczenia 2 21 52 2" xfId="23709"/>
    <cellStyle name="Obliczenia 2 21 52 3" xfId="23710"/>
    <cellStyle name="Obliczenia 2 21 53" xfId="23711"/>
    <cellStyle name="Obliczenia 2 21 53 2" xfId="23712"/>
    <cellStyle name="Obliczenia 2 21 53 3" xfId="23713"/>
    <cellStyle name="Obliczenia 2 21 54" xfId="23714"/>
    <cellStyle name="Obliczenia 2 21 54 2" xfId="23715"/>
    <cellStyle name="Obliczenia 2 21 54 3" xfId="23716"/>
    <cellStyle name="Obliczenia 2 21 55" xfId="23717"/>
    <cellStyle name="Obliczenia 2 21 55 2" xfId="23718"/>
    <cellStyle name="Obliczenia 2 21 55 3" xfId="23719"/>
    <cellStyle name="Obliczenia 2 21 56" xfId="23720"/>
    <cellStyle name="Obliczenia 2 21 56 2" xfId="23721"/>
    <cellStyle name="Obliczenia 2 21 56 3" xfId="23722"/>
    <cellStyle name="Obliczenia 2 21 57" xfId="23723"/>
    <cellStyle name="Obliczenia 2 21 58" xfId="23724"/>
    <cellStyle name="Obliczenia 2 21 6" xfId="23725"/>
    <cellStyle name="Obliczenia 2 21 6 2" xfId="23726"/>
    <cellStyle name="Obliczenia 2 21 6 3" xfId="23727"/>
    <cellStyle name="Obliczenia 2 21 6 4" xfId="23728"/>
    <cellStyle name="Obliczenia 2 21 7" xfId="23729"/>
    <cellStyle name="Obliczenia 2 21 7 2" xfId="23730"/>
    <cellStyle name="Obliczenia 2 21 7 3" xfId="23731"/>
    <cellStyle name="Obliczenia 2 21 7 4" xfId="23732"/>
    <cellStyle name="Obliczenia 2 21 8" xfId="23733"/>
    <cellStyle name="Obliczenia 2 21 8 2" xfId="23734"/>
    <cellStyle name="Obliczenia 2 21 8 3" xfId="23735"/>
    <cellStyle name="Obliczenia 2 21 8 4" xfId="23736"/>
    <cellStyle name="Obliczenia 2 21 9" xfId="23737"/>
    <cellStyle name="Obliczenia 2 21 9 2" xfId="23738"/>
    <cellStyle name="Obliczenia 2 21 9 3" xfId="23739"/>
    <cellStyle name="Obliczenia 2 21 9 4" xfId="23740"/>
    <cellStyle name="Obliczenia 2 22" xfId="23741"/>
    <cellStyle name="Obliczenia 2 22 10" xfId="23742"/>
    <cellStyle name="Obliczenia 2 22 10 2" xfId="23743"/>
    <cellStyle name="Obliczenia 2 22 10 3" xfId="23744"/>
    <cellStyle name="Obliczenia 2 22 10 4" xfId="23745"/>
    <cellStyle name="Obliczenia 2 22 11" xfId="23746"/>
    <cellStyle name="Obliczenia 2 22 11 2" xfId="23747"/>
    <cellStyle name="Obliczenia 2 22 11 3" xfId="23748"/>
    <cellStyle name="Obliczenia 2 22 11 4" xfId="23749"/>
    <cellStyle name="Obliczenia 2 22 12" xfId="23750"/>
    <cellStyle name="Obliczenia 2 22 12 2" xfId="23751"/>
    <cellStyle name="Obliczenia 2 22 12 3" xfId="23752"/>
    <cellStyle name="Obliczenia 2 22 12 4" xfId="23753"/>
    <cellStyle name="Obliczenia 2 22 13" xfId="23754"/>
    <cellStyle name="Obliczenia 2 22 13 2" xfId="23755"/>
    <cellStyle name="Obliczenia 2 22 13 3" xfId="23756"/>
    <cellStyle name="Obliczenia 2 22 13 4" xfId="23757"/>
    <cellStyle name="Obliczenia 2 22 14" xfId="23758"/>
    <cellStyle name="Obliczenia 2 22 14 2" xfId="23759"/>
    <cellStyle name="Obliczenia 2 22 14 3" xfId="23760"/>
    <cellStyle name="Obliczenia 2 22 14 4" xfId="23761"/>
    <cellStyle name="Obliczenia 2 22 15" xfId="23762"/>
    <cellStyle name="Obliczenia 2 22 15 2" xfId="23763"/>
    <cellStyle name="Obliczenia 2 22 15 3" xfId="23764"/>
    <cellStyle name="Obliczenia 2 22 15 4" xfId="23765"/>
    <cellStyle name="Obliczenia 2 22 16" xfId="23766"/>
    <cellStyle name="Obliczenia 2 22 16 2" xfId="23767"/>
    <cellStyle name="Obliczenia 2 22 16 3" xfId="23768"/>
    <cellStyle name="Obliczenia 2 22 16 4" xfId="23769"/>
    <cellStyle name="Obliczenia 2 22 17" xfId="23770"/>
    <cellStyle name="Obliczenia 2 22 17 2" xfId="23771"/>
    <cellStyle name="Obliczenia 2 22 17 3" xfId="23772"/>
    <cellStyle name="Obliczenia 2 22 17 4" xfId="23773"/>
    <cellStyle name="Obliczenia 2 22 18" xfId="23774"/>
    <cellStyle name="Obliczenia 2 22 18 2" xfId="23775"/>
    <cellStyle name="Obliczenia 2 22 18 3" xfId="23776"/>
    <cellStyle name="Obliczenia 2 22 18 4" xfId="23777"/>
    <cellStyle name="Obliczenia 2 22 19" xfId="23778"/>
    <cellStyle name="Obliczenia 2 22 19 2" xfId="23779"/>
    <cellStyle name="Obliczenia 2 22 19 3" xfId="23780"/>
    <cellStyle name="Obliczenia 2 22 19 4" xfId="23781"/>
    <cellStyle name="Obliczenia 2 22 2" xfId="23782"/>
    <cellStyle name="Obliczenia 2 22 2 2" xfId="23783"/>
    <cellStyle name="Obliczenia 2 22 2 3" xfId="23784"/>
    <cellStyle name="Obliczenia 2 22 2 4" xfId="23785"/>
    <cellStyle name="Obliczenia 2 22 20" xfId="23786"/>
    <cellStyle name="Obliczenia 2 22 20 2" xfId="23787"/>
    <cellStyle name="Obliczenia 2 22 20 3" xfId="23788"/>
    <cellStyle name="Obliczenia 2 22 20 4" xfId="23789"/>
    <cellStyle name="Obliczenia 2 22 21" xfId="23790"/>
    <cellStyle name="Obliczenia 2 22 21 2" xfId="23791"/>
    <cellStyle name="Obliczenia 2 22 21 3" xfId="23792"/>
    <cellStyle name="Obliczenia 2 22 22" xfId="23793"/>
    <cellStyle name="Obliczenia 2 22 22 2" xfId="23794"/>
    <cellStyle name="Obliczenia 2 22 22 3" xfId="23795"/>
    <cellStyle name="Obliczenia 2 22 23" xfId="23796"/>
    <cellStyle name="Obliczenia 2 22 23 2" xfId="23797"/>
    <cellStyle name="Obliczenia 2 22 23 3" xfId="23798"/>
    <cellStyle name="Obliczenia 2 22 24" xfId="23799"/>
    <cellStyle name="Obliczenia 2 22 24 2" xfId="23800"/>
    <cellStyle name="Obliczenia 2 22 24 3" xfId="23801"/>
    <cellStyle name="Obliczenia 2 22 25" xfId="23802"/>
    <cellStyle name="Obliczenia 2 22 25 2" xfId="23803"/>
    <cellStyle name="Obliczenia 2 22 25 3" xfId="23804"/>
    <cellStyle name="Obliczenia 2 22 26" xfId="23805"/>
    <cellStyle name="Obliczenia 2 22 26 2" xfId="23806"/>
    <cellStyle name="Obliczenia 2 22 26 3" xfId="23807"/>
    <cellStyle name="Obliczenia 2 22 27" xfId="23808"/>
    <cellStyle name="Obliczenia 2 22 27 2" xfId="23809"/>
    <cellStyle name="Obliczenia 2 22 27 3" xfId="23810"/>
    <cellStyle name="Obliczenia 2 22 28" xfId="23811"/>
    <cellStyle name="Obliczenia 2 22 28 2" xfId="23812"/>
    <cellStyle name="Obliczenia 2 22 28 3" xfId="23813"/>
    <cellStyle name="Obliczenia 2 22 29" xfId="23814"/>
    <cellStyle name="Obliczenia 2 22 29 2" xfId="23815"/>
    <cellStyle name="Obliczenia 2 22 29 3" xfId="23816"/>
    <cellStyle name="Obliczenia 2 22 3" xfId="23817"/>
    <cellStyle name="Obliczenia 2 22 3 2" xfId="23818"/>
    <cellStyle name="Obliczenia 2 22 3 3" xfId="23819"/>
    <cellStyle name="Obliczenia 2 22 3 4" xfId="23820"/>
    <cellStyle name="Obliczenia 2 22 30" xfId="23821"/>
    <cellStyle name="Obliczenia 2 22 30 2" xfId="23822"/>
    <cellStyle name="Obliczenia 2 22 30 3" xfId="23823"/>
    <cellStyle name="Obliczenia 2 22 31" xfId="23824"/>
    <cellStyle name="Obliczenia 2 22 31 2" xfId="23825"/>
    <cellStyle name="Obliczenia 2 22 31 3" xfId="23826"/>
    <cellStyle name="Obliczenia 2 22 32" xfId="23827"/>
    <cellStyle name="Obliczenia 2 22 32 2" xfId="23828"/>
    <cellStyle name="Obliczenia 2 22 32 3" xfId="23829"/>
    <cellStyle name="Obliczenia 2 22 33" xfId="23830"/>
    <cellStyle name="Obliczenia 2 22 33 2" xfId="23831"/>
    <cellStyle name="Obliczenia 2 22 33 3" xfId="23832"/>
    <cellStyle name="Obliczenia 2 22 34" xfId="23833"/>
    <cellStyle name="Obliczenia 2 22 34 2" xfId="23834"/>
    <cellStyle name="Obliczenia 2 22 34 3" xfId="23835"/>
    <cellStyle name="Obliczenia 2 22 35" xfId="23836"/>
    <cellStyle name="Obliczenia 2 22 35 2" xfId="23837"/>
    <cellStyle name="Obliczenia 2 22 35 3" xfId="23838"/>
    <cellStyle name="Obliczenia 2 22 36" xfId="23839"/>
    <cellStyle name="Obliczenia 2 22 36 2" xfId="23840"/>
    <cellStyle name="Obliczenia 2 22 36 3" xfId="23841"/>
    <cellStyle name="Obliczenia 2 22 37" xfId="23842"/>
    <cellStyle name="Obliczenia 2 22 37 2" xfId="23843"/>
    <cellStyle name="Obliczenia 2 22 37 3" xfId="23844"/>
    <cellStyle name="Obliczenia 2 22 38" xfId="23845"/>
    <cellStyle name="Obliczenia 2 22 38 2" xfId="23846"/>
    <cellStyle name="Obliczenia 2 22 38 3" xfId="23847"/>
    <cellStyle name="Obliczenia 2 22 39" xfId="23848"/>
    <cellStyle name="Obliczenia 2 22 39 2" xfId="23849"/>
    <cellStyle name="Obliczenia 2 22 39 3" xfId="23850"/>
    <cellStyle name="Obliczenia 2 22 4" xfId="23851"/>
    <cellStyle name="Obliczenia 2 22 4 2" xfId="23852"/>
    <cellStyle name="Obliczenia 2 22 4 3" xfId="23853"/>
    <cellStyle name="Obliczenia 2 22 4 4" xfId="23854"/>
    <cellStyle name="Obliczenia 2 22 40" xfId="23855"/>
    <cellStyle name="Obliczenia 2 22 40 2" xfId="23856"/>
    <cellStyle name="Obliczenia 2 22 40 3" xfId="23857"/>
    <cellStyle name="Obliczenia 2 22 41" xfId="23858"/>
    <cellStyle name="Obliczenia 2 22 41 2" xfId="23859"/>
    <cellStyle name="Obliczenia 2 22 41 3" xfId="23860"/>
    <cellStyle name="Obliczenia 2 22 42" xfId="23861"/>
    <cellStyle name="Obliczenia 2 22 42 2" xfId="23862"/>
    <cellStyle name="Obliczenia 2 22 42 3" xfId="23863"/>
    <cellStyle name="Obliczenia 2 22 43" xfId="23864"/>
    <cellStyle name="Obliczenia 2 22 43 2" xfId="23865"/>
    <cellStyle name="Obliczenia 2 22 43 3" xfId="23866"/>
    <cellStyle name="Obliczenia 2 22 44" xfId="23867"/>
    <cellStyle name="Obliczenia 2 22 44 2" xfId="23868"/>
    <cellStyle name="Obliczenia 2 22 44 3" xfId="23869"/>
    <cellStyle name="Obliczenia 2 22 45" xfId="23870"/>
    <cellStyle name="Obliczenia 2 22 45 2" xfId="23871"/>
    <cellStyle name="Obliczenia 2 22 45 3" xfId="23872"/>
    <cellStyle name="Obliczenia 2 22 46" xfId="23873"/>
    <cellStyle name="Obliczenia 2 22 46 2" xfId="23874"/>
    <cellStyle name="Obliczenia 2 22 46 3" xfId="23875"/>
    <cellStyle name="Obliczenia 2 22 47" xfId="23876"/>
    <cellStyle name="Obliczenia 2 22 47 2" xfId="23877"/>
    <cellStyle name="Obliczenia 2 22 47 3" xfId="23878"/>
    <cellStyle name="Obliczenia 2 22 48" xfId="23879"/>
    <cellStyle name="Obliczenia 2 22 48 2" xfId="23880"/>
    <cellStyle name="Obliczenia 2 22 48 3" xfId="23881"/>
    <cellStyle name="Obliczenia 2 22 49" xfId="23882"/>
    <cellStyle name="Obliczenia 2 22 49 2" xfId="23883"/>
    <cellStyle name="Obliczenia 2 22 49 3" xfId="23884"/>
    <cellStyle name="Obliczenia 2 22 5" xfId="23885"/>
    <cellStyle name="Obliczenia 2 22 5 2" xfId="23886"/>
    <cellStyle name="Obliczenia 2 22 5 3" xfId="23887"/>
    <cellStyle name="Obliczenia 2 22 5 4" xfId="23888"/>
    <cellStyle name="Obliczenia 2 22 50" xfId="23889"/>
    <cellStyle name="Obliczenia 2 22 50 2" xfId="23890"/>
    <cellStyle name="Obliczenia 2 22 50 3" xfId="23891"/>
    <cellStyle name="Obliczenia 2 22 51" xfId="23892"/>
    <cellStyle name="Obliczenia 2 22 51 2" xfId="23893"/>
    <cellStyle name="Obliczenia 2 22 51 3" xfId="23894"/>
    <cellStyle name="Obliczenia 2 22 52" xfId="23895"/>
    <cellStyle name="Obliczenia 2 22 52 2" xfId="23896"/>
    <cellStyle name="Obliczenia 2 22 52 3" xfId="23897"/>
    <cellStyle name="Obliczenia 2 22 53" xfId="23898"/>
    <cellStyle name="Obliczenia 2 22 53 2" xfId="23899"/>
    <cellStyle name="Obliczenia 2 22 53 3" xfId="23900"/>
    <cellStyle name="Obliczenia 2 22 54" xfId="23901"/>
    <cellStyle name="Obliczenia 2 22 54 2" xfId="23902"/>
    <cellStyle name="Obliczenia 2 22 54 3" xfId="23903"/>
    <cellStyle name="Obliczenia 2 22 55" xfId="23904"/>
    <cellStyle name="Obliczenia 2 22 55 2" xfId="23905"/>
    <cellStyle name="Obliczenia 2 22 55 3" xfId="23906"/>
    <cellStyle name="Obliczenia 2 22 56" xfId="23907"/>
    <cellStyle name="Obliczenia 2 22 56 2" xfId="23908"/>
    <cellStyle name="Obliczenia 2 22 56 3" xfId="23909"/>
    <cellStyle name="Obliczenia 2 22 57" xfId="23910"/>
    <cellStyle name="Obliczenia 2 22 58" xfId="23911"/>
    <cellStyle name="Obliczenia 2 22 6" xfId="23912"/>
    <cellStyle name="Obliczenia 2 22 6 2" xfId="23913"/>
    <cellStyle name="Obliczenia 2 22 6 3" xfId="23914"/>
    <cellStyle name="Obliczenia 2 22 6 4" xfId="23915"/>
    <cellStyle name="Obliczenia 2 22 7" xfId="23916"/>
    <cellStyle name="Obliczenia 2 22 7 2" xfId="23917"/>
    <cellStyle name="Obliczenia 2 22 7 3" xfId="23918"/>
    <cellStyle name="Obliczenia 2 22 7 4" xfId="23919"/>
    <cellStyle name="Obliczenia 2 22 8" xfId="23920"/>
    <cellStyle name="Obliczenia 2 22 8 2" xfId="23921"/>
    <cellStyle name="Obliczenia 2 22 8 3" xfId="23922"/>
    <cellStyle name="Obliczenia 2 22 8 4" xfId="23923"/>
    <cellStyle name="Obliczenia 2 22 9" xfId="23924"/>
    <cellStyle name="Obliczenia 2 22 9 2" xfId="23925"/>
    <cellStyle name="Obliczenia 2 22 9 3" xfId="23926"/>
    <cellStyle name="Obliczenia 2 22 9 4" xfId="23927"/>
    <cellStyle name="Obliczenia 2 23" xfId="23928"/>
    <cellStyle name="Obliczenia 2 23 10" xfId="23929"/>
    <cellStyle name="Obliczenia 2 23 10 2" xfId="23930"/>
    <cellStyle name="Obliczenia 2 23 10 3" xfId="23931"/>
    <cellStyle name="Obliczenia 2 23 10 4" xfId="23932"/>
    <cellStyle name="Obliczenia 2 23 11" xfId="23933"/>
    <cellStyle name="Obliczenia 2 23 11 2" xfId="23934"/>
    <cellStyle name="Obliczenia 2 23 11 3" xfId="23935"/>
    <cellStyle name="Obliczenia 2 23 11 4" xfId="23936"/>
    <cellStyle name="Obliczenia 2 23 12" xfId="23937"/>
    <cellStyle name="Obliczenia 2 23 12 2" xfId="23938"/>
    <cellStyle name="Obliczenia 2 23 12 3" xfId="23939"/>
    <cellStyle name="Obliczenia 2 23 12 4" xfId="23940"/>
    <cellStyle name="Obliczenia 2 23 13" xfId="23941"/>
    <cellStyle name="Obliczenia 2 23 13 2" xfId="23942"/>
    <cellStyle name="Obliczenia 2 23 13 3" xfId="23943"/>
    <cellStyle name="Obliczenia 2 23 13 4" xfId="23944"/>
    <cellStyle name="Obliczenia 2 23 14" xfId="23945"/>
    <cellStyle name="Obliczenia 2 23 14 2" xfId="23946"/>
    <cellStyle name="Obliczenia 2 23 14 3" xfId="23947"/>
    <cellStyle name="Obliczenia 2 23 14 4" xfId="23948"/>
    <cellStyle name="Obliczenia 2 23 15" xfId="23949"/>
    <cellStyle name="Obliczenia 2 23 15 2" xfId="23950"/>
    <cellStyle name="Obliczenia 2 23 15 3" xfId="23951"/>
    <cellStyle name="Obliczenia 2 23 15 4" xfId="23952"/>
    <cellStyle name="Obliczenia 2 23 16" xfId="23953"/>
    <cellStyle name="Obliczenia 2 23 16 2" xfId="23954"/>
    <cellStyle name="Obliczenia 2 23 16 3" xfId="23955"/>
    <cellStyle name="Obliczenia 2 23 16 4" xfId="23956"/>
    <cellStyle name="Obliczenia 2 23 17" xfId="23957"/>
    <cellStyle name="Obliczenia 2 23 17 2" xfId="23958"/>
    <cellStyle name="Obliczenia 2 23 17 3" xfId="23959"/>
    <cellStyle name="Obliczenia 2 23 17 4" xfId="23960"/>
    <cellStyle name="Obliczenia 2 23 18" xfId="23961"/>
    <cellStyle name="Obliczenia 2 23 18 2" xfId="23962"/>
    <cellStyle name="Obliczenia 2 23 18 3" xfId="23963"/>
    <cellStyle name="Obliczenia 2 23 18 4" xfId="23964"/>
    <cellStyle name="Obliczenia 2 23 19" xfId="23965"/>
    <cellStyle name="Obliczenia 2 23 19 2" xfId="23966"/>
    <cellStyle name="Obliczenia 2 23 19 3" xfId="23967"/>
    <cellStyle name="Obliczenia 2 23 19 4" xfId="23968"/>
    <cellStyle name="Obliczenia 2 23 2" xfId="23969"/>
    <cellStyle name="Obliczenia 2 23 2 2" xfId="23970"/>
    <cellStyle name="Obliczenia 2 23 2 3" xfId="23971"/>
    <cellStyle name="Obliczenia 2 23 2 4" xfId="23972"/>
    <cellStyle name="Obliczenia 2 23 20" xfId="23973"/>
    <cellStyle name="Obliczenia 2 23 20 2" xfId="23974"/>
    <cellStyle name="Obliczenia 2 23 20 3" xfId="23975"/>
    <cellStyle name="Obliczenia 2 23 20 4" xfId="23976"/>
    <cellStyle name="Obliczenia 2 23 21" xfId="23977"/>
    <cellStyle name="Obliczenia 2 23 21 2" xfId="23978"/>
    <cellStyle name="Obliczenia 2 23 21 3" xfId="23979"/>
    <cellStyle name="Obliczenia 2 23 22" xfId="23980"/>
    <cellStyle name="Obliczenia 2 23 22 2" xfId="23981"/>
    <cellStyle name="Obliczenia 2 23 22 3" xfId="23982"/>
    <cellStyle name="Obliczenia 2 23 23" xfId="23983"/>
    <cellStyle name="Obliczenia 2 23 23 2" xfId="23984"/>
    <cellStyle name="Obliczenia 2 23 23 3" xfId="23985"/>
    <cellStyle name="Obliczenia 2 23 24" xfId="23986"/>
    <cellStyle name="Obliczenia 2 23 24 2" xfId="23987"/>
    <cellStyle name="Obliczenia 2 23 24 3" xfId="23988"/>
    <cellStyle name="Obliczenia 2 23 25" xfId="23989"/>
    <cellStyle name="Obliczenia 2 23 25 2" xfId="23990"/>
    <cellStyle name="Obliczenia 2 23 25 3" xfId="23991"/>
    <cellStyle name="Obliczenia 2 23 26" xfId="23992"/>
    <cellStyle name="Obliczenia 2 23 26 2" xfId="23993"/>
    <cellStyle name="Obliczenia 2 23 26 3" xfId="23994"/>
    <cellStyle name="Obliczenia 2 23 27" xfId="23995"/>
    <cellStyle name="Obliczenia 2 23 27 2" xfId="23996"/>
    <cellStyle name="Obliczenia 2 23 27 3" xfId="23997"/>
    <cellStyle name="Obliczenia 2 23 28" xfId="23998"/>
    <cellStyle name="Obliczenia 2 23 28 2" xfId="23999"/>
    <cellStyle name="Obliczenia 2 23 28 3" xfId="24000"/>
    <cellStyle name="Obliczenia 2 23 29" xfId="24001"/>
    <cellStyle name="Obliczenia 2 23 29 2" xfId="24002"/>
    <cellStyle name="Obliczenia 2 23 29 3" xfId="24003"/>
    <cellStyle name="Obliczenia 2 23 3" xfId="24004"/>
    <cellStyle name="Obliczenia 2 23 3 2" xfId="24005"/>
    <cellStyle name="Obliczenia 2 23 3 3" xfId="24006"/>
    <cellStyle name="Obliczenia 2 23 3 4" xfId="24007"/>
    <cellStyle name="Obliczenia 2 23 30" xfId="24008"/>
    <cellStyle name="Obliczenia 2 23 30 2" xfId="24009"/>
    <cellStyle name="Obliczenia 2 23 30 3" xfId="24010"/>
    <cellStyle name="Obliczenia 2 23 31" xfId="24011"/>
    <cellStyle name="Obliczenia 2 23 31 2" xfId="24012"/>
    <cellStyle name="Obliczenia 2 23 31 3" xfId="24013"/>
    <cellStyle name="Obliczenia 2 23 32" xfId="24014"/>
    <cellStyle name="Obliczenia 2 23 32 2" xfId="24015"/>
    <cellStyle name="Obliczenia 2 23 32 3" xfId="24016"/>
    <cellStyle name="Obliczenia 2 23 33" xfId="24017"/>
    <cellStyle name="Obliczenia 2 23 33 2" xfId="24018"/>
    <cellStyle name="Obliczenia 2 23 33 3" xfId="24019"/>
    <cellStyle name="Obliczenia 2 23 34" xfId="24020"/>
    <cellStyle name="Obliczenia 2 23 34 2" xfId="24021"/>
    <cellStyle name="Obliczenia 2 23 34 3" xfId="24022"/>
    <cellStyle name="Obliczenia 2 23 35" xfId="24023"/>
    <cellStyle name="Obliczenia 2 23 35 2" xfId="24024"/>
    <cellStyle name="Obliczenia 2 23 35 3" xfId="24025"/>
    <cellStyle name="Obliczenia 2 23 36" xfId="24026"/>
    <cellStyle name="Obliczenia 2 23 36 2" xfId="24027"/>
    <cellStyle name="Obliczenia 2 23 36 3" xfId="24028"/>
    <cellStyle name="Obliczenia 2 23 37" xfId="24029"/>
    <cellStyle name="Obliczenia 2 23 37 2" xfId="24030"/>
    <cellStyle name="Obliczenia 2 23 37 3" xfId="24031"/>
    <cellStyle name="Obliczenia 2 23 38" xfId="24032"/>
    <cellStyle name="Obliczenia 2 23 38 2" xfId="24033"/>
    <cellStyle name="Obliczenia 2 23 38 3" xfId="24034"/>
    <cellStyle name="Obliczenia 2 23 39" xfId="24035"/>
    <cellStyle name="Obliczenia 2 23 39 2" xfId="24036"/>
    <cellStyle name="Obliczenia 2 23 39 3" xfId="24037"/>
    <cellStyle name="Obliczenia 2 23 4" xfId="24038"/>
    <cellStyle name="Obliczenia 2 23 4 2" xfId="24039"/>
    <cellStyle name="Obliczenia 2 23 4 3" xfId="24040"/>
    <cellStyle name="Obliczenia 2 23 4 4" xfId="24041"/>
    <cellStyle name="Obliczenia 2 23 40" xfId="24042"/>
    <cellStyle name="Obliczenia 2 23 40 2" xfId="24043"/>
    <cellStyle name="Obliczenia 2 23 40 3" xfId="24044"/>
    <cellStyle name="Obliczenia 2 23 41" xfId="24045"/>
    <cellStyle name="Obliczenia 2 23 41 2" xfId="24046"/>
    <cellStyle name="Obliczenia 2 23 41 3" xfId="24047"/>
    <cellStyle name="Obliczenia 2 23 42" xfId="24048"/>
    <cellStyle name="Obliczenia 2 23 42 2" xfId="24049"/>
    <cellStyle name="Obliczenia 2 23 42 3" xfId="24050"/>
    <cellStyle name="Obliczenia 2 23 43" xfId="24051"/>
    <cellStyle name="Obliczenia 2 23 43 2" xfId="24052"/>
    <cellStyle name="Obliczenia 2 23 43 3" xfId="24053"/>
    <cellStyle name="Obliczenia 2 23 44" xfId="24054"/>
    <cellStyle name="Obliczenia 2 23 44 2" xfId="24055"/>
    <cellStyle name="Obliczenia 2 23 44 3" xfId="24056"/>
    <cellStyle name="Obliczenia 2 23 45" xfId="24057"/>
    <cellStyle name="Obliczenia 2 23 45 2" xfId="24058"/>
    <cellStyle name="Obliczenia 2 23 45 3" xfId="24059"/>
    <cellStyle name="Obliczenia 2 23 46" xfId="24060"/>
    <cellStyle name="Obliczenia 2 23 46 2" xfId="24061"/>
    <cellStyle name="Obliczenia 2 23 46 3" xfId="24062"/>
    <cellStyle name="Obliczenia 2 23 47" xfId="24063"/>
    <cellStyle name="Obliczenia 2 23 47 2" xfId="24064"/>
    <cellStyle name="Obliczenia 2 23 47 3" xfId="24065"/>
    <cellStyle name="Obliczenia 2 23 48" xfId="24066"/>
    <cellStyle name="Obliczenia 2 23 48 2" xfId="24067"/>
    <cellStyle name="Obliczenia 2 23 48 3" xfId="24068"/>
    <cellStyle name="Obliczenia 2 23 49" xfId="24069"/>
    <cellStyle name="Obliczenia 2 23 49 2" xfId="24070"/>
    <cellStyle name="Obliczenia 2 23 49 3" xfId="24071"/>
    <cellStyle name="Obliczenia 2 23 5" xfId="24072"/>
    <cellStyle name="Obliczenia 2 23 5 2" xfId="24073"/>
    <cellStyle name="Obliczenia 2 23 5 3" xfId="24074"/>
    <cellStyle name="Obliczenia 2 23 5 4" xfId="24075"/>
    <cellStyle name="Obliczenia 2 23 50" xfId="24076"/>
    <cellStyle name="Obliczenia 2 23 50 2" xfId="24077"/>
    <cellStyle name="Obliczenia 2 23 50 3" xfId="24078"/>
    <cellStyle name="Obliczenia 2 23 51" xfId="24079"/>
    <cellStyle name="Obliczenia 2 23 51 2" xfId="24080"/>
    <cellStyle name="Obliczenia 2 23 51 3" xfId="24081"/>
    <cellStyle name="Obliczenia 2 23 52" xfId="24082"/>
    <cellStyle name="Obliczenia 2 23 52 2" xfId="24083"/>
    <cellStyle name="Obliczenia 2 23 52 3" xfId="24084"/>
    <cellStyle name="Obliczenia 2 23 53" xfId="24085"/>
    <cellStyle name="Obliczenia 2 23 53 2" xfId="24086"/>
    <cellStyle name="Obliczenia 2 23 53 3" xfId="24087"/>
    <cellStyle name="Obliczenia 2 23 54" xfId="24088"/>
    <cellStyle name="Obliczenia 2 23 54 2" xfId="24089"/>
    <cellStyle name="Obliczenia 2 23 54 3" xfId="24090"/>
    <cellStyle name="Obliczenia 2 23 55" xfId="24091"/>
    <cellStyle name="Obliczenia 2 23 55 2" xfId="24092"/>
    <cellStyle name="Obliczenia 2 23 55 3" xfId="24093"/>
    <cellStyle name="Obliczenia 2 23 56" xfId="24094"/>
    <cellStyle name="Obliczenia 2 23 56 2" xfId="24095"/>
    <cellStyle name="Obliczenia 2 23 56 3" xfId="24096"/>
    <cellStyle name="Obliczenia 2 23 57" xfId="24097"/>
    <cellStyle name="Obliczenia 2 23 58" xfId="24098"/>
    <cellStyle name="Obliczenia 2 23 6" xfId="24099"/>
    <cellStyle name="Obliczenia 2 23 6 2" xfId="24100"/>
    <cellStyle name="Obliczenia 2 23 6 3" xfId="24101"/>
    <cellStyle name="Obliczenia 2 23 6 4" xfId="24102"/>
    <cellStyle name="Obliczenia 2 23 7" xfId="24103"/>
    <cellStyle name="Obliczenia 2 23 7 2" xfId="24104"/>
    <cellStyle name="Obliczenia 2 23 7 3" xfId="24105"/>
    <cellStyle name="Obliczenia 2 23 7 4" xfId="24106"/>
    <cellStyle name="Obliczenia 2 23 8" xfId="24107"/>
    <cellStyle name="Obliczenia 2 23 8 2" xfId="24108"/>
    <cellStyle name="Obliczenia 2 23 8 3" xfId="24109"/>
    <cellStyle name="Obliczenia 2 23 8 4" xfId="24110"/>
    <cellStyle name="Obliczenia 2 23 9" xfId="24111"/>
    <cellStyle name="Obliczenia 2 23 9 2" xfId="24112"/>
    <cellStyle name="Obliczenia 2 23 9 3" xfId="24113"/>
    <cellStyle name="Obliczenia 2 23 9 4" xfId="24114"/>
    <cellStyle name="Obliczenia 2 24" xfId="24115"/>
    <cellStyle name="Obliczenia 2 24 10" xfId="24116"/>
    <cellStyle name="Obliczenia 2 24 10 2" xfId="24117"/>
    <cellStyle name="Obliczenia 2 24 10 3" xfId="24118"/>
    <cellStyle name="Obliczenia 2 24 10 4" xfId="24119"/>
    <cellStyle name="Obliczenia 2 24 11" xfId="24120"/>
    <cellStyle name="Obliczenia 2 24 11 2" xfId="24121"/>
    <cellStyle name="Obliczenia 2 24 11 3" xfId="24122"/>
    <cellStyle name="Obliczenia 2 24 11 4" xfId="24123"/>
    <cellStyle name="Obliczenia 2 24 12" xfId="24124"/>
    <cellStyle name="Obliczenia 2 24 12 2" xfId="24125"/>
    <cellStyle name="Obliczenia 2 24 12 3" xfId="24126"/>
    <cellStyle name="Obliczenia 2 24 12 4" xfId="24127"/>
    <cellStyle name="Obliczenia 2 24 13" xfId="24128"/>
    <cellStyle name="Obliczenia 2 24 13 2" xfId="24129"/>
    <cellStyle name="Obliczenia 2 24 13 3" xfId="24130"/>
    <cellStyle name="Obliczenia 2 24 13 4" xfId="24131"/>
    <cellStyle name="Obliczenia 2 24 14" xfId="24132"/>
    <cellStyle name="Obliczenia 2 24 14 2" xfId="24133"/>
    <cellStyle name="Obliczenia 2 24 14 3" xfId="24134"/>
    <cellStyle name="Obliczenia 2 24 14 4" xfId="24135"/>
    <cellStyle name="Obliczenia 2 24 15" xfId="24136"/>
    <cellStyle name="Obliczenia 2 24 15 2" xfId="24137"/>
    <cellStyle name="Obliczenia 2 24 15 3" xfId="24138"/>
    <cellStyle name="Obliczenia 2 24 15 4" xfId="24139"/>
    <cellStyle name="Obliczenia 2 24 16" xfId="24140"/>
    <cellStyle name="Obliczenia 2 24 16 2" xfId="24141"/>
    <cellStyle name="Obliczenia 2 24 16 3" xfId="24142"/>
    <cellStyle name="Obliczenia 2 24 16 4" xfId="24143"/>
    <cellStyle name="Obliczenia 2 24 17" xfId="24144"/>
    <cellStyle name="Obliczenia 2 24 17 2" xfId="24145"/>
    <cellStyle name="Obliczenia 2 24 17 3" xfId="24146"/>
    <cellStyle name="Obliczenia 2 24 17 4" xfId="24147"/>
    <cellStyle name="Obliczenia 2 24 18" xfId="24148"/>
    <cellStyle name="Obliczenia 2 24 18 2" xfId="24149"/>
    <cellStyle name="Obliczenia 2 24 18 3" xfId="24150"/>
    <cellStyle name="Obliczenia 2 24 18 4" xfId="24151"/>
    <cellStyle name="Obliczenia 2 24 19" xfId="24152"/>
    <cellStyle name="Obliczenia 2 24 19 2" xfId="24153"/>
    <cellStyle name="Obliczenia 2 24 19 3" xfId="24154"/>
    <cellStyle name="Obliczenia 2 24 19 4" xfId="24155"/>
    <cellStyle name="Obliczenia 2 24 2" xfId="24156"/>
    <cellStyle name="Obliczenia 2 24 2 2" xfId="24157"/>
    <cellStyle name="Obliczenia 2 24 2 3" xfId="24158"/>
    <cellStyle name="Obliczenia 2 24 2 4" xfId="24159"/>
    <cellStyle name="Obliczenia 2 24 20" xfId="24160"/>
    <cellStyle name="Obliczenia 2 24 20 2" xfId="24161"/>
    <cellStyle name="Obliczenia 2 24 20 3" xfId="24162"/>
    <cellStyle name="Obliczenia 2 24 20 4" xfId="24163"/>
    <cellStyle name="Obliczenia 2 24 21" xfId="24164"/>
    <cellStyle name="Obliczenia 2 24 21 2" xfId="24165"/>
    <cellStyle name="Obliczenia 2 24 21 3" xfId="24166"/>
    <cellStyle name="Obliczenia 2 24 22" xfId="24167"/>
    <cellStyle name="Obliczenia 2 24 22 2" xfId="24168"/>
    <cellStyle name="Obliczenia 2 24 22 3" xfId="24169"/>
    <cellStyle name="Obliczenia 2 24 23" xfId="24170"/>
    <cellStyle name="Obliczenia 2 24 23 2" xfId="24171"/>
    <cellStyle name="Obliczenia 2 24 23 3" xfId="24172"/>
    <cellStyle name="Obliczenia 2 24 24" xfId="24173"/>
    <cellStyle name="Obliczenia 2 24 24 2" xfId="24174"/>
    <cellStyle name="Obliczenia 2 24 24 3" xfId="24175"/>
    <cellStyle name="Obliczenia 2 24 25" xfId="24176"/>
    <cellStyle name="Obliczenia 2 24 25 2" xfId="24177"/>
    <cellStyle name="Obliczenia 2 24 25 3" xfId="24178"/>
    <cellStyle name="Obliczenia 2 24 26" xfId="24179"/>
    <cellStyle name="Obliczenia 2 24 26 2" xfId="24180"/>
    <cellStyle name="Obliczenia 2 24 26 3" xfId="24181"/>
    <cellStyle name="Obliczenia 2 24 27" xfId="24182"/>
    <cellStyle name="Obliczenia 2 24 27 2" xfId="24183"/>
    <cellStyle name="Obliczenia 2 24 27 3" xfId="24184"/>
    <cellStyle name="Obliczenia 2 24 28" xfId="24185"/>
    <cellStyle name="Obliczenia 2 24 28 2" xfId="24186"/>
    <cellStyle name="Obliczenia 2 24 28 3" xfId="24187"/>
    <cellStyle name="Obliczenia 2 24 29" xfId="24188"/>
    <cellStyle name="Obliczenia 2 24 29 2" xfId="24189"/>
    <cellStyle name="Obliczenia 2 24 29 3" xfId="24190"/>
    <cellStyle name="Obliczenia 2 24 3" xfId="24191"/>
    <cellStyle name="Obliczenia 2 24 3 2" xfId="24192"/>
    <cellStyle name="Obliczenia 2 24 3 3" xfId="24193"/>
    <cellStyle name="Obliczenia 2 24 3 4" xfId="24194"/>
    <cellStyle name="Obliczenia 2 24 30" xfId="24195"/>
    <cellStyle name="Obliczenia 2 24 30 2" xfId="24196"/>
    <cellStyle name="Obliczenia 2 24 30 3" xfId="24197"/>
    <cellStyle name="Obliczenia 2 24 31" xfId="24198"/>
    <cellStyle name="Obliczenia 2 24 31 2" xfId="24199"/>
    <cellStyle name="Obliczenia 2 24 31 3" xfId="24200"/>
    <cellStyle name="Obliczenia 2 24 32" xfId="24201"/>
    <cellStyle name="Obliczenia 2 24 32 2" xfId="24202"/>
    <cellStyle name="Obliczenia 2 24 32 3" xfId="24203"/>
    <cellStyle name="Obliczenia 2 24 33" xfId="24204"/>
    <cellStyle name="Obliczenia 2 24 33 2" xfId="24205"/>
    <cellStyle name="Obliczenia 2 24 33 3" xfId="24206"/>
    <cellStyle name="Obliczenia 2 24 34" xfId="24207"/>
    <cellStyle name="Obliczenia 2 24 34 2" xfId="24208"/>
    <cellStyle name="Obliczenia 2 24 34 3" xfId="24209"/>
    <cellStyle name="Obliczenia 2 24 35" xfId="24210"/>
    <cellStyle name="Obliczenia 2 24 35 2" xfId="24211"/>
    <cellStyle name="Obliczenia 2 24 35 3" xfId="24212"/>
    <cellStyle name="Obliczenia 2 24 36" xfId="24213"/>
    <cellStyle name="Obliczenia 2 24 36 2" xfId="24214"/>
    <cellStyle name="Obliczenia 2 24 36 3" xfId="24215"/>
    <cellStyle name="Obliczenia 2 24 37" xfId="24216"/>
    <cellStyle name="Obliczenia 2 24 37 2" xfId="24217"/>
    <cellStyle name="Obliczenia 2 24 37 3" xfId="24218"/>
    <cellStyle name="Obliczenia 2 24 38" xfId="24219"/>
    <cellStyle name="Obliczenia 2 24 38 2" xfId="24220"/>
    <cellStyle name="Obliczenia 2 24 38 3" xfId="24221"/>
    <cellStyle name="Obliczenia 2 24 39" xfId="24222"/>
    <cellStyle name="Obliczenia 2 24 39 2" xfId="24223"/>
    <cellStyle name="Obliczenia 2 24 39 3" xfId="24224"/>
    <cellStyle name="Obliczenia 2 24 4" xfId="24225"/>
    <cellStyle name="Obliczenia 2 24 4 2" xfId="24226"/>
    <cellStyle name="Obliczenia 2 24 4 3" xfId="24227"/>
    <cellStyle name="Obliczenia 2 24 4 4" xfId="24228"/>
    <cellStyle name="Obliczenia 2 24 40" xfId="24229"/>
    <cellStyle name="Obliczenia 2 24 40 2" xfId="24230"/>
    <cellStyle name="Obliczenia 2 24 40 3" xfId="24231"/>
    <cellStyle name="Obliczenia 2 24 41" xfId="24232"/>
    <cellStyle name="Obliczenia 2 24 41 2" xfId="24233"/>
    <cellStyle name="Obliczenia 2 24 41 3" xfId="24234"/>
    <cellStyle name="Obliczenia 2 24 42" xfId="24235"/>
    <cellStyle name="Obliczenia 2 24 42 2" xfId="24236"/>
    <cellStyle name="Obliczenia 2 24 42 3" xfId="24237"/>
    <cellStyle name="Obliczenia 2 24 43" xfId="24238"/>
    <cellStyle name="Obliczenia 2 24 43 2" xfId="24239"/>
    <cellStyle name="Obliczenia 2 24 43 3" xfId="24240"/>
    <cellStyle name="Obliczenia 2 24 44" xfId="24241"/>
    <cellStyle name="Obliczenia 2 24 44 2" xfId="24242"/>
    <cellStyle name="Obliczenia 2 24 44 3" xfId="24243"/>
    <cellStyle name="Obliczenia 2 24 45" xfId="24244"/>
    <cellStyle name="Obliczenia 2 24 45 2" xfId="24245"/>
    <cellStyle name="Obliczenia 2 24 45 3" xfId="24246"/>
    <cellStyle name="Obliczenia 2 24 46" xfId="24247"/>
    <cellStyle name="Obliczenia 2 24 46 2" xfId="24248"/>
    <cellStyle name="Obliczenia 2 24 46 3" xfId="24249"/>
    <cellStyle name="Obliczenia 2 24 47" xfId="24250"/>
    <cellStyle name="Obliczenia 2 24 47 2" xfId="24251"/>
    <cellStyle name="Obliczenia 2 24 47 3" xfId="24252"/>
    <cellStyle name="Obliczenia 2 24 48" xfId="24253"/>
    <cellStyle name="Obliczenia 2 24 48 2" xfId="24254"/>
    <cellStyle name="Obliczenia 2 24 48 3" xfId="24255"/>
    <cellStyle name="Obliczenia 2 24 49" xfId="24256"/>
    <cellStyle name="Obliczenia 2 24 49 2" xfId="24257"/>
    <cellStyle name="Obliczenia 2 24 49 3" xfId="24258"/>
    <cellStyle name="Obliczenia 2 24 5" xfId="24259"/>
    <cellStyle name="Obliczenia 2 24 5 2" xfId="24260"/>
    <cellStyle name="Obliczenia 2 24 5 3" xfId="24261"/>
    <cellStyle name="Obliczenia 2 24 5 4" xfId="24262"/>
    <cellStyle name="Obliczenia 2 24 50" xfId="24263"/>
    <cellStyle name="Obliczenia 2 24 50 2" xfId="24264"/>
    <cellStyle name="Obliczenia 2 24 50 3" xfId="24265"/>
    <cellStyle name="Obliczenia 2 24 51" xfId="24266"/>
    <cellStyle name="Obliczenia 2 24 51 2" xfId="24267"/>
    <cellStyle name="Obliczenia 2 24 51 3" xfId="24268"/>
    <cellStyle name="Obliczenia 2 24 52" xfId="24269"/>
    <cellStyle name="Obliczenia 2 24 52 2" xfId="24270"/>
    <cellStyle name="Obliczenia 2 24 52 3" xfId="24271"/>
    <cellStyle name="Obliczenia 2 24 53" xfId="24272"/>
    <cellStyle name="Obliczenia 2 24 53 2" xfId="24273"/>
    <cellStyle name="Obliczenia 2 24 53 3" xfId="24274"/>
    <cellStyle name="Obliczenia 2 24 54" xfId="24275"/>
    <cellStyle name="Obliczenia 2 24 54 2" xfId="24276"/>
    <cellStyle name="Obliczenia 2 24 54 3" xfId="24277"/>
    <cellStyle name="Obliczenia 2 24 55" xfId="24278"/>
    <cellStyle name="Obliczenia 2 24 55 2" xfId="24279"/>
    <cellStyle name="Obliczenia 2 24 55 3" xfId="24280"/>
    <cellStyle name="Obliczenia 2 24 56" xfId="24281"/>
    <cellStyle name="Obliczenia 2 24 56 2" xfId="24282"/>
    <cellStyle name="Obliczenia 2 24 56 3" xfId="24283"/>
    <cellStyle name="Obliczenia 2 24 57" xfId="24284"/>
    <cellStyle name="Obliczenia 2 24 58" xfId="24285"/>
    <cellStyle name="Obliczenia 2 24 6" xfId="24286"/>
    <cellStyle name="Obliczenia 2 24 6 2" xfId="24287"/>
    <cellStyle name="Obliczenia 2 24 6 3" xfId="24288"/>
    <cellStyle name="Obliczenia 2 24 6 4" xfId="24289"/>
    <cellStyle name="Obliczenia 2 24 7" xfId="24290"/>
    <cellStyle name="Obliczenia 2 24 7 2" xfId="24291"/>
    <cellStyle name="Obliczenia 2 24 7 3" xfId="24292"/>
    <cellStyle name="Obliczenia 2 24 7 4" xfId="24293"/>
    <cellStyle name="Obliczenia 2 24 8" xfId="24294"/>
    <cellStyle name="Obliczenia 2 24 8 2" xfId="24295"/>
    <cellStyle name="Obliczenia 2 24 8 3" xfId="24296"/>
    <cellStyle name="Obliczenia 2 24 8 4" xfId="24297"/>
    <cellStyle name="Obliczenia 2 24 9" xfId="24298"/>
    <cellStyle name="Obliczenia 2 24 9 2" xfId="24299"/>
    <cellStyle name="Obliczenia 2 24 9 3" xfId="24300"/>
    <cellStyle name="Obliczenia 2 24 9 4" xfId="24301"/>
    <cellStyle name="Obliczenia 2 25" xfId="24302"/>
    <cellStyle name="Obliczenia 2 25 10" xfId="24303"/>
    <cellStyle name="Obliczenia 2 25 10 2" xfId="24304"/>
    <cellStyle name="Obliczenia 2 25 10 3" xfId="24305"/>
    <cellStyle name="Obliczenia 2 25 10 4" xfId="24306"/>
    <cellStyle name="Obliczenia 2 25 11" xfId="24307"/>
    <cellStyle name="Obliczenia 2 25 11 2" xfId="24308"/>
    <cellStyle name="Obliczenia 2 25 11 3" xfId="24309"/>
    <cellStyle name="Obliczenia 2 25 11 4" xfId="24310"/>
    <cellStyle name="Obliczenia 2 25 12" xfId="24311"/>
    <cellStyle name="Obliczenia 2 25 12 2" xfId="24312"/>
    <cellStyle name="Obliczenia 2 25 12 3" xfId="24313"/>
    <cellStyle name="Obliczenia 2 25 12 4" xfId="24314"/>
    <cellStyle name="Obliczenia 2 25 13" xfId="24315"/>
    <cellStyle name="Obliczenia 2 25 13 2" xfId="24316"/>
    <cellStyle name="Obliczenia 2 25 13 3" xfId="24317"/>
    <cellStyle name="Obliczenia 2 25 13 4" xfId="24318"/>
    <cellStyle name="Obliczenia 2 25 14" xfId="24319"/>
    <cellStyle name="Obliczenia 2 25 14 2" xfId="24320"/>
    <cellStyle name="Obliczenia 2 25 14 3" xfId="24321"/>
    <cellStyle name="Obliczenia 2 25 14 4" xfId="24322"/>
    <cellStyle name="Obliczenia 2 25 15" xfId="24323"/>
    <cellStyle name="Obliczenia 2 25 15 2" xfId="24324"/>
    <cellStyle name="Obliczenia 2 25 15 3" xfId="24325"/>
    <cellStyle name="Obliczenia 2 25 15 4" xfId="24326"/>
    <cellStyle name="Obliczenia 2 25 16" xfId="24327"/>
    <cellStyle name="Obliczenia 2 25 16 2" xfId="24328"/>
    <cellStyle name="Obliczenia 2 25 16 3" xfId="24329"/>
    <cellStyle name="Obliczenia 2 25 16 4" xfId="24330"/>
    <cellStyle name="Obliczenia 2 25 17" xfId="24331"/>
    <cellStyle name="Obliczenia 2 25 17 2" xfId="24332"/>
    <cellStyle name="Obliczenia 2 25 17 3" xfId="24333"/>
    <cellStyle name="Obliczenia 2 25 17 4" xfId="24334"/>
    <cellStyle name="Obliczenia 2 25 18" xfId="24335"/>
    <cellStyle name="Obliczenia 2 25 18 2" xfId="24336"/>
    <cellStyle name="Obliczenia 2 25 18 3" xfId="24337"/>
    <cellStyle name="Obliczenia 2 25 18 4" xfId="24338"/>
    <cellStyle name="Obliczenia 2 25 19" xfId="24339"/>
    <cellStyle name="Obliczenia 2 25 19 2" xfId="24340"/>
    <cellStyle name="Obliczenia 2 25 19 3" xfId="24341"/>
    <cellStyle name="Obliczenia 2 25 19 4" xfId="24342"/>
    <cellStyle name="Obliczenia 2 25 2" xfId="24343"/>
    <cellStyle name="Obliczenia 2 25 2 2" xfId="24344"/>
    <cellStyle name="Obliczenia 2 25 2 3" xfId="24345"/>
    <cellStyle name="Obliczenia 2 25 2 4" xfId="24346"/>
    <cellStyle name="Obliczenia 2 25 20" xfId="24347"/>
    <cellStyle name="Obliczenia 2 25 20 2" xfId="24348"/>
    <cellStyle name="Obliczenia 2 25 20 3" xfId="24349"/>
    <cellStyle name="Obliczenia 2 25 20 4" xfId="24350"/>
    <cellStyle name="Obliczenia 2 25 21" xfId="24351"/>
    <cellStyle name="Obliczenia 2 25 21 2" xfId="24352"/>
    <cellStyle name="Obliczenia 2 25 21 3" xfId="24353"/>
    <cellStyle name="Obliczenia 2 25 22" xfId="24354"/>
    <cellStyle name="Obliczenia 2 25 22 2" xfId="24355"/>
    <cellStyle name="Obliczenia 2 25 22 3" xfId="24356"/>
    <cellStyle name="Obliczenia 2 25 23" xfId="24357"/>
    <cellStyle name="Obliczenia 2 25 23 2" xfId="24358"/>
    <cellStyle name="Obliczenia 2 25 23 3" xfId="24359"/>
    <cellStyle name="Obliczenia 2 25 24" xfId="24360"/>
    <cellStyle name="Obliczenia 2 25 24 2" xfId="24361"/>
    <cellStyle name="Obliczenia 2 25 24 3" xfId="24362"/>
    <cellStyle name="Obliczenia 2 25 25" xfId="24363"/>
    <cellStyle name="Obliczenia 2 25 25 2" xfId="24364"/>
    <cellStyle name="Obliczenia 2 25 25 3" xfId="24365"/>
    <cellStyle name="Obliczenia 2 25 26" xfId="24366"/>
    <cellStyle name="Obliczenia 2 25 26 2" xfId="24367"/>
    <cellStyle name="Obliczenia 2 25 26 3" xfId="24368"/>
    <cellStyle name="Obliczenia 2 25 27" xfId="24369"/>
    <cellStyle name="Obliczenia 2 25 27 2" xfId="24370"/>
    <cellStyle name="Obliczenia 2 25 27 3" xfId="24371"/>
    <cellStyle name="Obliczenia 2 25 28" xfId="24372"/>
    <cellStyle name="Obliczenia 2 25 28 2" xfId="24373"/>
    <cellStyle name="Obliczenia 2 25 28 3" xfId="24374"/>
    <cellStyle name="Obliczenia 2 25 29" xfId="24375"/>
    <cellStyle name="Obliczenia 2 25 29 2" xfId="24376"/>
    <cellStyle name="Obliczenia 2 25 29 3" xfId="24377"/>
    <cellStyle name="Obliczenia 2 25 3" xfId="24378"/>
    <cellStyle name="Obliczenia 2 25 3 2" xfId="24379"/>
    <cellStyle name="Obliczenia 2 25 3 3" xfId="24380"/>
    <cellStyle name="Obliczenia 2 25 3 4" xfId="24381"/>
    <cellStyle name="Obliczenia 2 25 30" xfId="24382"/>
    <cellStyle name="Obliczenia 2 25 30 2" xfId="24383"/>
    <cellStyle name="Obliczenia 2 25 30 3" xfId="24384"/>
    <cellStyle name="Obliczenia 2 25 31" xfId="24385"/>
    <cellStyle name="Obliczenia 2 25 31 2" xfId="24386"/>
    <cellStyle name="Obliczenia 2 25 31 3" xfId="24387"/>
    <cellStyle name="Obliczenia 2 25 32" xfId="24388"/>
    <cellStyle name="Obliczenia 2 25 32 2" xfId="24389"/>
    <cellStyle name="Obliczenia 2 25 32 3" xfId="24390"/>
    <cellStyle name="Obliczenia 2 25 33" xfId="24391"/>
    <cellStyle name="Obliczenia 2 25 33 2" xfId="24392"/>
    <cellStyle name="Obliczenia 2 25 33 3" xfId="24393"/>
    <cellStyle name="Obliczenia 2 25 34" xfId="24394"/>
    <cellStyle name="Obliczenia 2 25 34 2" xfId="24395"/>
    <cellStyle name="Obliczenia 2 25 34 3" xfId="24396"/>
    <cellStyle name="Obliczenia 2 25 35" xfId="24397"/>
    <cellStyle name="Obliczenia 2 25 35 2" xfId="24398"/>
    <cellStyle name="Obliczenia 2 25 35 3" xfId="24399"/>
    <cellStyle name="Obliczenia 2 25 36" xfId="24400"/>
    <cellStyle name="Obliczenia 2 25 36 2" xfId="24401"/>
    <cellStyle name="Obliczenia 2 25 36 3" xfId="24402"/>
    <cellStyle name="Obliczenia 2 25 37" xfId="24403"/>
    <cellStyle name="Obliczenia 2 25 37 2" xfId="24404"/>
    <cellStyle name="Obliczenia 2 25 37 3" xfId="24405"/>
    <cellStyle name="Obliczenia 2 25 38" xfId="24406"/>
    <cellStyle name="Obliczenia 2 25 38 2" xfId="24407"/>
    <cellStyle name="Obliczenia 2 25 38 3" xfId="24408"/>
    <cellStyle name="Obliczenia 2 25 39" xfId="24409"/>
    <cellStyle name="Obliczenia 2 25 39 2" xfId="24410"/>
    <cellStyle name="Obliczenia 2 25 39 3" xfId="24411"/>
    <cellStyle name="Obliczenia 2 25 4" xfId="24412"/>
    <cellStyle name="Obliczenia 2 25 4 2" xfId="24413"/>
    <cellStyle name="Obliczenia 2 25 4 3" xfId="24414"/>
    <cellStyle name="Obliczenia 2 25 4 4" xfId="24415"/>
    <cellStyle name="Obliczenia 2 25 40" xfId="24416"/>
    <cellStyle name="Obliczenia 2 25 40 2" xfId="24417"/>
    <cellStyle name="Obliczenia 2 25 40 3" xfId="24418"/>
    <cellStyle name="Obliczenia 2 25 41" xfId="24419"/>
    <cellStyle name="Obliczenia 2 25 41 2" xfId="24420"/>
    <cellStyle name="Obliczenia 2 25 41 3" xfId="24421"/>
    <cellStyle name="Obliczenia 2 25 42" xfId="24422"/>
    <cellStyle name="Obliczenia 2 25 42 2" xfId="24423"/>
    <cellStyle name="Obliczenia 2 25 42 3" xfId="24424"/>
    <cellStyle name="Obliczenia 2 25 43" xfId="24425"/>
    <cellStyle name="Obliczenia 2 25 43 2" xfId="24426"/>
    <cellStyle name="Obliczenia 2 25 43 3" xfId="24427"/>
    <cellStyle name="Obliczenia 2 25 44" xfId="24428"/>
    <cellStyle name="Obliczenia 2 25 44 2" xfId="24429"/>
    <cellStyle name="Obliczenia 2 25 44 3" xfId="24430"/>
    <cellStyle name="Obliczenia 2 25 45" xfId="24431"/>
    <cellStyle name="Obliczenia 2 25 45 2" xfId="24432"/>
    <cellStyle name="Obliczenia 2 25 45 3" xfId="24433"/>
    <cellStyle name="Obliczenia 2 25 46" xfId="24434"/>
    <cellStyle name="Obliczenia 2 25 46 2" xfId="24435"/>
    <cellStyle name="Obliczenia 2 25 46 3" xfId="24436"/>
    <cellStyle name="Obliczenia 2 25 47" xfId="24437"/>
    <cellStyle name="Obliczenia 2 25 47 2" xfId="24438"/>
    <cellStyle name="Obliczenia 2 25 47 3" xfId="24439"/>
    <cellStyle name="Obliczenia 2 25 48" xfId="24440"/>
    <cellStyle name="Obliczenia 2 25 48 2" xfId="24441"/>
    <cellStyle name="Obliczenia 2 25 48 3" xfId="24442"/>
    <cellStyle name="Obliczenia 2 25 49" xfId="24443"/>
    <cellStyle name="Obliczenia 2 25 49 2" xfId="24444"/>
    <cellStyle name="Obliczenia 2 25 49 3" xfId="24445"/>
    <cellStyle name="Obliczenia 2 25 5" xfId="24446"/>
    <cellStyle name="Obliczenia 2 25 5 2" xfId="24447"/>
    <cellStyle name="Obliczenia 2 25 5 3" xfId="24448"/>
    <cellStyle name="Obliczenia 2 25 5 4" xfId="24449"/>
    <cellStyle name="Obliczenia 2 25 50" xfId="24450"/>
    <cellStyle name="Obliczenia 2 25 50 2" xfId="24451"/>
    <cellStyle name="Obliczenia 2 25 50 3" xfId="24452"/>
    <cellStyle name="Obliczenia 2 25 51" xfId="24453"/>
    <cellStyle name="Obliczenia 2 25 51 2" xfId="24454"/>
    <cellStyle name="Obliczenia 2 25 51 3" xfId="24455"/>
    <cellStyle name="Obliczenia 2 25 52" xfId="24456"/>
    <cellStyle name="Obliczenia 2 25 52 2" xfId="24457"/>
    <cellStyle name="Obliczenia 2 25 52 3" xfId="24458"/>
    <cellStyle name="Obliczenia 2 25 53" xfId="24459"/>
    <cellStyle name="Obliczenia 2 25 53 2" xfId="24460"/>
    <cellStyle name="Obliczenia 2 25 53 3" xfId="24461"/>
    <cellStyle name="Obliczenia 2 25 54" xfId="24462"/>
    <cellStyle name="Obliczenia 2 25 54 2" xfId="24463"/>
    <cellStyle name="Obliczenia 2 25 54 3" xfId="24464"/>
    <cellStyle name="Obliczenia 2 25 55" xfId="24465"/>
    <cellStyle name="Obliczenia 2 25 55 2" xfId="24466"/>
    <cellStyle name="Obliczenia 2 25 55 3" xfId="24467"/>
    <cellStyle name="Obliczenia 2 25 56" xfId="24468"/>
    <cellStyle name="Obliczenia 2 25 56 2" xfId="24469"/>
    <cellStyle name="Obliczenia 2 25 56 3" xfId="24470"/>
    <cellStyle name="Obliczenia 2 25 57" xfId="24471"/>
    <cellStyle name="Obliczenia 2 25 58" xfId="24472"/>
    <cellStyle name="Obliczenia 2 25 6" xfId="24473"/>
    <cellStyle name="Obliczenia 2 25 6 2" xfId="24474"/>
    <cellStyle name="Obliczenia 2 25 6 3" xfId="24475"/>
    <cellStyle name="Obliczenia 2 25 6 4" xfId="24476"/>
    <cellStyle name="Obliczenia 2 25 7" xfId="24477"/>
    <cellStyle name="Obliczenia 2 25 7 2" xfId="24478"/>
    <cellStyle name="Obliczenia 2 25 7 3" xfId="24479"/>
    <cellStyle name="Obliczenia 2 25 7 4" xfId="24480"/>
    <cellStyle name="Obliczenia 2 25 8" xfId="24481"/>
    <cellStyle name="Obliczenia 2 25 8 2" xfId="24482"/>
    <cellStyle name="Obliczenia 2 25 8 3" xfId="24483"/>
    <cellStyle name="Obliczenia 2 25 8 4" xfId="24484"/>
    <cellStyle name="Obliczenia 2 25 9" xfId="24485"/>
    <cellStyle name="Obliczenia 2 25 9 2" xfId="24486"/>
    <cellStyle name="Obliczenia 2 25 9 3" xfId="24487"/>
    <cellStyle name="Obliczenia 2 25 9 4" xfId="24488"/>
    <cellStyle name="Obliczenia 2 26" xfId="24489"/>
    <cellStyle name="Obliczenia 2 26 10" xfId="24490"/>
    <cellStyle name="Obliczenia 2 26 10 2" xfId="24491"/>
    <cellStyle name="Obliczenia 2 26 10 3" xfId="24492"/>
    <cellStyle name="Obliczenia 2 26 10 4" xfId="24493"/>
    <cellStyle name="Obliczenia 2 26 11" xfId="24494"/>
    <cellStyle name="Obliczenia 2 26 11 2" xfId="24495"/>
    <cellStyle name="Obliczenia 2 26 11 3" xfId="24496"/>
    <cellStyle name="Obliczenia 2 26 11 4" xfId="24497"/>
    <cellStyle name="Obliczenia 2 26 12" xfId="24498"/>
    <cellStyle name="Obliczenia 2 26 12 2" xfId="24499"/>
    <cellStyle name="Obliczenia 2 26 12 3" xfId="24500"/>
    <cellStyle name="Obliczenia 2 26 12 4" xfId="24501"/>
    <cellStyle name="Obliczenia 2 26 13" xfId="24502"/>
    <cellStyle name="Obliczenia 2 26 13 2" xfId="24503"/>
    <cellStyle name="Obliczenia 2 26 13 3" xfId="24504"/>
    <cellStyle name="Obliczenia 2 26 13 4" xfId="24505"/>
    <cellStyle name="Obliczenia 2 26 14" xfId="24506"/>
    <cellStyle name="Obliczenia 2 26 14 2" xfId="24507"/>
    <cellStyle name="Obliczenia 2 26 14 3" xfId="24508"/>
    <cellStyle name="Obliczenia 2 26 14 4" xfId="24509"/>
    <cellStyle name="Obliczenia 2 26 15" xfId="24510"/>
    <cellStyle name="Obliczenia 2 26 15 2" xfId="24511"/>
    <cellStyle name="Obliczenia 2 26 15 3" xfId="24512"/>
    <cellStyle name="Obliczenia 2 26 15 4" xfId="24513"/>
    <cellStyle name="Obliczenia 2 26 16" xfId="24514"/>
    <cellStyle name="Obliczenia 2 26 16 2" xfId="24515"/>
    <cellStyle name="Obliczenia 2 26 16 3" xfId="24516"/>
    <cellStyle name="Obliczenia 2 26 16 4" xfId="24517"/>
    <cellStyle name="Obliczenia 2 26 17" xfId="24518"/>
    <cellStyle name="Obliczenia 2 26 17 2" xfId="24519"/>
    <cellStyle name="Obliczenia 2 26 17 3" xfId="24520"/>
    <cellStyle name="Obliczenia 2 26 17 4" xfId="24521"/>
    <cellStyle name="Obliczenia 2 26 18" xfId="24522"/>
    <cellStyle name="Obliczenia 2 26 18 2" xfId="24523"/>
    <cellStyle name="Obliczenia 2 26 18 3" xfId="24524"/>
    <cellStyle name="Obliczenia 2 26 18 4" xfId="24525"/>
    <cellStyle name="Obliczenia 2 26 19" xfId="24526"/>
    <cellStyle name="Obliczenia 2 26 19 2" xfId="24527"/>
    <cellStyle name="Obliczenia 2 26 19 3" xfId="24528"/>
    <cellStyle name="Obliczenia 2 26 19 4" xfId="24529"/>
    <cellStyle name="Obliczenia 2 26 2" xfId="24530"/>
    <cellStyle name="Obliczenia 2 26 2 2" xfId="24531"/>
    <cellStyle name="Obliczenia 2 26 2 3" xfId="24532"/>
    <cellStyle name="Obliczenia 2 26 2 4" xfId="24533"/>
    <cellStyle name="Obliczenia 2 26 20" xfId="24534"/>
    <cellStyle name="Obliczenia 2 26 20 2" xfId="24535"/>
    <cellStyle name="Obliczenia 2 26 20 3" xfId="24536"/>
    <cellStyle name="Obliczenia 2 26 20 4" xfId="24537"/>
    <cellStyle name="Obliczenia 2 26 21" xfId="24538"/>
    <cellStyle name="Obliczenia 2 26 21 2" xfId="24539"/>
    <cellStyle name="Obliczenia 2 26 21 3" xfId="24540"/>
    <cellStyle name="Obliczenia 2 26 22" xfId="24541"/>
    <cellStyle name="Obliczenia 2 26 22 2" xfId="24542"/>
    <cellStyle name="Obliczenia 2 26 22 3" xfId="24543"/>
    <cellStyle name="Obliczenia 2 26 23" xfId="24544"/>
    <cellStyle name="Obliczenia 2 26 23 2" xfId="24545"/>
    <cellStyle name="Obliczenia 2 26 23 3" xfId="24546"/>
    <cellStyle name="Obliczenia 2 26 24" xfId="24547"/>
    <cellStyle name="Obliczenia 2 26 24 2" xfId="24548"/>
    <cellStyle name="Obliczenia 2 26 24 3" xfId="24549"/>
    <cellStyle name="Obliczenia 2 26 25" xfId="24550"/>
    <cellStyle name="Obliczenia 2 26 25 2" xfId="24551"/>
    <cellStyle name="Obliczenia 2 26 25 3" xfId="24552"/>
    <cellStyle name="Obliczenia 2 26 26" xfId="24553"/>
    <cellStyle name="Obliczenia 2 26 26 2" xfId="24554"/>
    <cellStyle name="Obliczenia 2 26 26 3" xfId="24555"/>
    <cellStyle name="Obliczenia 2 26 27" xfId="24556"/>
    <cellStyle name="Obliczenia 2 26 27 2" xfId="24557"/>
    <cellStyle name="Obliczenia 2 26 27 3" xfId="24558"/>
    <cellStyle name="Obliczenia 2 26 28" xfId="24559"/>
    <cellStyle name="Obliczenia 2 26 28 2" xfId="24560"/>
    <cellStyle name="Obliczenia 2 26 28 3" xfId="24561"/>
    <cellStyle name="Obliczenia 2 26 29" xfId="24562"/>
    <cellStyle name="Obliczenia 2 26 29 2" xfId="24563"/>
    <cellStyle name="Obliczenia 2 26 29 3" xfId="24564"/>
    <cellStyle name="Obliczenia 2 26 3" xfId="24565"/>
    <cellStyle name="Obliczenia 2 26 3 2" xfId="24566"/>
    <cellStyle name="Obliczenia 2 26 3 3" xfId="24567"/>
    <cellStyle name="Obliczenia 2 26 3 4" xfId="24568"/>
    <cellStyle name="Obliczenia 2 26 30" xfId="24569"/>
    <cellStyle name="Obliczenia 2 26 30 2" xfId="24570"/>
    <cellStyle name="Obliczenia 2 26 30 3" xfId="24571"/>
    <cellStyle name="Obliczenia 2 26 31" xfId="24572"/>
    <cellStyle name="Obliczenia 2 26 31 2" xfId="24573"/>
    <cellStyle name="Obliczenia 2 26 31 3" xfId="24574"/>
    <cellStyle name="Obliczenia 2 26 32" xfId="24575"/>
    <cellStyle name="Obliczenia 2 26 32 2" xfId="24576"/>
    <cellStyle name="Obliczenia 2 26 32 3" xfId="24577"/>
    <cellStyle name="Obliczenia 2 26 33" xfId="24578"/>
    <cellStyle name="Obliczenia 2 26 33 2" xfId="24579"/>
    <cellStyle name="Obliczenia 2 26 33 3" xfId="24580"/>
    <cellStyle name="Obliczenia 2 26 34" xfId="24581"/>
    <cellStyle name="Obliczenia 2 26 34 2" xfId="24582"/>
    <cellStyle name="Obliczenia 2 26 34 3" xfId="24583"/>
    <cellStyle name="Obliczenia 2 26 35" xfId="24584"/>
    <cellStyle name="Obliczenia 2 26 35 2" xfId="24585"/>
    <cellStyle name="Obliczenia 2 26 35 3" xfId="24586"/>
    <cellStyle name="Obliczenia 2 26 36" xfId="24587"/>
    <cellStyle name="Obliczenia 2 26 36 2" xfId="24588"/>
    <cellStyle name="Obliczenia 2 26 36 3" xfId="24589"/>
    <cellStyle name="Obliczenia 2 26 37" xfId="24590"/>
    <cellStyle name="Obliczenia 2 26 37 2" xfId="24591"/>
    <cellStyle name="Obliczenia 2 26 37 3" xfId="24592"/>
    <cellStyle name="Obliczenia 2 26 38" xfId="24593"/>
    <cellStyle name="Obliczenia 2 26 38 2" xfId="24594"/>
    <cellStyle name="Obliczenia 2 26 38 3" xfId="24595"/>
    <cellStyle name="Obliczenia 2 26 39" xfId="24596"/>
    <cellStyle name="Obliczenia 2 26 39 2" xfId="24597"/>
    <cellStyle name="Obliczenia 2 26 39 3" xfId="24598"/>
    <cellStyle name="Obliczenia 2 26 4" xfId="24599"/>
    <cellStyle name="Obliczenia 2 26 4 2" xfId="24600"/>
    <cellStyle name="Obliczenia 2 26 4 3" xfId="24601"/>
    <cellStyle name="Obliczenia 2 26 4 4" xfId="24602"/>
    <cellStyle name="Obliczenia 2 26 40" xfId="24603"/>
    <cellStyle name="Obliczenia 2 26 40 2" xfId="24604"/>
    <cellStyle name="Obliczenia 2 26 40 3" xfId="24605"/>
    <cellStyle name="Obliczenia 2 26 41" xfId="24606"/>
    <cellStyle name="Obliczenia 2 26 41 2" xfId="24607"/>
    <cellStyle name="Obliczenia 2 26 41 3" xfId="24608"/>
    <cellStyle name="Obliczenia 2 26 42" xfId="24609"/>
    <cellStyle name="Obliczenia 2 26 42 2" xfId="24610"/>
    <cellStyle name="Obliczenia 2 26 42 3" xfId="24611"/>
    <cellStyle name="Obliczenia 2 26 43" xfId="24612"/>
    <cellStyle name="Obliczenia 2 26 43 2" xfId="24613"/>
    <cellStyle name="Obliczenia 2 26 43 3" xfId="24614"/>
    <cellStyle name="Obliczenia 2 26 44" xfId="24615"/>
    <cellStyle name="Obliczenia 2 26 44 2" xfId="24616"/>
    <cellStyle name="Obliczenia 2 26 44 3" xfId="24617"/>
    <cellStyle name="Obliczenia 2 26 45" xfId="24618"/>
    <cellStyle name="Obliczenia 2 26 45 2" xfId="24619"/>
    <cellStyle name="Obliczenia 2 26 45 3" xfId="24620"/>
    <cellStyle name="Obliczenia 2 26 46" xfId="24621"/>
    <cellStyle name="Obliczenia 2 26 46 2" xfId="24622"/>
    <cellStyle name="Obliczenia 2 26 46 3" xfId="24623"/>
    <cellStyle name="Obliczenia 2 26 47" xfId="24624"/>
    <cellStyle name="Obliczenia 2 26 47 2" xfId="24625"/>
    <cellStyle name="Obliczenia 2 26 47 3" xfId="24626"/>
    <cellStyle name="Obliczenia 2 26 48" xfId="24627"/>
    <cellStyle name="Obliczenia 2 26 48 2" xfId="24628"/>
    <cellStyle name="Obliczenia 2 26 48 3" xfId="24629"/>
    <cellStyle name="Obliczenia 2 26 49" xfId="24630"/>
    <cellStyle name="Obliczenia 2 26 49 2" xfId="24631"/>
    <cellStyle name="Obliczenia 2 26 49 3" xfId="24632"/>
    <cellStyle name="Obliczenia 2 26 5" xfId="24633"/>
    <cellStyle name="Obliczenia 2 26 5 2" xfId="24634"/>
    <cellStyle name="Obliczenia 2 26 5 3" xfId="24635"/>
    <cellStyle name="Obliczenia 2 26 5 4" xfId="24636"/>
    <cellStyle name="Obliczenia 2 26 50" xfId="24637"/>
    <cellStyle name="Obliczenia 2 26 50 2" xfId="24638"/>
    <cellStyle name="Obliczenia 2 26 50 3" xfId="24639"/>
    <cellStyle name="Obliczenia 2 26 51" xfId="24640"/>
    <cellStyle name="Obliczenia 2 26 51 2" xfId="24641"/>
    <cellStyle name="Obliczenia 2 26 51 3" xfId="24642"/>
    <cellStyle name="Obliczenia 2 26 52" xfId="24643"/>
    <cellStyle name="Obliczenia 2 26 52 2" xfId="24644"/>
    <cellStyle name="Obliczenia 2 26 52 3" xfId="24645"/>
    <cellStyle name="Obliczenia 2 26 53" xfId="24646"/>
    <cellStyle name="Obliczenia 2 26 53 2" xfId="24647"/>
    <cellStyle name="Obliczenia 2 26 53 3" xfId="24648"/>
    <cellStyle name="Obliczenia 2 26 54" xfId="24649"/>
    <cellStyle name="Obliczenia 2 26 54 2" xfId="24650"/>
    <cellStyle name="Obliczenia 2 26 54 3" xfId="24651"/>
    <cellStyle name="Obliczenia 2 26 55" xfId="24652"/>
    <cellStyle name="Obliczenia 2 26 55 2" xfId="24653"/>
    <cellStyle name="Obliczenia 2 26 55 3" xfId="24654"/>
    <cellStyle name="Obliczenia 2 26 56" xfId="24655"/>
    <cellStyle name="Obliczenia 2 26 56 2" xfId="24656"/>
    <cellStyle name="Obliczenia 2 26 56 3" xfId="24657"/>
    <cellStyle name="Obliczenia 2 26 57" xfId="24658"/>
    <cellStyle name="Obliczenia 2 26 58" xfId="24659"/>
    <cellStyle name="Obliczenia 2 26 6" xfId="24660"/>
    <cellStyle name="Obliczenia 2 26 6 2" xfId="24661"/>
    <cellStyle name="Obliczenia 2 26 6 3" xfId="24662"/>
    <cellStyle name="Obliczenia 2 26 6 4" xfId="24663"/>
    <cellStyle name="Obliczenia 2 26 7" xfId="24664"/>
    <cellStyle name="Obliczenia 2 26 7 2" xfId="24665"/>
    <cellStyle name="Obliczenia 2 26 7 3" xfId="24666"/>
    <cellStyle name="Obliczenia 2 26 7 4" xfId="24667"/>
    <cellStyle name="Obliczenia 2 26 8" xfId="24668"/>
    <cellStyle name="Obliczenia 2 26 8 2" xfId="24669"/>
    <cellStyle name="Obliczenia 2 26 8 3" xfId="24670"/>
    <cellStyle name="Obliczenia 2 26 8 4" xfId="24671"/>
    <cellStyle name="Obliczenia 2 26 9" xfId="24672"/>
    <cellStyle name="Obliczenia 2 26 9 2" xfId="24673"/>
    <cellStyle name="Obliczenia 2 26 9 3" xfId="24674"/>
    <cellStyle name="Obliczenia 2 26 9 4" xfId="24675"/>
    <cellStyle name="Obliczenia 2 27" xfId="24676"/>
    <cellStyle name="Obliczenia 2 27 10" xfId="24677"/>
    <cellStyle name="Obliczenia 2 27 10 2" xfId="24678"/>
    <cellStyle name="Obliczenia 2 27 10 3" xfId="24679"/>
    <cellStyle name="Obliczenia 2 27 10 4" xfId="24680"/>
    <cellStyle name="Obliczenia 2 27 11" xfId="24681"/>
    <cellStyle name="Obliczenia 2 27 11 2" xfId="24682"/>
    <cellStyle name="Obliczenia 2 27 11 3" xfId="24683"/>
    <cellStyle name="Obliczenia 2 27 11 4" xfId="24684"/>
    <cellStyle name="Obliczenia 2 27 12" xfId="24685"/>
    <cellStyle name="Obliczenia 2 27 12 2" xfId="24686"/>
    <cellStyle name="Obliczenia 2 27 12 3" xfId="24687"/>
    <cellStyle name="Obliczenia 2 27 12 4" xfId="24688"/>
    <cellStyle name="Obliczenia 2 27 13" xfId="24689"/>
    <cellStyle name="Obliczenia 2 27 13 2" xfId="24690"/>
    <cellStyle name="Obliczenia 2 27 13 3" xfId="24691"/>
    <cellStyle name="Obliczenia 2 27 13 4" xfId="24692"/>
    <cellStyle name="Obliczenia 2 27 14" xfId="24693"/>
    <cellStyle name="Obliczenia 2 27 14 2" xfId="24694"/>
    <cellStyle name="Obliczenia 2 27 14 3" xfId="24695"/>
    <cellStyle name="Obliczenia 2 27 14 4" xfId="24696"/>
    <cellStyle name="Obliczenia 2 27 15" xfId="24697"/>
    <cellStyle name="Obliczenia 2 27 15 2" xfId="24698"/>
    <cellStyle name="Obliczenia 2 27 15 3" xfId="24699"/>
    <cellStyle name="Obliczenia 2 27 15 4" xfId="24700"/>
    <cellStyle name="Obliczenia 2 27 16" xfId="24701"/>
    <cellStyle name="Obliczenia 2 27 16 2" xfId="24702"/>
    <cellStyle name="Obliczenia 2 27 16 3" xfId="24703"/>
    <cellStyle name="Obliczenia 2 27 16 4" xfId="24704"/>
    <cellStyle name="Obliczenia 2 27 17" xfId="24705"/>
    <cellStyle name="Obliczenia 2 27 17 2" xfId="24706"/>
    <cellStyle name="Obliczenia 2 27 17 3" xfId="24707"/>
    <cellStyle name="Obliczenia 2 27 17 4" xfId="24708"/>
    <cellStyle name="Obliczenia 2 27 18" xfId="24709"/>
    <cellStyle name="Obliczenia 2 27 18 2" xfId="24710"/>
    <cellStyle name="Obliczenia 2 27 18 3" xfId="24711"/>
    <cellStyle name="Obliczenia 2 27 18 4" xfId="24712"/>
    <cellStyle name="Obliczenia 2 27 19" xfId="24713"/>
    <cellStyle name="Obliczenia 2 27 19 2" xfId="24714"/>
    <cellStyle name="Obliczenia 2 27 19 3" xfId="24715"/>
    <cellStyle name="Obliczenia 2 27 19 4" xfId="24716"/>
    <cellStyle name="Obliczenia 2 27 2" xfId="24717"/>
    <cellStyle name="Obliczenia 2 27 2 2" xfId="24718"/>
    <cellStyle name="Obliczenia 2 27 2 3" xfId="24719"/>
    <cellStyle name="Obliczenia 2 27 2 4" xfId="24720"/>
    <cellStyle name="Obliczenia 2 27 20" xfId="24721"/>
    <cellStyle name="Obliczenia 2 27 20 2" xfId="24722"/>
    <cellStyle name="Obliczenia 2 27 20 3" xfId="24723"/>
    <cellStyle name="Obliczenia 2 27 20 4" xfId="24724"/>
    <cellStyle name="Obliczenia 2 27 21" xfId="24725"/>
    <cellStyle name="Obliczenia 2 27 21 2" xfId="24726"/>
    <cellStyle name="Obliczenia 2 27 21 3" xfId="24727"/>
    <cellStyle name="Obliczenia 2 27 22" xfId="24728"/>
    <cellStyle name="Obliczenia 2 27 22 2" xfId="24729"/>
    <cellStyle name="Obliczenia 2 27 22 3" xfId="24730"/>
    <cellStyle name="Obliczenia 2 27 23" xfId="24731"/>
    <cellStyle name="Obliczenia 2 27 23 2" xfId="24732"/>
    <cellStyle name="Obliczenia 2 27 23 3" xfId="24733"/>
    <cellStyle name="Obliczenia 2 27 24" xfId="24734"/>
    <cellStyle name="Obliczenia 2 27 24 2" xfId="24735"/>
    <cellStyle name="Obliczenia 2 27 24 3" xfId="24736"/>
    <cellStyle name="Obliczenia 2 27 25" xfId="24737"/>
    <cellStyle name="Obliczenia 2 27 25 2" xfId="24738"/>
    <cellStyle name="Obliczenia 2 27 25 3" xfId="24739"/>
    <cellStyle name="Obliczenia 2 27 26" xfId="24740"/>
    <cellStyle name="Obliczenia 2 27 26 2" xfId="24741"/>
    <cellStyle name="Obliczenia 2 27 26 3" xfId="24742"/>
    <cellStyle name="Obliczenia 2 27 27" xfId="24743"/>
    <cellStyle name="Obliczenia 2 27 27 2" xfId="24744"/>
    <cellStyle name="Obliczenia 2 27 27 3" xfId="24745"/>
    <cellStyle name="Obliczenia 2 27 28" xfId="24746"/>
    <cellStyle name="Obliczenia 2 27 28 2" xfId="24747"/>
    <cellStyle name="Obliczenia 2 27 28 3" xfId="24748"/>
    <cellStyle name="Obliczenia 2 27 29" xfId="24749"/>
    <cellStyle name="Obliczenia 2 27 29 2" xfId="24750"/>
    <cellStyle name="Obliczenia 2 27 29 3" xfId="24751"/>
    <cellStyle name="Obliczenia 2 27 3" xfId="24752"/>
    <cellStyle name="Obliczenia 2 27 3 2" xfId="24753"/>
    <cellStyle name="Obliczenia 2 27 3 3" xfId="24754"/>
    <cellStyle name="Obliczenia 2 27 3 4" xfId="24755"/>
    <cellStyle name="Obliczenia 2 27 30" xfId="24756"/>
    <cellStyle name="Obliczenia 2 27 30 2" xfId="24757"/>
    <cellStyle name="Obliczenia 2 27 30 3" xfId="24758"/>
    <cellStyle name="Obliczenia 2 27 31" xfId="24759"/>
    <cellStyle name="Obliczenia 2 27 31 2" xfId="24760"/>
    <cellStyle name="Obliczenia 2 27 31 3" xfId="24761"/>
    <cellStyle name="Obliczenia 2 27 32" xfId="24762"/>
    <cellStyle name="Obliczenia 2 27 32 2" xfId="24763"/>
    <cellStyle name="Obliczenia 2 27 32 3" xfId="24764"/>
    <cellStyle name="Obliczenia 2 27 33" xfId="24765"/>
    <cellStyle name="Obliczenia 2 27 33 2" xfId="24766"/>
    <cellStyle name="Obliczenia 2 27 33 3" xfId="24767"/>
    <cellStyle name="Obliczenia 2 27 34" xfId="24768"/>
    <cellStyle name="Obliczenia 2 27 34 2" xfId="24769"/>
    <cellStyle name="Obliczenia 2 27 34 3" xfId="24770"/>
    <cellStyle name="Obliczenia 2 27 35" xfId="24771"/>
    <cellStyle name="Obliczenia 2 27 35 2" xfId="24772"/>
    <cellStyle name="Obliczenia 2 27 35 3" xfId="24773"/>
    <cellStyle name="Obliczenia 2 27 36" xfId="24774"/>
    <cellStyle name="Obliczenia 2 27 36 2" xfId="24775"/>
    <cellStyle name="Obliczenia 2 27 36 3" xfId="24776"/>
    <cellStyle name="Obliczenia 2 27 37" xfId="24777"/>
    <cellStyle name="Obliczenia 2 27 37 2" xfId="24778"/>
    <cellStyle name="Obliczenia 2 27 37 3" xfId="24779"/>
    <cellStyle name="Obliczenia 2 27 38" xfId="24780"/>
    <cellStyle name="Obliczenia 2 27 38 2" xfId="24781"/>
    <cellStyle name="Obliczenia 2 27 38 3" xfId="24782"/>
    <cellStyle name="Obliczenia 2 27 39" xfId="24783"/>
    <cellStyle name="Obliczenia 2 27 39 2" xfId="24784"/>
    <cellStyle name="Obliczenia 2 27 39 3" xfId="24785"/>
    <cellStyle name="Obliczenia 2 27 4" xfId="24786"/>
    <cellStyle name="Obliczenia 2 27 4 2" xfId="24787"/>
    <cellStyle name="Obliczenia 2 27 4 3" xfId="24788"/>
    <cellStyle name="Obliczenia 2 27 4 4" xfId="24789"/>
    <cellStyle name="Obliczenia 2 27 40" xfId="24790"/>
    <cellStyle name="Obliczenia 2 27 40 2" xfId="24791"/>
    <cellStyle name="Obliczenia 2 27 40 3" xfId="24792"/>
    <cellStyle name="Obliczenia 2 27 41" xfId="24793"/>
    <cellStyle name="Obliczenia 2 27 41 2" xfId="24794"/>
    <cellStyle name="Obliczenia 2 27 41 3" xfId="24795"/>
    <cellStyle name="Obliczenia 2 27 42" xfId="24796"/>
    <cellStyle name="Obliczenia 2 27 42 2" xfId="24797"/>
    <cellStyle name="Obliczenia 2 27 42 3" xfId="24798"/>
    <cellStyle name="Obliczenia 2 27 43" xfId="24799"/>
    <cellStyle name="Obliczenia 2 27 43 2" xfId="24800"/>
    <cellStyle name="Obliczenia 2 27 43 3" xfId="24801"/>
    <cellStyle name="Obliczenia 2 27 44" xfId="24802"/>
    <cellStyle name="Obliczenia 2 27 44 2" xfId="24803"/>
    <cellStyle name="Obliczenia 2 27 44 3" xfId="24804"/>
    <cellStyle name="Obliczenia 2 27 45" xfId="24805"/>
    <cellStyle name="Obliczenia 2 27 45 2" xfId="24806"/>
    <cellStyle name="Obliczenia 2 27 45 3" xfId="24807"/>
    <cellStyle name="Obliczenia 2 27 46" xfId="24808"/>
    <cellStyle name="Obliczenia 2 27 46 2" xfId="24809"/>
    <cellStyle name="Obliczenia 2 27 46 3" xfId="24810"/>
    <cellStyle name="Obliczenia 2 27 47" xfId="24811"/>
    <cellStyle name="Obliczenia 2 27 47 2" xfId="24812"/>
    <cellStyle name="Obliczenia 2 27 47 3" xfId="24813"/>
    <cellStyle name="Obliczenia 2 27 48" xfId="24814"/>
    <cellStyle name="Obliczenia 2 27 48 2" xfId="24815"/>
    <cellStyle name="Obliczenia 2 27 48 3" xfId="24816"/>
    <cellStyle name="Obliczenia 2 27 49" xfId="24817"/>
    <cellStyle name="Obliczenia 2 27 49 2" xfId="24818"/>
    <cellStyle name="Obliczenia 2 27 49 3" xfId="24819"/>
    <cellStyle name="Obliczenia 2 27 5" xfId="24820"/>
    <cellStyle name="Obliczenia 2 27 5 2" xfId="24821"/>
    <cellStyle name="Obliczenia 2 27 5 3" xfId="24822"/>
    <cellStyle name="Obliczenia 2 27 5 4" xfId="24823"/>
    <cellStyle name="Obliczenia 2 27 50" xfId="24824"/>
    <cellStyle name="Obliczenia 2 27 50 2" xfId="24825"/>
    <cellStyle name="Obliczenia 2 27 50 3" xfId="24826"/>
    <cellStyle name="Obliczenia 2 27 51" xfId="24827"/>
    <cellStyle name="Obliczenia 2 27 51 2" xfId="24828"/>
    <cellStyle name="Obliczenia 2 27 51 3" xfId="24829"/>
    <cellStyle name="Obliczenia 2 27 52" xfId="24830"/>
    <cellStyle name="Obliczenia 2 27 52 2" xfId="24831"/>
    <cellStyle name="Obliczenia 2 27 52 3" xfId="24832"/>
    <cellStyle name="Obliczenia 2 27 53" xfId="24833"/>
    <cellStyle name="Obliczenia 2 27 53 2" xfId="24834"/>
    <cellStyle name="Obliczenia 2 27 53 3" xfId="24835"/>
    <cellStyle name="Obliczenia 2 27 54" xfId="24836"/>
    <cellStyle name="Obliczenia 2 27 54 2" xfId="24837"/>
    <cellStyle name="Obliczenia 2 27 54 3" xfId="24838"/>
    <cellStyle name="Obliczenia 2 27 55" xfId="24839"/>
    <cellStyle name="Obliczenia 2 27 55 2" xfId="24840"/>
    <cellStyle name="Obliczenia 2 27 55 3" xfId="24841"/>
    <cellStyle name="Obliczenia 2 27 56" xfId="24842"/>
    <cellStyle name="Obliczenia 2 27 56 2" xfId="24843"/>
    <cellStyle name="Obliczenia 2 27 56 3" xfId="24844"/>
    <cellStyle name="Obliczenia 2 27 57" xfId="24845"/>
    <cellStyle name="Obliczenia 2 27 58" xfId="24846"/>
    <cellStyle name="Obliczenia 2 27 6" xfId="24847"/>
    <cellStyle name="Obliczenia 2 27 6 2" xfId="24848"/>
    <cellStyle name="Obliczenia 2 27 6 3" xfId="24849"/>
    <cellStyle name="Obliczenia 2 27 6 4" xfId="24850"/>
    <cellStyle name="Obliczenia 2 27 7" xfId="24851"/>
    <cellStyle name="Obliczenia 2 27 7 2" xfId="24852"/>
    <cellStyle name="Obliczenia 2 27 7 3" xfId="24853"/>
    <cellStyle name="Obliczenia 2 27 7 4" xfId="24854"/>
    <cellStyle name="Obliczenia 2 27 8" xfId="24855"/>
    <cellStyle name="Obliczenia 2 27 8 2" xfId="24856"/>
    <cellStyle name="Obliczenia 2 27 8 3" xfId="24857"/>
    <cellStyle name="Obliczenia 2 27 8 4" xfId="24858"/>
    <cellStyle name="Obliczenia 2 27 9" xfId="24859"/>
    <cellStyle name="Obliczenia 2 27 9 2" xfId="24860"/>
    <cellStyle name="Obliczenia 2 27 9 3" xfId="24861"/>
    <cellStyle name="Obliczenia 2 27 9 4" xfId="24862"/>
    <cellStyle name="Obliczenia 2 28" xfId="24863"/>
    <cellStyle name="Obliczenia 2 28 10" xfId="24864"/>
    <cellStyle name="Obliczenia 2 28 10 2" xfId="24865"/>
    <cellStyle name="Obliczenia 2 28 10 3" xfId="24866"/>
    <cellStyle name="Obliczenia 2 28 10 4" xfId="24867"/>
    <cellStyle name="Obliczenia 2 28 11" xfId="24868"/>
    <cellStyle name="Obliczenia 2 28 11 2" xfId="24869"/>
    <cellStyle name="Obliczenia 2 28 11 3" xfId="24870"/>
    <cellStyle name="Obliczenia 2 28 11 4" xfId="24871"/>
    <cellStyle name="Obliczenia 2 28 12" xfId="24872"/>
    <cellStyle name="Obliczenia 2 28 12 2" xfId="24873"/>
    <cellStyle name="Obliczenia 2 28 12 3" xfId="24874"/>
    <cellStyle name="Obliczenia 2 28 12 4" xfId="24875"/>
    <cellStyle name="Obliczenia 2 28 13" xfId="24876"/>
    <cellStyle name="Obliczenia 2 28 13 2" xfId="24877"/>
    <cellStyle name="Obliczenia 2 28 13 3" xfId="24878"/>
    <cellStyle name="Obliczenia 2 28 13 4" xfId="24879"/>
    <cellStyle name="Obliczenia 2 28 14" xfId="24880"/>
    <cellStyle name="Obliczenia 2 28 14 2" xfId="24881"/>
    <cellStyle name="Obliczenia 2 28 14 3" xfId="24882"/>
    <cellStyle name="Obliczenia 2 28 14 4" xfId="24883"/>
    <cellStyle name="Obliczenia 2 28 15" xfId="24884"/>
    <cellStyle name="Obliczenia 2 28 15 2" xfId="24885"/>
    <cellStyle name="Obliczenia 2 28 15 3" xfId="24886"/>
    <cellStyle name="Obliczenia 2 28 15 4" xfId="24887"/>
    <cellStyle name="Obliczenia 2 28 16" xfId="24888"/>
    <cellStyle name="Obliczenia 2 28 16 2" xfId="24889"/>
    <cellStyle name="Obliczenia 2 28 16 3" xfId="24890"/>
    <cellStyle name="Obliczenia 2 28 16 4" xfId="24891"/>
    <cellStyle name="Obliczenia 2 28 17" xfId="24892"/>
    <cellStyle name="Obliczenia 2 28 17 2" xfId="24893"/>
    <cellStyle name="Obliczenia 2 28 17 3" xfId="24894"/>
    <cellStyle name="Obliczenia 2 28 17 4" xfId="24895"/>
    <cellStyle name="Obliczenia 2 28 18" xfId="24896"/>
    <cellStyle name="Obliczenia 2 28 18 2" xfId="24897"/>
    <cellStyle name="Obliczenia 2 28 18 3" xfId="24898"/>
    <cellStyle name="Obliczenia 2 28 18 4" xfId="24899"/>
    <cellStyle name="Obliczenia 2 28 19" xfId="24900"/>
    <cellStyle name="Obliczenia 2 28 19 2" xfId="24901"/>
    <cellStyle name="Obliczenia 2 28 19 3" xfId="24902"/>
    <cellStyle name="Obliczenia 2 28 19 4" xfId="24903"/>
    <cellStyle name="Obliczenia 2 28 2" xfId="24904"/>
    <cellStyle name="Obliczenia 2 28 2 2" xfId="24905"/>
    <cellStyle name="Obliczenia 2 28 2 3" xfId="24906"/>
    <cellStyle name="Obliczenia 2 28 2 4" xfId="24907"/>
    <cellStyle name="Obliczenia 2 28 20" xfId="24908"/>
    <cellStyle name="Obliczenia 2 28 20 2" xfId="24909"/>
    <cellStyle name="Obliczenia 2 28 20 3" xfId="24910"/>
    <cellStyle name="Obliczenia 2 28 20 4" xfId="24911"/>
    <cellStyle name="Obliczenia 2 28 21" xfId="24912"/>
    <cellStyle name="Obliczenia 2 28 21 2" xfId="24913"/>
    <cellStyle name="Obliczenia 2 28 21 3" xfId="24914"/>
    <cellStyle name="Obliczenia 2 28 22" xfId="24915"/>
    <cellStyle name="Obliczenia 2 28 22 2" xfId="24916"/>
    <cellStyle name="Obliczenia 2 28 22 3" xfId="24917"/>
    <cellStyle name="Obliczenia 2 28 23" xfId="24918"/>
    <cellStyle name="Obliczenia 2 28 23 2" xfId="24919"/>
    <cellStyle name="Obliczenia 2 28 23 3" xfId="24920"/>
    <cellStyle name="Obliczenia 2 28 24" xfId="24921"/>
    <cellStyle name="Obliczenia 2 28 24 2" xfId="24922"/>
    <cellStyle name="Obliczenia 2 28 24 3" xfId="24923"/>
    <cellStyle name="Obliczenia 2 28 25" xfId="24924"/>
    <cellStyle name="Obliczenia 2 28 25 2" xfId="24925"/>
    <cellStyle name="Obliczenia 2 28 25 3" xfId="24926"/>
    <cellStyle name="Obliczenia 2 28 26" xfId="24927"/>
    <cellStyle name="Obliczenia 2 28 26 2" xfId="24928"/>
    <cellStyle name="Obliczenia 2 28 26 3" xfId="24929"/>
    <cellStyle name="Obliczenia 2 28 27" xfId="24930"/>
    <cellStyle name="Obliczenia 2 28 27 2" xfId="24931"/>
    <cellStyle name="Obliczenia 2 28 27 3" xfId="24932"/>
    <cellStyle name="Obliczenia 2 28 28" xfId="24933"/>
    <cellStyle name="Obliczenia 2 28 28 2" xfId="24934"/>
    <cellStyle name="Obliczenia 2 28 28 3" xfId="24935"/>
    <cellStyle name="Obliczenia 2 28 29" xfId="24936"/>
    <cellStyle name="Obliczenia 2 28 29 2" xfId="24937"/>
    <cellStyle name="Obliczenia 2 28 29 3" xfId="24938"/>
    <cellStyle name="Obliczenia 2 28 3" xfId="24939"/>
    <cellStyle name="Obliczenia 2 28 3 2" xfId="24940"/>
    <cellStyle name="Obliczenia 2 28 3 3" xfId="24941"/>
    <cellStyle name="Obliczenia 2 28 3 4" xfId="24942"/>
    <cellStyle name="Obliczenia 2 28 30" xfId="24943"/>
    <cellStyle name="Obliczenia 2 28 30 2" xfId="24944"/>
    <cellStyle name="Obliczenia 2 28 30 3" xfId="24945"/>
    <cellStyle name="Obliczenia 2 28 31" xfId="24946"/>
    <cellStyle name="Obliczenia 2 28 31 2" xfId="24947"/>
    <cellStyle name="Obliczenia 2 28 31 3" xfId="24948"/>
    <cellStyle name="Obliczenia 2 28 32" xfId="24949"/>
    <cellStyle name="Obliczenia 2 28 32 2" xfId="24950"/>
    <cellStyle name="Obliczenia 2 28 32 3" xfId="24951"/>
    <cellStyle name="Obliczenia 2 28 33" xfId="24952"/>
    <cellStyle name="Obliczenia 2 28 33 2" xfId="24953"/>
    <cellStyle name="Obliczenia 2 28 33 3" xfId="24954"/>
    <cellStyle name="Obliczenia 2 28 34" xfId="24955"/>
    <cellStyle name="Obliczenia 2 28 34 2" xfId="24956"/>
    <cellStyle name="Obliczenia 2 28 34 3" xfId="24957"/>
    <cellStyle name="Obliczenia 2 28 35" xfId="24958"/>
    <cellStyle name="Obliczenia 2 28 35 2" xfId="24959"/>
    <cellStyle name="Obliczenia 2 28 35 3" xfId="24960"/>
    <cellStyle name="Obliczenia 2 28 36" xfId="24961"/>
    <cellStyle name="Obliczenia 2 28 36 2" xfId="24962"/>
    <cellStyle name="Obliczenia 2 28 36 3" xfId="24963"/>
    <cellStyle name="Obliczenia 2 28 37" xfId="24964"/>
    <cellStyle name="Obliczenia 2 28 37 2" xfId="24965"/>
    <cellStyle name="Obliczenia 2 28 37 3" xfId="24966"/>
    <cellStyle name="Obliczenia 2 28 38" xfId="24967"/>
    <cellStyle name="Obliczenia 2 28 38 2" xfId="24968"/>
    <cellStyle name="Obliczenia 2 28 38 3" xfId="24969"/>
    <cellStyle name="Obliczenia 2 28 39" xfId="24970"/>
    <cellStyle name="Obliczenia 2 28 39 2" xfId="24971"/>
    <cellStyle name="Obliczenia 2 28 39 3" xfId="24972"/>
    <cellStyle name="Obliczenia 2 28 4" xfId="24973"/>
    <cellStyle name="Obliczenia 2 28 4 2" xfId="24974"/>
    <cellStyle name="Obliczenia 2 28 4 3" xfId="24975"/>
    <cellStyle name="Obliczenia 2 28 4 4" xfId="24976"/>
    <cellStyle name="Obliczenia 2 28 40" xfId="24977"/>
    <cellStyle name="Obliczenia 2 28 40 2" xfId="24978"/>
    <cellStyle name="Obliczenia 2 28 40 3" xfId="24979"/>
    <cellStyle name="Obliczenia 2 28 41" xfId="24980"/>
    <cellStyle name="Obliczenia 2 28 41 2" xfId="24981"/>
    <cellStyle name="Obliczenia 2 28 41 3" xfId="24982"/>
    <cellStyle name="Obliczenia 2 28 42" xfId="24983"/>
    <cellStyle name="Obliczenia 2 28 42 2" xfId="24984"/>
    <cellStyle name="Obliczenia 2 28 42 3" xfId="24985"/>
    <cellStyle name="Obliczenia 2 28 43" xfId="24986"/>
    <cellStyle name="Obliczenia 2 28 43 2" xfId="24987"/>
    <cellStyle name="Obliczenia 2 28 43 3" xfId="24988"/>
    <cellStyle name="Obliczenia 2 28 44" xfId="24989"/>
    <cellStyle name="Obliczenia 2 28 44 2" xfId="24990"/>
    <cellStyle name="Obliczenia 2 28 44 3" xfId="24991"/>
    <cellStyle name="Obliczenia 2 28 45" xfId="24992"/>
    <cellStyle name="Obliczenia 2 28 45 2" xfId="24993"/>
    <cellStyle name="Obliczenia 2 28 45 3" xfId="24994"/>
    <cellStyle name="Obliczenia 2 28 46" xfId="24995"/>
    <cellStyle name="Obliczenia 2 28 46 2" xfId="24996"/>
    <cellStyle name="Obliczenia 2 28 46 3" xfId="24997"/>
    <cellStyle name="Obliczenia 2 28 47" xfId="24998"/>
    <cellStyle name="Obliczenia 2 28 47 2" xfId="24999"/>
    <cellStyle name="Obliczenia 2 28 47 3" xfId="25000"/>
    <cellStyle name="Obliczenia 2 28 48" xfId="25001"/>
    <cellStyle name="Obliczenia 2 28 48 2" xfId="25002"/>
    <cellStyle name="Obliczenia 2 28 48 3" xfId="25003"/>
    <cellStyle name="Obliczenia 2 28 49" xfId="25004"/>
    <cellStyle name="Obliczenia 2 28 49 2" xfId="25005"/>
    <cellStyle name="Obliczenia 2 28 49 3" xfId="25006"/>
    <cellStyle name="Obliczenia 2 28 5" xfId="25007"/>
    <cellStyle name="Obliczenia 2 28 5 2" xfId="25008"/>
    <cellStyle name="Obliczenia 2 28 5 3" xfId="25009"/>
    <cellStyle name="Obliczenia 2 28 5 4" xfId="25010"/>
    <cellStyle name="Obliczenia 2 28 50" xfId="25011"/>
    <cellStyle name="Obliczenia 2 28 50 2" xfId="25012"/>
    <cellStyle name="Obliczenia 2 28 50 3" xfId="25013"/>
    <cellStyle name="Obliczenia 2 28 51" xfId="25014"/>
    <cellStyle name="Obliczenia 2 28 51 2" xfId="25015"/>
    <cellStyle name="Obliczenia 2 28 51 3" xfId="25016"/>
    <cellStyle name="Obliczenia 2 28 52" xfId="25017"/>
    <cellStyle name="Obliczenia 2 28 52 2" xfId="25018"/>
    <cellStyle name="Obliczenia 2 28 52 3" xfId="25019"/>
    <cellStyle name="Obliczenia 2 28 53" xfId="25020"/>
    <cellStyle name="Obliczenia 2 28 53 2" xfId="25021"/>
    <cellStyle name="Obliczenia 2 28 53 3" xfId="25022"/>
    <cellStyle name="Obliczenia 2 28 54" xfId="25023"/>
    <cellStyle name="Obliczenia 2 28 54 2" xfId="25024"/>
    <cellStyle name="Obliczenia 2 28 54 3" xfId="25025"/>
    <cellStyle name="Obliczenia 2 28 55" xfId="25026"/>
    <cellStyle name="Obliczenia 2 28 55 2" xfId="25027"/>
    <cellStyle name="Obliczenia 2 28 55 3" xfId="25028"/>
    <cellStyle name="Obliczenia 2 28 56" xfId="25029"/>
    <cellStyle name="Obliczenia 2 28 56 2" xfId="25030"/>
    <cellStyle name="Obliczenia 2 28 56 3" xfId="25031"/>
    <cellStyle name="Obliczenia 2 28 57" xfId="25032"/>
    <cellStyle name="Obliczenia 2 28 58" xfId="25033"/>
    <cellStyle name="Obliczenia 2 28 6" xfId="25034"/>
    <cellStyle name="Obliczenia 2 28 6 2" xfId="25035"/>
    <cellStyle name="Obliczenia 2 28 6 3" xfId="25036"/>
    <cellStyle name="Obliczenia 2 28 6 4" xfId="25037"/>
    <cellStyle name="Obliczenia 2 28 7" xfId="25038"/>
    <cellStyle name="Obliczenia 2 28 7 2" xfId="25039"/>
    <cellStyle name="Obliczenia 2 28 7 3" xfId="25040"/>
    <cellStyle name="Obliczenia 2 28 7 4" xfId="25041"/>
    <cellStyle name="Obliczenia 2 28 8" xfId="25042"/>
    <cellStyle name="Obliczenia 2 28 8 2" xfId="25043"/>
    <cellStyle name="Obliczenia 2 28 8 3" xfId="25044"/>
    <cellStyle name="Obliczenia 2 28 8 4" xfId="25045"/>
    <cellStyle name="Obliczenia 2 28 9" xfId="25046"/>
    <cellStyle name="Obliczenia 2 28 9 2" xfId="25047"/>
    <cellStyle name="Obliczenia 2 28 9 3" xfId="25048"/>
    <cellStyle name="Obliczenia 2 28 9 4" xfId="25049"/>
    <cellStyle name="Obliczenia 2 29" xfId="25050"/>
    <cellStyle name="Obliczenia 2 29 2" xfId="25051"/>
    <cellStyle name="Obliczenia 2 29 3" xfId="25052"/>
    <cellStyle name="Obliczenia 2 29 4" xfId="25053"/>
    <cellStyle name="Obliczenia 2 3" xfId="25054"/>
    <cellStyle name="Obliczenia 2 3 10" xfId="25055"/>
    <cellStyle name="Obliczenia 2 3 10 2" xfId="25056"/>
    <cellStyle name="Obliczenia 2 3 10 3" xfId="25057"/>
    <cellStyle name="Obliczenia 2 3 10 4" xfId="25058"/>
    <cellStyle name="Obliczenia 2 3 11" xfId="25059"/>
    <cellStyle name="Obliczenia 2 3 11 2" xfId="25060"/>
    <cellStyle name="Obliczenia 2 3 11 3" xfId="25061"/>
    <cellStyle name="Obliczenia 2 3 11 4" xfId="25062"/>
    <cellStyle name="Obliczenia 2 3 12" xfId="25063"/>
    <cellStyle name="Obliczenia 2 3 12 2" xfId="25064"/>
    <cellStyle name="Obliczenia 2 3 12 3" xfId="25065"/>
    <cellStyle name="Obliczenia 2 3 12 4" xfId="25066"/>
    <cellStyle name="Obliczenia 2 3 13" xfId="25067"/>
    <cellStyle name="Obliczenia 2 3 13 2" xfId="25068"/>
    <cellStyle name="Obliczenia 2 3 13 3" xfId="25069"/>
    <cellStyle name="Obliczenia 2 3 13 4" xfId="25070"/>
    <cellStyle name="Obliczenia 2 3 14" xfId="25071"/>
    <cellStyle name="Obliczenia 2 3 14 2" xfId="25072"/>
    <cellStyle name="Obliczenia 2 3 14 3" xfId="25073"/>
    <cellStyle name="Obliczenia 2 3 14 4" xfId="25074"/>
    <cellStyle name="Obliczenia 2 3 15" xfId="25075"/>
    <cellStyle name="Obliczenia 2 3 15 2" xfId="25076"/>
    <cellStyle name="Obliczenia 2 3 15 3" xfId="25077"/>
    <cellStyle name="Obliczenia 2 3 15 4" xfId="25078"/>
    <cellStyle name="Obliczenia 2 3 16" xfId="25079"/>
    <cellStyle name="Obliczenia 2 3 16 2" xfId="25080"/>
    <cellStyle name="Obliczenia 2 3 16 3" xfId="25081"/>
    <cellStyle name="Obliczenia 2 3 16 4" xfId="25082"/>
    <cellStyle name="Obliczenia 2 3 17" xfId="25083"/>
    <cellStyle name="Obliczenia 2 3 17 2" xfId="25084"/>
    <cellStyle name="Obliczenia 2 3 17 3" xfId="25085"/>
    <cellStyle name="Obliczenia 2 3 17 4" xfId="25086"/>
    <cellStyle name="Obliczenia 2 3 18" xfId="25087"/>
    <cellStyle name="Obliczenia 2 3 18 2" xfId="25088"/>
    <cellStyle name="Obliczenia 2 3 18 3" xfId="25089"/>
    <cellStyle name="Obliczenia 2 3 18 4" xfId="25090"/>
    <cellStyle name="Obliczenia 2 3 19" xfId="25091"/>
    <cellStyle name="Obliczenia 2 3 19 2" xfId="25092"/>
    <cellStyle name="Obliczenia 2 3 19 3" xfId="25093"/>
    <cellStyle name="Obliczenia 2 3 19 4" xfId="25094"/>
    <cellStyle name="Obliczenia 2 3 2" xfId="25095"/>
    <cellStyle name="Obliczenia 2 3 2 2" xfId="25096"/>
    <cellStyle name="Obliczenia 2 3 2 3" xfId="25097"/>
    <cellStyle name="Obliczenia 2 3 2 4" xfId="25098"/>
    <cellStyle name="Obliczenia 2 3 20" xfId="25099"/>
    <cellStyle name="Obliczenia 2 3 20 2" xfId="25100"/>
    <cellStyle name="Obliczenia 2 3 20 3" xfId="25101"/>
    <cellStyle name="Obliczenia 2 3 20 4" xfId="25102"/>
    <cellStyle name="Obliczenia 2 3 21" xfId="25103"/>
    <cellStyle name="Obliczenia 2 3 21 2" xfId="25104"/>
    <cellStyle name="Obliczenia 2 3 21 3" xfId="25105"/>
    <cellStyle name="Obliczenia 2 3 22" xfId="25106"/>
    <cellStyle name="Obliczenia 2 3 22 2" xfId="25107"/>
    <cellStyle name="Obliczenia 2 3 22 3" xfId="25108"/>
    <cellStyle name="Obliczenia 2 3 23" xfId="25109"/>
    <cellStyle name="Obliczenia 2 3 23 2" xfId="25110"/>
    <cellStyle name="Obliczenia 2 3 23 3" xfId="25111"/>
    <cellStyle name="Obliczenia 2 3 24" xfId="25112"/>
    <cellStyle name="Obliczenia 2 3 24 2" xfId="25113"/>
    <cellStyle name="Obliczenia 2 3 24 3" xfId="25114"/>
    <cellStyle name="Obliczenia 2 3 25" xfId="25115"/>
    <cellStyle name="Obliczenia 2 3 25 2" xfId="25116"/>
    <cellStyle name="Obliczenia 2 3 25 3" xfId="25117"/>
    <cellStyle name="Obliczenia 2 3 26" xfId="25118"/>
    <cellStyle name="Obliczenia 2 3 26 2" xfId="25119"/>
    <cellStyle name="Obliczenia 2 3 26 3" xfId="25120"/>
    <cellStyle name="Obliczenia 2 3 27" xfId="25121"/>
    <cellStyle name="Obliczenia 2 3 27 2" xfId="25122"/>
    <cellStyle name="Obliczenia 2 3 27 3" xfId="25123"/>
    <cellStyle name="Obliczenia 2 3 28" xfId="25124"/>
    <cellStyle name="Obliczenia 2 3 28 2" xfId="25125"/>
    <cellStyle name="Obliczenia 2 3 28 3" xfId="25126"/>
    <cellStyle name="Obliczenia 2 3 29" xfId="25127"/>
    <cellStyle name="Obliczenia 2 3 29 2" xfId="25128"/>
    <cellStyle name="Obliczenia 2 3 29 3" xfId="25129"/>
    <cellStyle name="Obliczenia 2 3 3" xfId="25130"/>
    <cellStyle name="Obliczenia 2 3 3 2" xfId="25131"/>
    <cellStyle name="Obliczenia 2 3 3 3" xfId="25132"/>
    <cellStyle name="Obliczenia 2 3 3 4" xfId="25133"/>
    <cellStyle name="Obliczenia 2 3 30" xfId="25134"/>
    <cellStyle name="Obliczenia 2 3 30 2" xfId="25135"/>
    <cellStyle name="Obliczenia 2 3 30 3" xfId="25136"/>
    <cellStyle name="Obliczenia 2 3 31" xfId="25137"/>
    <cellStyle name="Obliczenia 2 3 31 2" xfId="25138"/>
    <cellStyle name="Obliczenia 2 3 31 3" xfId="25139"/>
    <cellStyle name="Obliczenia 2 3 32" xfId="25140"/>
    <cellStyle name="Obliczenia 2 3 32 2" xfId="25141"/>
    <cellStyle name="Obliczenia 2 3 32 3" xfId="25142"/>
    <cellStyle name="Obliczenia 2 3 33" xfId="25143"/>
    <cellStyle name="Obliczenia 2 3 33 2" xfId="25144"/>
    <cellStyle name="Obliczenia 2 3 33 3" xfId="25145"/>
    <cellStyle name="Obliczenia 2 3 34" xfId="25146"/>
    <cellStyle name="Obliczenia 2 3 34 2" xfId="25147"/>
    <cellStyle name="Obliczenia 2 3 34 3" xfId="25148"/>
    <cellStyle name="Obliczenia 2 3 35" xfId="25149"/>
    <cellStyle name="Obliczenia 2 3 35 2" xfId="25150"/>
    <cellStyle name="Obliczenia 2 3 35 3" xfId="25151"/>
    <cellStyle name="Obliczenia 2 3 36" xfId="25152"/>
    <cellStyle name="Obliczenia 2 3 36 2" xfId="25153"/>
    <cellStyle name="Obliczenia 2 3 36 3" xfId="25154"/>
    <cellStyle name="Obliczenia 2 3 37" xfId="25155"/>
    <cellStyle name="Obliczenia 2 3 37 2" xfId="25156"/>
    <cellStyle name="Obliczenia 2 3 37 3" xfId="25157"/>
    <cellStyle name="Obliczenia 2 3 38" xfId="25158"/>
    <cellStyle name="Obliczenia 2 3 38 2" xfId="25159"/>
    <cellStyle name="Obliczenia 2 3 38 3" xfId="25160"/>
    <cellStyle name="Obliczenia 2 3 39" xfId="25161"/>
    <cellStyle name="Obliczenia 2 3 39 2" xfId="25162"/>
    <cellStyle name="Obliczenia 2 3 39 3" xfId="25163"/>
    <cellStyle name="Obliczenia 2 3 4" xfId="25164"/>
    <cellStyle name="Obliczenia 2 3 4 2" xfId="25165"/>
    <cellStyle name="Obliczenia 2 3 4 3" xfId="25166"/>
    <cellStyle name="Obliczenia 2 3 4 4" xfId="25167"/>
    <cellStyle name="Obliczenia 2 3 40" xfId="25168"/>
    <cellStyle name="Obliczenia 2 3 40 2" xfId="25169"/>
    <cellStyle name="Obliczenia 2 3 40 3" xfId="25170"/>
    <cellStyle name="Obliczenia 2 3 41" xfId="25171"/>
    <cellStyle name="Obliczenia 2 3 41 2" xfId="25172"/>
    <cellStyle name="Obliczenia 2 3 41 3" xfId="25173"/>
    <cellStyle name="Obliczenia 2 3 42" xfId="25174"/>
    <cellStyle name="Obliczenia 2 3 42 2" xfId="25175"/>
    <cellStyle name="Obliczenia 2 3 42 3" xfId="25176"/>
    <cellStyle name="Obliczenia 2 3 43" xfId="25177"/>
    <cellStyle name="Obliczenia 2 3 43 2" xfId="25178"/>
    <cellStyle name="Obliczenia 2 3 43 3" xfId="25179"/>
    <cellStyle name="Obliczenia 2 3 44" xfId="25180"/>
    <cellStyle name="Obliczenia 2 3 44 2" xfId="25181"/>
    <cellStyle name="Obliczenia 2 3 44 3" xfId="25182"/>
    <cellStyle name="Obliczenia 2 3 45" xfId="25183"/>
    <cellStyle name="Obliczenia 2 3 45 2" xfId="25184"/>
    <cellStyle name="Obliczenia 2 3 45 3" xfId="25185"/>
    <cellStyle name="Obliczenia 2 3 46" xfId="25186"/>
    <cellStyle name="Obliczenia 2 3 46 2" xfId="25187"/>
    <cellStyle name="Obliczenia 2 3 46 3" xfId="25188"/>
    <cellStyle name="Obliczenia 2 3 47" xfId="25189"/>
    <cellStyle name="Obliczenia 2 3 47 2" xfId="25190"/>
    <cellStyle name="Obliczenia 2 3 47 3" xfId="25191"/>
    <cellStyle name="Obliczenia 2 3 48" xfId="25192"/>
    <cellStyle name="Obliczenia 2 3 48 2" xfId="25193"/>
    <cellStyle name="Obliczenia 2 3 48 3" xfId="25194"/>
    <cellStyle name="Obliczenia 2 3 49" xfId="25195"/>
    <cellStyle name="Obliczenia 2 3 49 2" xfId="25196"/>
    <cellStyle name="Obliczenia 2 3 49 3" xfId="25197"/>
    <cellStyle name="Obliczenia 2 3 5" xfId="25198"/>
    <cellStyle name="Obliczenia 2 3 5 2" xfId="25199"/>
    <cellStyle name="Obliczenia 2 3 5 3" xfId="25200"/>
    <cellStyle name="Obliczenia 2 3 5 4" xfId="25201"/>
    <cellStyle name="Obliczenia 2 3 50" xfId="25202"/>
    <cellStyle name="Obliczenia 2 3 50 2" xfId="25203"/>
    <cellStyle name="Obliczenia 2 3 50 3" xfId="25204"/>
    <cellStyle name="Obliczenia 2 3 51" xfId="25205"/>
    <cellStyle name="Obliczenia 2 3 51 2" xfId="25206"/>
    <cellStyle name="Obliczenia 2 3 51 3" xfId="25207"/>
    <cellStyle name="Obliczenia 2 3 52" xfId="25208"/>
    <cellStyle name="Obliczenia 2 3 52 2" xfId="25209"/>
    <cellStyle name="Obliczenia 2 3 52 3" xfId="25210"/>
    <cellStyle name="Obliczenia 2 3 53" xfId="25211"/>
    <cellStyle name="Obliczenia 2 3 53 2" xfId="25212"/>
    <cellStyle name="Obliczenia 2 3 53 3" xfId="25213"/>
    <cellStyle name="Obliczenia 2 3 54" xfId="25214"/>
    <cellStyle name="Obliczenia 2 3 54 2" xfId="25215"/>
    <cellStyle name="Obliczenia 2 3 54 3" xfId="25216"/>
    <cellStyle name="Obliczenia 2 3 55" xfId="25217"/>
    <cellStyle name="Obliczenia 2 3 55 2" xfId="25218"/>
    <cellStyle name="Obliczenia 2 3 55 3" xfId="25219"/>
    <cellStyle name="Obliczenia 2 3 56" xfId="25220"/>
    <cellStyle name="Obliczenia 2 3 56 2" xfId="25221"/>
    <cellStyle name="Obliczenia 2 3 56 3" xfId="25222"/>
    <cellStyle name="Obliczenia 2 3 57" xfId="25223"/>
    <cellStyle name="Obliczenia 2 3 58" xfId="25224"/>
    <cellStyle name="Obliczenia 2 3 6" xfId="25225"/>
    <cellStyle name="Obliczenia 2 3 6 2" xfId="25226"/>
    <cellStyle name="Obliczenia 2 3 6 3" xfId="25227"/>
    <cellStyle name="Obliczenia 2 3 6 4" xfId="25228"/>
    <cellStyle name="Obliczenia 2 3 7" xfId="25229"/>
    <cellStyle name="Obliczenia 2 3 7 2" xfId="25230"/>
    <cellStyle name="Obliczenia 2 3 7 3" xfId="25231"/>
    <cellStyle name="Obliczenia 2 3 7 4" xfId="25232"/>
    <cellStyle name="Obliczenia 2 3 8" xfId="25233"/>
    <cellStyle name="Obliczenia 2 3 8 2" xfId="25234"/>
    <cellStyle name="Obliczenia 2 3 8 3" xfId="25235"/>
    <cellStyle name="Obliczenia 2 3 8 4" xfId="25236"/>
    <cellStyle name="Obliczenia 2 3 9" xfId="25237"/>
    <cellStyle name="Obliczenia 2 3 9 2" xfId="25238"/>
    <cellStyle name="Obliczenia 2 3 9 3" xfId="25239"/>
    <cellStyle name="Obliczenia 2 3 9 4" xfId="25240"/>
    <cellStyle name="Obliczenia 2 30" xfId="25241"/>
    <cellStyle name="Obliczenia 2 30 2" xfId="25242"/>
    <cellStyle name="Obliczenia 2 30 3" xfId="25243"/>
    <cellStyle name="Obliczenia 2 30 4" xfId="25244"/>
    <cellStyle name="Obliczenia 2 31" xfId="25245"/>
    <cellStyle name="Obliczenia 2 31 2" xfId="25246"/>
    <cellStyle name="Obliczenia 2 31 3" xfId="25247"/>
    <cellStyle name="Obliczenia 2 31 4" xfId="25248"/>
    <cellStyle name="Obliczenia 2 32" xfId="25249"/>
    <cellStyle name="Obliczenia 2 32 2" xfId="25250"/>
    <cellStyle name="Obliczenia 2 32 3" xfId="25251"/>
    <cellStyle name="Obliczenia 2 32 4" xfId="25252"/>
    <cellStyle name="Obliczenia 2 33" xfId="25253"/>
    <cellStyle name="Obliczenia 2 33 2" xfId="25254"/>
    <cellStyle name="Obliczenia 2 33 3" xfId="25255"/>
    <cellStyle name="Obliczenia 2 33 4" xfId="25256"/>
    <cellStyle name="Obliczenia 2 34" xfId="25257"/>
    <cellStyle name="Obliczenia 2 34 2" xfId="25258"/>
    <cellStyle name="Obliczenia 2 34 3" xfId="25259"/>
    <cellStyle name="Obliczenia 2 34 4" xfId="25260"/>
    <cellStyle name="Obliczenia 2 35" xfId="25261"/>
    <cellStyle name="Obliczenia 2 35 2" xfId="25262"/>
    <cellStyle name="Obliczenia 2 35 3" xfId="25263"/>
    <cellStyle name="Obliczenia 2 35 4" xfId="25264"/>
    <cellStyle name="Obliczenia 2 36" xfId="25265"/>
    <cellStyle name="Obliczenia 2 36 2" xfId="25266"/>
    <cellStyle name="Obliczenia 2 36 3" xfId="25267"/>
    <cellStyle name="Obliczenia 2 36 4" xfId="25268"/>
    <cellStyle name="Obliczenia 2 37" xfId="25269"/>
    <cellStyle name="Obliczenia 2 37 2" xfId="25270"/>
    <cellStyle name="Obliczenia 2 37 3" xfId="25271"/>
    <cellStyle name="Obliczenia 2 37 4" xfId="25272"/>
    <cellStyle name="Obliczenia 2 38" xfId="25273"/>
    <cellStyle name="Obliczenia 2 38 2" xfId="25274"/>
    <cellStyle name="Obliczenia 2 38 3" xfId="25275"/>
    <cellStyle name="Obliczenia 2 38 4" xfId="25276"/>
    <cellStyle name="Obliczenia 2 39" xfId="25277"/>
    <cellStyle name="Obliczenia 2 39 2" xfId="25278"/>
    <cellStyle name="Obliczenia 2 39 3" xfId="25279"/>
    <cellStyle name="Obliczenia 2 39 4" xfId="25280"/>
    <cellStyle name="Obliczenia 2 4" xfId="25281"/>
    <cellStyle name="Obliczenia 2 4 10" xfId="25282"/>
    <cellStyle name="Obliczenia 2 4 10 2" xfId="25283"/>
    <cellStyle name="Obliczenia 2 4 10 3" xfId="25284"/>
    <cellStyle name="Obliczenia 2 4 10 4" xfId="25285"/>
    <cellStyle name="Obliczenia 2 4 11" xfId="25286"/>
    <cellStyle name="Obliczenia 2 4 11 2" xfId="25287"/>
    <cellStyle name="Obliczenia 2 4 11 3" xfId="25288"/>
    <cellStyle name="Obliczenia 2 4 11 4" xfId="25289"/>
    <cellStyle name="Obliczenia 2 4 12" xfId="25290"/>
    <cellStyle name="Obliczenia 2 4 12 2" xfId="25291"/>
    <cellStyle name="Obliczenia 2 4 12 3" xfId="25292"/>
    <cellStyle name="Obliczenia 2 4 12 4" xfId="25293"/>
    <cellStyle name="Obliczenia 2 4 13" xfId="25294"/>
    <cellStyle name="Obliczenia 2 4 13 2" xfId="25295"/>
    <cellStyle name="Obliczenia 2 4 13 3" xfId="25296"/>
    <cellStyle name="Obliczenia 2 4 13 4" xfId="25297"/>
    <cellStyle name="Obliczenia 2 4 14" xfId="25298"/>
    <cellStyle name="Obliczenia 2 4 14 2" xfId="25299"/>
    <cellStyle name="Obliczenia 2 4 14 3" xfId="25300"/>
    <cellStyle name="Obliczenia 2 4 14 4" xfId="25301"/>
    <cellStyle name="Obliczenia 2 4 15" xfId="25302"/>
    <cellStyle name="Obliczenia 2 4 15 2" xfId="25303"/>
    <cellStyle name="Obliczenia 2 4 15 3" xfId="25304"/>
    <cellStyle name="Obliczenia 2 4 15 4" xfId="25305"/>
    <cellStyle name="Obliczenia 2 4 16" xfId="25306"/>
    <cellStyle name="Obliczenia 2 4 16 2" xfId="25307"/>
    <cellStyle name="Obliczenia 2 4 16 3" xfId="25308"/>
    <cellStyle name="Obliczenia 2 4 16 4" xfId="25309"/>
    <cellStyle name="Obliczenia 2 4 17" xfId="25310"/>
    <cellStyle name="Obliczenia 2 4 17 2" xfId="25311"/>
    <cellStyle name="Obliczenia 2 4 17 3" xfId="25312"/>
    <cellStyle name="Obliczenia 2 4 17 4" xfId="25313"/>
    <cellStyle name="Obliczenia 2 4 18" xfId="25314"/>
    <cellStyle name="Obliczenia 2 4 18 2" xfId="25315"/>
    <cellStyle name="Obliczenia 2 4 18 3" xfId="25316"/>
    <cellStyle name="Obliczenia 2 4 18 4" xfId="25317"/>
    <cellStyle name="Obliczenia 2 4 19" xfId="25318"/>
    <cellStyle name="Obliczenia 2 4 19 2" xfId="25319"/>
    <cellStyle name="Obliczenia 2 4 19 3" xfId="25320"/>
    <cellStyle name="Obliczenia 2 4 19 4" xfId="25321"/>
    <cellStyle name="Obliczenia 2 4 2" xfId="25322"/>
    <cellStyle name="Obliczenia 2 4 2 2" xfId="25323"/>
    <cellStyle name="Obliczenia 2 4 2 3" xfId="25324"/>
    <cellStyle name="Obliczenia 2 4 2 4" xfId="25325"/>
    <cellStyle name="Obliczenia 2 4 20" xfId="25326"/>
    <cellStyle name="Obliczenia 2 4 20 2" xfId="25327"/>
    <cellStyle name="Obliczenia 2 4 20 3" xfId="25328"/>
    <cellStyle name="Obliczenia 2 4 20 4" xfId="25329"/>
    <cellStyle name="Obliczenia 2 4 21" xfId="25330"/>
    <cellStyle name="Obliczenia 2 4 21 2" xfId="25331"/>
    <cellStyle name="Obliczenia 2 4 21 3" xfId="25332"/>
    <cellStyle name="Obliczenia 2 4 22" xfId="25333"/>
    <cellStyle name="Obliczenia 2 4 22 2" xfId="25334"/>
    <cellStyle name="Obliczenia 2 4 22 3" xfId="25335"/>
    <cellStyle name="Obliczenia 2 4 23" xfId="25336"/>
    <cellStyle name="Obliczenia 2 4 23 2" xfId="25337"/>
    <cellStyle name="Obliczenia 2 4 23 3" xfId="25338"/>
    <cellStyle name="Obliczenia 2 4 24" xfId="25339"/>
    <cellStyle name="Obliczenia 2 4 24 2" xfId="25340"/>
    <cellStyle name="Obliczenia 2 4 24 3" xfId="25341"/>
    <cellStyle name="Obliczenia 2 4 25" xfId="25342"/>
    <cellStyle name="Obliczenia 2 4 25 2" xfId="25343"/>
    <cellStyle name="Obliczenia 2 4 25 3" xfId="25344"/>
    <cellStyle name="Obliczenia 2 4 26" xfId="25345"/>
    <cellStyle name="Obliczenia 2 4 26 2" xfId="25346"/>
    <cellStyle name="Obliczenia 2 4 26 3" xfId="25347"/>
    <cellStyle name="Obliczenia 2 4 27" xfId="25348"/>
    <cellStyle name="Obliczenia 2 4 27 2" xfId="25349"/>
    <cellStyle name="Obliczenia 2 4 27 3" xfId="25350"/>
    <cellStyle name="Obliczenia 2 4 28" xfId="25351"/>
    <cellStyle name="Obliczenia 2 4 28 2" xfId="25352"/>
    <cellStyle name="Obliczenia 2 4 28 3" xfId="25353"/>
    <cellStyle name="Obliczenia 2 4 29" xfId="25354"/>
    <cellStyle name="Obliczenia 2 4 29 2" xfId="25355"/>
    <cellStyle name="Obliczenia 2 4 29 3" xfId="25356"/>
    <cellStyle name="Obliczenia 2 4 3" xfId="25357"/>
    <cellStyle name="Obliczenia 2 4 3 2" xfId="25358"/>
    <cellStyle name="Obliczenia 2 4 3 3" xfId="25359"/>
    <cellStyle name="Obliczenia 2 4 3 4" xfId="25360"/>
    <cellStyle name="Obliczenia 2 4 30" xfId="25361"/>
    <cellStyle name="Obliczenia 2 4 30 2" xfId="25362"/>
    <cellStyle name="Obliczenia 2 4 30 3" xfId="25363"/>
    <cellStyle name="Obliczenia 2 4 31" xfId="25364"/>
    <cellStyle name="Obliczenia 2 4 31 2" xfId="25365"/>
    <cellStyle name="Obliczenia 2 4 31 3" xfId="25366"/>
    <cellStyle name="Obliczenia 2 4 32" xfId="25367"/>
    <cellStyle name="Obliczenia 2 4 32 2" xfId="25368"/>
    <cellStyle name="Obliczenia 2 4 32 3" xfId="25369"/>
    <cellStyle name="Obliczenia 2 4 33" xfId="25370"/>
    <cellStyle name="Obliczenia 2 4 33 2" xfId="25371"/>
    <cellStyle name="Obliczenia 2 4 33 3" xfId="25372"/>
    <cellStyle name="Obliczenia 2 4 34" xfId="25373"/>
    <cellStyle name="Obliczenia 2 4 34 2" xfId="25374"/>
    <cellStyle name="Obliczenia 2 4 34 3" xfId="25375"/>
    <cellStyle name="Obliczenia 2 4 35" xfId="25376"/>
    <cellStyle name="Obliczenia 2 4 35 2" xfId="25377"/>
    <cellStyle name="Obliczenia 2 4 35 3" xfId="25378"/>
    <cellStyle name="Obliczenia 2 4 36" xfId="25379"/>
    <cellStyle name="Obliczenia 2 4 36 2" xfId="25380"/>
    <cellStyle name="Obliczenia 2 4 36 3" xfId="25381"/>
    <cellStyle name="Obliczenia 2 4 37" xfId="25382"/>
    <cellStyle name="Obliczenia 2 4 37 2" xfId="25383"/>
    <cellStyle name="Obliczenia 2 4 37 3" xfId="25384"/>
    <cellStyle name="Obliczenia 2 4 38" xfId="25385"/>
    <cellStyle name="Obliczenia 2 4 38 2" xfId="25386"/>
    <cellStyle name="Obliczenia 2 4 38 3" xfId="25387"/>
    <cellStyle name="Obliczenia 2 4 39" xfId="25388"/>
    <cellStyle name="Obliczenia 2 4 39 2" xfId="25389"/>
    <cellStyle name="Obliczenia 2 4 39 3" xfId="25390"/>
    <cellStyle name="Obliczenia 2 4 4" xfId="25391"/>
    <cellStyle name="Obliczenia 2 4 4 2" xfId="25392"/>
    <cellStyle name="Obliczenia 2 4 4 3" xfId="25393"/>
    <cellStyle name="Obliczenia 2 4 4 4" xfId="25394"/>
    <cellStyle name="Obliczenia 2 4 40" xfId="25395"/>
    <cellStyle name="Obliczenia 2 4 40 2" xfId="25396"/>
    <cellStyle name="Obliczenia 2 4 40 3" xfId="25397"/>
    <cellStyle name="Obliczenia 2 4 41" xfId="25398"/>
    <cellStyle name="Obliczenia 2 4 41 2" xfId="25399"/>
    <cellStyle name="Obliczenia 2 4 41 3" xfId="25400"/>
    <cellStyle name="Obliczenia 2 4 42" xfId="25401"/>
    <cellStyle name="Obliczenia 2 4 42 2" xfId="25402"/>
    <cellStyle name="Obliczenia 2 4 42 3" xfId="25403"/>
    <cellStyle name="Obliczenia 2 4 43" xfId="25404"/>
    <cellStyle name="Obliczenia 2 4 43 2" xfId="25405"/>
    <cellStyle name="Obliczenia 2 4 43 3" xfId="25406"/>
    <cellStyle name="Obliczenia 2 4 44" xfId="25407"/>
    <cellStyle name="Obliczenia 2 4 44 2" xfId="25408"/>
    <cellStyle name="Obliczenia 2 4 44 3" xfId="25409"/>
    <cellStyle name="Obliczenia 2 4 45" xfId="25410"/>
    <cellStyle name="Obliczenia 2 4 45 2" xfId="25411"/>
    <cellStyle name="Obliczenia 2 4 45 3" xfId="25412"/>
    <cellStyle name="Obliczenia 2 4 46" xfId="25413"/>
    <cellStyle name="Obliczenia 2 4 46 2" xfId="25414"/>
    <cellStyle name="Obliczenia 2 4 46 3" xfId="25415"/>
    <cellStyle name="Obliczenia 2 4 47" xfId="25416"/>
    <cellStyle name="Obliczenia 2 4 47 2" xfId="25417"/>
    <cellStyle name="Obliczenia 2 4 47 3" xfId="25418"/>
    <cellStyle name="Obliczenia 2 4 48" xfId="25419"/>
    <cellStyle name="Obliczenia 2 4 48 2" xfId="25420"/>
    <cellStyle name="Obliczenia 2 4 48 3" xfId="25421"/>
    <cellStyle name="Obliczenia 2 4 49" xfId="25422"/>
    <cellStyle name="Obliczenia 2 4 49 2" xfId="25423"/>
    <cellStyle name="Obliczenia 2 4 49 3" xfId="25424"/>
    <cellStyle name="Obliczenia 2 4 5" xfId="25425"/>
    <cellStyle name="Obliczenia 2 4 5 2" xfId="25426"/>
    <cellStyle name="Obliczenia 2 4 5 3" xfId="25427"/>
    <cellStyle name="Obliczenia 2 4 5 4" xfId="25428"/>
    <cellStyle name="Obliczenia 2 4 50" xfId="25429"/>
    <cellStyle name="Obliczenia 2 4 50 2" xfId="25430"/>
    <cellStyle name="Obliczenia 2 4 50 3" xfId="25431"/>
    <cellStyle name="Obliczenia 2 4 51" xfId="25432"/>
    <cellStyle name="Obliczenia 2 4 51 2" xfId="25433"/>
    <cellStyle name="Obliczenia 2 4 51 3" xfId="25434"/>
    <cellStyle name="Obliczenia 2 4 52" xfId="25435"/>
    <cellStyle name="Obliczenia 2 4 52 2" xfId="25436"/>
    <cellStyle name="Obliczenia 2 4 52 3" xfId="25437"/>
    <cellStyle name="Obliczenia 2 4 53" xfId="25438"/>
    <cellStyle name="Obliczenia 2 4 53 2" xfId="25439"/>
    <cellStyle name="Obliczenia 2 4 53 3" xfId="25440"/>
    <cellStyle name="Obliczenia 2 4 54" xfId="25441"/>
    <cellStyle name="Obliczenia 2 4 54 2" xfId="25442"/>
    <cellStyle name="Obliczenia 2 4 54 3" xfId="25443"/>
    <cellStyle name="Obliczenia 2 4 55" xfId="25444"/>
    <cellStyle name="Obliczenia 2 4 55 2" xfId="25445"/>
    <cellStyle name="Obliczenia 2 4 55 3" xfId="25446"/>
    <cellStyle name="Obliczenia 2 4 56" xfId="25447"/>
    <cellStyle name="Obliczenia 2 4 56 2" xfId="25448"/>
    <cellStyle name="Obliczenia 2 4 56 3" xfId="25449"/>
    <cellStyle name="Obliczenia 2 4 57" xfId="25450"/>
    <cellStyle name="Obliczenia 2 4 58" xfId="25451"/>
    <cellStyle name="Obliczenia 2 4 6" xfId="25452"/>
    <cellStyle name="Obliczenia 2 4 6 2" xfId="25453"/>
    <cellStyle name="Obliczenia 2 4 6 3" xfId="25454"/>
    <cellStyle name="Obliczenia 2 4 6 4" xfId="25455"/>
    <cellStyle name="Obliczenia 2 4 7" xfId="25456"/>
    <cellStyle name="Obliczenia 2 4 7 2" xfId="25457"/>
    <cellStyle name="Obliczenia 2 4 7 3" xfId="25458"/>
    <cellStyle name="Obliczenia 2 4 7 4" xfId="25459"/>
    <cellStyle name="Obliczenia 2 4 8" xfId="25460"/>
    <cellStyle name="Obliczenia 2 4 8 2" xfId="25461"/>
    <cellStyle name="Obliczenia 2 4 8 3" xfId="25462"/>
    <cellStyle name="Obliczenia 2 4 8 4" xfId="25463"/>
    <cellStyle name="Obliczenia 2 4 9" xfId="25464"/>
    <cellStyle name="Obliczenia 2 4 9 2" xfId="25465"/>
    <cellStyle name="Obliczenia 2 4 9 3" xfId="25466"/>
    <cellStyle name="Obliczenia 2 4 9 4" xfId="25467"/>
    <cellStyle name="Obliczenia 2 40" xfId="25468"/>
    <cellStyle name="Obliczenia 2 40 2" xfId="25469"/>
    <cellStyle name="Obliczenia 2 40 3" xfId="25470"/>
    <cellStyle name="Obliczenia 2 40 4" xfId="25471"/>
    <cellStyle name="Obliczenia 2 41" xfId="25472"/>
    <cellStyle name="Obliczenia 2 41 2" xfId="25473"/>
    <cellStyle name="Obliczenia 2 41 3" xfId="25474"/>
    <cellStyle name="Obliczenia 2 41 4" xfId="25475"/>
    <cellStyle name="Obliczenia 2 42" xfId="25476"/>
    <cellStyle name="Obliczenia 2 42 2" xfId="25477"/>
    <cellStyle name="Obliczenia 2 42 3" xfId="25478"/>
    <cellStyle name="Obliczenia 2 42 4" xfId="25479"/>
    <cellStyle name="Obliczenia 2 43" xfId="25480"/>
    <cellStyle name="Obliczenia 2 43 2" xfId="25481"/>
    <cellStyle name="Obliczenia 2 43 3" xfId="25482"/>
    <cellStyle name="Obliczenia 2 43 4" xfId="25483"/>
    <cellStyle name="Obliczenia 2 44" xfId="25484"/>
    <cellStyle name="Obliczenia 2 44 2" xfId="25485"/>
    <cellStyle name="Obliczenia 2 44 3" xfId="25486"/>
    <cellStyle name="Obliczenia 2 44 4" xfId="25487"/>
    <cellStyle name="Obliczenia 2 45" xfId="25488"/>
    <cellStyle name="Obliczenia 2 45 2" xfId="25489"/>
    <cellStyle name="Obliczenia 2 45 3" xfId="25490"/>
    <cellStyle name="Obliczenia 2 45 4" xfId="25491"/>
    <cellStyle name="Obliczenia 2 46" xfId="25492"/>
    <cellStyle name="Obliczenia 2 46 2" xfId="25493"/>
    <cellStyle name="Obliczenia 2 46 3" xfId="25494"/>
    <cellStyle name="Obliczenia 2 46 4" xfId="25495"/>
    <cellStyle name="Obliczenia 2 47" xfId="25496"/>
    <cellStyle name="Obliczenia 2 47 2" xfId="25497"/>
    <cellStyle name="Obliczenia 2 47 3" xfId="25498"/>
    <cellStyle name="Obliczenia 2 47 4" xfId="25499"/>
    <cellStyle name="Obliczenia 2 48" xfId="25500"/>
    <cellStyle name="Obliczenia 2 48 2" xfId="25501"/>
    <cellStyle name="Obliczenia 2 48 3" xfId="25502"/>
    <cellStyle name="Obliczenia 2 48 4" xfId="25503"/>
    <cellStyle name="Obliczenia 2 49" xfId="25504"/>
    <cellStyle name="Obliczenia 2 49 2" xfId="25505"/>
    <cellStyle name="Obliczenia 2 49 3" xfId="25506"/>
    <cellStyle name="Obliczenia 2 49 4" xfId="25507"/>
    <cellStyle name="Obliczenia 2 5" xfId="25508"/>
    <cellStyle name="Obliczenia 2 5 10" xfId="25509"/>
    <cellStyle name="Obliczenia 2 5 10 2" xfId="25510"/>
    <cellStyle name="Obliczenia 2 5 10 3" xfId="25511"/>
    <cellStyle name="Obliczenia 2 5 10 4" xfId="25512"/>
    <cellStyle name="Obliczenia 2 5 11" xfId="25513"/>
    <cellStyle name="Obliczenia 2 5 11 2" xfId="25514"/>
    <cellStyle name="Obliczenia 2 5 11 3" xfId="25515"/>
    <cellStyle name="Obliczenia 2 5 11 4" xfId="25516"/>
    <cellStyle name="Obliczenia 2 5 12" xfId="25517"/>
    <cellStyle name="Obliczenia 2 5 12 2" xfId="25518"/>
    <cellStyle name="Obliczenia 2 5 12 3" xfId="25519"/>
    <cellStyle name="Obliczenia 2 5 12 4" xfId="25520"/>
    <cellStyle name="Obliczenia 2 5 13" xfId="25521"/>
    <cellStyle name="Obliczenia 2 5 13 2" xfId="25522"/>
    <cellStyle name="Obliczenia 2 5 13 3" xfId="25523"/>
    <cellStyle name="Obliczenia 2 5 13 4" xfId="25524"/>
    <cellStyle name="Obliczenia 2 5 14" xfId="25525"/>
    <cellStyle name="Obliczenia 2 5 14 2" xfId="25526"/>
    <cellStyle name="Obliczenia 2 5 14 3" xfId="25527"/>
    <cellStyle name="Obliczenia 2 5 14 4" xfId="25528"/>
    <cellStyle name="Obliczenia 2 5 15" xfId="25529"/>
    <cellStyle name="Obliczenia 2 5 15 2" xfId="25530"/>
    <cellStyle name="Obliczenia 2 5 15 3" xfId="25531"/>
    <cellStyle name="Obliczenia 2 5 15 4" xfId="25532"/>
    <cellStyle name="Obliczenia 2 5 16" xfId="25533"/>
    <cellStyle name="Obliczenia 2 5 16 2" xfId="25534"/>
    <cellStyle name="Obliczenia 2 5 16 3" xfId="25535"/>
    <cellStyle name="Obliczenia 2 5 16 4" xfId="25536"/>
    <cellStyle name="Obliczenia 2 5 17" xfId="25537"/>
    <cellStyle name="Obliczenia 2 5 17 2" xfId="25538"/>
    <cellStyle name="Obliczenia 2 5 17 3" xfId="25539"/>
    <cellStyle name="Obliczenia 2 5 17 4" xfId="25540"/>
    <cellStyle name="Obliczenia 2 5 18" xfId="25541"/>
    <cellStyle name="Obliczenia 2 5 18 2" xfId="25542"/>
    <cellStyle name="Obliczenia 2 5 18 3" xfId="25543"/>
    <cellStyle name="Obliczenia 2 5 18 4" xfId="25544"/>
    <cellStyle name="Obliczenia 2 5 19" xfId="25545"/>
    <cellStyle name="Obliczenia 2 5 19 2" xfId="25546"/>
    <cellStyle name="Obliczenia 2 5 19 3" xfId="25547"/>
    <cellStyle name="Obliczenia 2 5 19 4" xfId="25548"/>
    <cellStyle name="Obliczenia 2 5 2" xfId="25549"/>
    <cellStyle name="Obliczenia 2 5 2 2" xfId="25550"/>
    <cellStyle name="Obliczenia 2 5 2 3" xfId="25551"/>
    <cellStyle name="Obliczenia 2 5 2 4" xfId="25552"/>
    <cellStyle name="Obliczenia 2 5 20" xfId="25553"/>
    <cellStyle name="Obliczenia 2 5 20 2" xfId="25554"/>
    <cellStyle name="Obliczenia 2 5 20 3" xfId="25555"/>
    <cellStyle name="Obliczenia 2 5 20 4" xfId="25556"/>
    <cellStyle name="Obliczenia 2 5 21" xfId="25557"/>
    <cellStyle name="Obliczenia 2 5 21 2" xfId="25558"/>
    <cellStyle name="Obliczenia 2 5 21 3" xfId="25559"/>
    <cellStyle name="Obliczenia 2 5 22" xfId="25560"/>
    <cellStyle name="Obliczenia 2 5 22 2" xfId="25561"/>
    <cellStyle name="Obliczenia 2 5 22 3" xfId="25562"/>
    <cellStyle name="Obliczenia 2 5 23" xfId="25563"/>
    <cellStyle name="Obliczenia 2 5 23 2" xfId="25564"/>
    <cellStyle name="Obliczenia 2 5 23 3" xfId="25565"/>
    <cellStyle name="Obliczenia 2 5 24" xfId="25566"/>
    <cellStyle name="Obliczenia 2 5 24 2" xfId="25567"/>
    <cellStyle name="Obliczenia 2 5 24 3" xfId="25568"/>
    <cellStyle name="Obliczenia 2 5 25" xfId="25569"/>
    <cellStyle name="Obliczenia 2 5 25 2" xfId="25570"/>
    <cellStyle name="Obliczenia 2 5 25 3" xfId="25571"/>
    <cellStyle name="Obliczenia 2 5 26" xfId="25572"/>
    <cellStyle name="Obliczenia 2 5 26 2" xfId="25573"/>
    <cellStyle name="Obliczenia 2 5 26 3" xfId="25574"/>
    <cellStyle name="Obliczenia 2 5 27" xfId="25575"/>
    <cellStyle name="Obliczenia 2 5 27 2" xfId="25576"/>
    <cellStyle name="Obliczenia 2 5 27 3" xfId="25577"/>
    <cellStyle name="Obliczenia 2 5 28" xfId="25578"/>
    <cellStyle name="Obliczenia 2 5 28 2" xfId="25579"/>
    <cellStyle name="Obliczenia 2 5 28 3" xfId="25580"/>
    <cellStyle name="Obliczenia 2 5 29" xfId="25581"/>
    <cellStyle name="Obliczenia 2 5 29 2" xfId="25582"/>
    <cellStyle name="Obliczenia 2 5 29 3" xfId="25583"/>
    <cellStyle name="Obliczenia 2 5 3" xfId="25584"/>
    <cellStyle name="Obliczenia 2 5 3 2" xfId="25585"/>
    <cellStyle name="Obliczenia 2 5 3 3" xfId="25586"/>
    <cellStyle name="Obliczenia 2 5 3 4" xfId="25587"/>
    <cellStyle name="Obliczenia 2 5 30" xfId="25588"/>
    <cellStyle name="Obliczenia 2 5 30 2" xfId="25589"/>
    <cellStyle name="Obliczenia 2 5 30 3" xfId="25590"/>
    <cellStyle name="Obliczenia 2 5 31" xfId="25591"/>
    <cellStyle name="Obliczenia 2 5 31 2" xfId="25592"/>
    <cellStyle name="Obliczenia 2 5 31 3" xfId="25593"/>
    <cellStyle name="Obliczenia 2 5 32" xfId="25594"/>
    <cellStyle name="Obliczenia 2 5 32 2" xfId="25595"/>
    <cellStyle name="Obliczenia 2 5 32 3" xfId="25596"/>
    <cellStyle name="Obliczenia 2 5 33" xfId="25597"/>
    <cellStyle name="Obliczenia 2 5 33 2" xfId="25598"/>
    <cellStyle name="Obliczenia 2 5 33 3" xfId="25599"/>
    <cellStyle name="Obliczenia 2 5 34" xfId="25600"/>
    <cellStyle name="Obliczenia 2 5 34 2" xfId="25601"/>
    <cellStyle name="Obliczenia 2 5 34 3" xfId="25602"/>
    <cellStyle name="Obliczenia 2 5 35" xfId="25603"/>
    <cellStyle name="Obliczenia 2 5 35 2" xfId="25604"/>
    <cellStyle name="Obliczenia 2 5 35 3" xfId="25605"/>
    <cellStyle name="Obliczenia 2 5 36" xfId="25606"/>
    <cellStyle name="Obliczenia 2 5 36 2" xfId="25607"/>
    <cellStyle name="Obliczenia 2 5 36 3" xfId="25608"/>
    <cellStyle name="Obliczenia 2 5 37" xfId="25609"/>
    <cellStyle name="Obliczenia 2 5 37 2" xfId="25610"/>
    <cellStyle name="Obliczenia 2 5 37 3" xfId="25611"/>
    <cellStyle name="Obliczenia 2 5 38" xfId="25612"/>
    <cellStyle name="Obliczenia 2 5 38 2" xfId="25613"/>
    <cellStyle name="Obliczenia 2 5 38 3" xfId="25614"/>
    <cellStyle name="Obliczenia 2 5 39" xfId="25615"/>
    <cellStyle name="Obliczenia 2 5 39 2" xfId="25616"/>
    <cellStyle name="Obliczenia 2 5 39 3" xfId="25617"/>
    <cellStyle name="Obliczenia 2 5 4" xfId="25618"/>
    <cellStyle name="Obliczenia 2 5 4 2" xfId="25619"/>
    <cellStyle name="Obliczenia 2 5 4 3" xfId="25620"/>
    <cellStyle name="Obliczenia 2 5 4 4" xfId="25621"/>
    <cellStyle name="Obliczenia 2 5 40" xfId="25622"/>
    <cellStyle name="Obliczenia 2 5 40 2" xfId="25623"/>
    <cellStyle name="Obliczenia 2 5 40 3" xfId="25624"/>
    <cellStyle name="Obliczenia 2 5 41" xfId="25625"/>
    <cellStyle name="Obliczenia 2 5 41 2" xfId="25626"/>
    <cellStyle name="Obliczenia 2 5 41 3" xfId="25627"/>
    <cellStyle name="Obliczenia 2 5 42" xfId="25628"/>
    <cellStyle name="Obliczenia 2 5 42 2" xfId="25629"/>
    <cellStyle name="Obliczenia 2 5 42 3" xfId="25630"/>
    <cellStyle name="Obliczenia 2 5 43" xfId="25631"/>
    <cellStyle name="Obliczenia 2 5 43 2" xfId="25632"/>
    <cellStyle name="Obliczenia 2 5 43 3" xfId="25633"/>
    <cellStyle name="Obliczenia 2 5 44" xfId="25634"/>
    <cellStyle name="Obliczenia 2 5 44 2" xfId="25635"/>
    <cellStyle name="Obliczenia 2 5 44 3" xfId="25636"/>
    <cellStyle name="Obliczenia 2 5 45" xfId="25637"/>
    <cellStyle name="Obliczenia 2 5 45 2" xfId="25638"/>
    <cellStyle name="Obliczenia 2 5 45 3" xfId="25639"/>
    <cellStyle name="Obliczenia 2 5 46" xfId="25640"/>
    <cellStyle name="Obliczenia 2 5 46 2" xfId="25641"/>
    <cellStyle name="Obliczenia 2 5 46 3" xfId="25642"/>
    <cellStyle name="Obliczenia 2 5 47" xfId="25643"/>
    <cellStyle name="Obliczenia 2 5 47 2" xfId="25644"/>
    <cellStyle name="Obliczenia 2 5 47 3" xfId="25645"/>
    <cellStyle name="Obliczenia 2 5 48" xfId="25646"/>
    <cellStyle name="Obliczenia 2 5 48 2" xfId="25647"/>
    <cellStyle name="Obliczenia 2 5 48 3" xfId="25648"/>
    <cellStyle name="Obliczenia 2 5 49" xfId="25649"/>
    <cellStyle name="Obliczenia 2 5 49 2" xfId="25650"/>
    <cellStyle name="Obliczenia 2 5 49 3" xfId="25651"/>
    <cellStyle name="Obliczenia 2 5 5" xfId="25652"/>
    <cellStyle name="Obliczenia 2 5 5 2" xfId="25653"/>
    <cellStyle name="Obliczenia 2 5 5 3" xfId="25654"/>
    <cellStyle name="Obliczenia 2 5 5 4" xfId="25655"/>
    <cellStyle name="Obliczenia 2 5 50" xfId="25656"/>
    <cellStyle name="Obliczenia 2 5 50 2" xfId="25657"/>
    <cellStyle name="Obliczenia 2 5 50 3" xfId="25658"/>
    <cellStyle name="Obliczenia 2 5 51" xfId="25659"/>
    <cellStyle name="Obliczenia 2 5 51 2" xfId="25660"/>
    <cellStyle name="Obliczenia 2 5 51 3" xfId="25661"/>
    <cellStyle name="Obliczenia 2 5 52" xfId="25662"/>
    <cellStyle name="Obliczenia 2 5 52 2" xfId="25663"/>
    <cellStyle name="Obliczenia 2 5 52 3" xfId="25664"/>
    <cellStyle name="Obliczenia 2 5 53" xfId="25665"/>
    <cellStyle name="Obliczenia 2 5 53 2" xfId="25666"/>
    <cellStyle name="Obliczenia 2 5 53 3" xfId="25667"/>
    <cellStyle name="Obliczenia 2 5 54" xfId="25668"/>
    <cellStyle name="Obliczenia 2 5 54 2" xfId="25669"/>
    <cellStyle name="Obliczenia 2 5 54 3" xfId="25670"/>
    <cellStyle name="Obliczenia 2 5 55" xfId="25671"/>
    <cellStyle name="Obliczenia 2 5 55 2" xfId="25672"/>
    <cellStyle name="Obliczenia 2 5 55 3" xfId="25673"/>
    <cellStyle name="Obliczenia 2 5 56" xfId="25674"/>
    <cellStyle name="Obliczenia 2 5 56 2" xfId="25675"/>
    <cellStyle name="Obliczenia 2 5 56 3" xfId="25676"/>
    <cellStyle name="Obliczenia 2 5 57" xfId="25677"/>
    <cellStyle name="Obliczenia 2 5 58" xfId="25678"/>
    <cellStyle name="Obliczenia 2 5 6" xfId="25679"/>
    <cellStyle name="Obliczenia 2 5 6 2" xfId="25680"/>
    <cellStyle name="Obliczenia 2 5 6 3" xfId="25681"/>
    <cellStyle name="Obliczenia 2 5 6 4" xfId="25682"/>
    <cellStyle name="Obliczenia 2 5 7" xfId="25683"/>
    <cellStyle name="Obliczenia 2 5 7 2" xfId="25684"/>
    <cellStyle name="Obliczenia 2 5 7 3" xfId="25685"/>
    <cellStyle name="Obliczenia 2 5 7 4" xfId="25686"/>
    <cellStyle name="Obliczenia 2 5 8" xfId="25687"/>
    <cellStyle name="Obliczenia 2 5 8 2" xfId="25688"/>
    <cellStyle name="Obliczenia 2 5 8 3" xfId="25689"/>
    <cellStyle name="Obliczenia 2 5 8 4" xfId="25690"/>
    <cellStyle name="Obliczenia 2 5 9" xfId="25691"/>
    <cellStyle name="Obliczenia 2 5 9 2" xfId="25692"/>
    <cellStyle name="Obliczenia 2 5 9 3" xfId="25693"/>
    <cellStyle name="Obliczenia 2 5 9 4" xfId="25694"/>
    <cellStyle name="Obliczenia 2 50" xfId="25695"/>
    <cellStyle name="Obliczenia 2 50 2" xfId="25696"/>
    <cellStyle name="Obliczenia 2 50 3" xfId="25697"/>
    <cellStyle name="Obliczenia 2 50 4" xfId="25698"/>
    <cellStyle name="Obliczenia 2 51" xfId="25699"/>
    <cellStyle name="Obliczenia 2 51 2" xfId="25700"/>
    <cellStyle name="Obliczenia 2 51 3" xfId="25701"/>
    <cellStyle name="Obliczenia 2 51 4" xfId="25702"/>
    <cellStyle name="Obliczenia 2 52" xfId="25703"/>
    <cellStyle name="Obliczenia 2 52 2" xfId="25704"/>
    <cellStyle name="Obliczenia 2 52 3" xfId="25705"/>
    <cellStyle name="Obliczenia 2 52 4" xfId="25706"/>
    <cellStyle name="Obliczenia 2 53" xfId="25707"/>
    <cellStyle name="Obliczenia 2 53 2" xfId="25708"/>
    <cellStyle name="Obliczenia 2 53 3" xfId="25709"/>
    <cellStyle name="Obliczenia 2 53 4" xfId="25710"/>
    <cellStyle name="Obliczenia 2 54" xfId="25711"/>
    <cellStyle name="Obliczenia 2 54 2" xfId="25712"/>
    <cellStyle name="Obliczenia 2 54 3" xfId="25713"/>
    <cellStyle name="Obliczenia 2 54 4" xfId="25714"/>
    <cellStyle name="Obliczenia 2 55" xfId="25715"/>
    <cellStyle name="Obliczenia 2 55 2" xfId="25716"/>
    <cellStyle name="Obliczenia 2 55 3" xfId="25717"/>
    <cellStyle name="Obliczenia 2 55 4" xfId="25718"/>
    <cellStyle name="Obliczenia 2 56" xfId="25719"/>
    <cellStyle name="Obliczenia 2 56 2" xfId="25720"/>
    <cellStyle name="Obliczenia 2 56 3" xfId="25721"/>
    <cellStyle name="Obliczenia 2 56 4" xfId="25722"/>
    <cellStyle name="Obliczenia 2 57" xfId="25723"/>
    <cellStyle name="Obliczenia 2 57 2" xfId="25724"/>
    <cellStyle name="Obliczenia 2 57 3" xfId="25725"/>
    <cellStyle name="Obliczenia 2 57 4" xfId="25726"/>
    <cellStyle name="Obliczenia 2 58" xfId="25727"/>
    <cellStyle name="Obliczenia 2 58 2" xfId="25728"/>
    <cellStyle name="Obliczenia 2 58 3" xfId="25729"/>
    <cellStyle name="Obliczenia 2 58 4" xfId="25730"/>
    <cellStyle name="Obliczenia 2 59" xfId="25731"/>
    <cellStyle name="Obliczenia 2 59 2" xfId="25732"/>
    <cellStyle name="Obliczenia 2 59 3" xfId="25733"/>
    <cellStyle name="Obliczenia 2 59 4" xfId="25734"/>
    <cellStyle name="Obliczenia 2 6" xfId="25735"/>
    <cellStyle name="Obliczenia 2 6 10" xfId="25736"/>
    <cellStyle name="Obliczenia 2 6 10 2" xfId="25737"/>
    <cellStyle name="Obliczenia 2 6 10 3" xfId="25738"/>
    <cellStyle name="Obliczenia 2 6 10 4" xfId="25739"/>
    <cellStyle name="Obliczenia 2 6 11" xfId="25740"/>
    <cellStyle name="Obliczenia 2 6 11 2" xfId="25741"/>
    <cellStyle name="Obliczenia 2 6 11 3" xfId="25742"/>
    <cellStyle name="Obliczenia 2 6 11 4" xfId="25743"/>
    <cellStyle name="Obliczenia 2 6 12" xfId="25744"/>
    <cellStyle name="Obliczenia 2 6 12 2" xfId="25745"/>
    <cellStyle name="Obliczenia 2 6 12 3" xfId="25746"/>
    <cellStyle name="Obliczenia 2 6 12 4" xfId="25747"/>
    <cellStyle name="Obliczenia 2 6 13" xfId="25748"/>
    <cellStyle name="Obliczenia 2 6 13 2" xfId="25749"/>
    <cellStyle name="Obliczenia 2 6 13 3" xfId="25750"/>
    <cellStyle name="Obliczenia 2 6 13 4" xfId="25751"/>
    <cellStyle name="Obliczenia 2 6 14" xfId="25752"/>
    <cellStyle name="Obliczenia 2 6 14 2" xfId="25753"/>
    <cellStyle name="Obliczenia 2 6 14 3" xfId="25754"/>
    <cellStyle name="Obliczenia 2 6 14 4" xfId="25755"/>
    <cellStyle name="Obliczenia 2 6 15" xfId="25756"/>
    <cellStyle name="Obliczenia 2 6 15 2" xfId="25757"/>
    <cellStyle name="Obliczenia 2 6 15 3" xfId="25758"/>
    <cellStyle name="Obliczenia 2 6 15 4" xfId="25759"/>
    <cellStyle name="Obliczenia 2 6 16" xfId="25760"/>
    <cellStyle name="Obliczenia 2 6 16 2" xfId="25761"/>
    <cellStyle name="Obliczenia 2 6 16 3" xfId="25762"/>
    <cellStyle name="Obliczenia 2 6 16 4" xfId="25763"/>
    <cellStyle name="Obliczenia 2 6 17" xfId="25764"/>
    <cellStyle name="Obliczenia 2 6 17 2" xfId="25765"/>
    <cellStyle name="Obliczenia 2 6 17 3" xfId="25766"/>
    <cellStyle name="Obliczenia 2 6 17 4" xfId="25767"/>
    <cellStyle name="Obliczenia 2 6 18" xfId="25768"/>
    <cellStyle name="Obliczenia 2 6 18 2" xfId="25769"/>
    <cellStyle name="Obliczenia 2 6 18 3" xfId="25770"/>
    <cellStyle name="Obliczenia 2 6 18 4" xfId="25771"/>
    <cellStyle name="Obliczenia 2 6 19" xfId="25772"/>
    <cellStyle name="Obliczenia 2 6 19 2" xfId="25773"/>
    <cellStyle name="Obliczenia 2 6 19 3" xfId="25774"/>
    <cellStyle name="Obliczenia 2 6 19 4" xfId="25775"/>
    <cellStyle name="Obliczenia 2 6 2" xfId="25776"/>
    <cellStyle name="Obliczenia 2 6 2 2" xfId="25777"/>
    <cellStyle name="Obliczenia 2 6 2 3" xfId="25778"/>
    <cellStyle name="Obliczenia 2 6 2 4" xfId="25779"/>
    <cellStyle name="Obliczenia 2 6 20" xfId="25780"/>
    <cellStyle name="Obliczenia 2 6 20 2" xfId="25781"/>
    <cellStyle name="Obliczenia 2 6 20 3" xfId="25782"/>
    <cellStyle name="Obliczenia 2 6 20 4" xfId="25783"/>
    <cellStyle name="Obliczenia 2 6 21" xfId="25784"/>
    <cellStyle name="Obliczenia 2 6 21 2" xfId="25785"/>
    <cellStyle name="Obliczenia 2 6 21 3" xfId="25786"/>
    <cellStyle name="Obliczenia 2 6 22" xfId="25787"/>
    <cellStyle name="Obliczenia 2 6 22 2" xfId="25788"/>
    <cellStyle name="Obliczenia 2 6 22 3" xfId="25789"/>
    <cellStyle name="Obliczenia 2 6 23" xfId="25790"/>
    <cellStyle name="Obliczenia 2 6 23 2" xfId="25791"/>
    <cellStyle name="Obliczenia 2 6 23 3" xfId="25792"/>
    <cellStyle name="Obliczenia 2 6 24" xfId="25793"/>
    <cellStyle name="Obliczenia 2 6 24 2" xfId="25794"/>
    <cellStyle name="Obliczenia 2 6 24 3" xfId="25795"/>
    <cellStyle name="Obliczenia 2 6 25" xfId="25796"/>
    <cellStyle name="Obliczenia 2 6 25 2" xfId="25797"/>
    <cellStyle name="Obliczenia 2 6 25 3" xfId="25798"/>
    <cellStyle name="Obliczenia 2 6 26" xfId="25799"/>
    <cellStyle name="Obliczenia 2 6 26 2" xfId="25800"/>
    <cellStyle name="Obliczenia 2 6 26 3" xfId="25801"/>
    <cellStyle name="Obliczenia 2 6 27" xfId="25802"/>
    <cellStyle name="Obliczenia 2 6 27 2" xfId="25803"/>
    <cellStyle name="Obliczenia 2 6 27 3" xfId="25804"/>
    <cellStyle name="Obliczenia 2 6 28" xfId="25805"/>
    <cellStyle name="Obliczenia 2 6 28 2" xfId="25806"/>
    <cellStyle name="Obliczenia 2 6 28 3" xfId="25807"/>
    <cellStyle name="Obliczenia 2 6 29" xfId="25808"/>
    <cellStyle name="Obliczenia 2 6 29 2" xfId="25809"/>
    <cellStyle name="Obliczenia 2 6 29 3" xfId="25810"/>
    <cellStyle name="Obliczenia 2 6 3" xfId="25811"/>
    <cellStyle name="Obliczenia 2 6 3 2" xfId="25812"/>
    <cellStyle name="Obliczenia 2 6 3 3" xfId="25813"/>
    <cellStyle name="Obliczenia 2 6 3 4" xfId="25814"/>
    <cellStyle name="Obliczenia 2 6 30" xfId="25815"/>
    <cellStyle name="Obliczenia 2 6 30 2" xfId="25816"/>
    <cellStyle name="Obliczenia 2 6 30 3" xfId="25817"/>
    <cellStyle name="Obliczenia 2 6 31" xfId="25818"/>
    <cellStyle name="Obliczenia 2 6 31 2" xfId="25819"/>
    <cellStyle name="Obliczenia 2 6 31 3" xfId="25820"/>
    <cellStyle name="Obliczenia 2 6 32" xfId="25821"/>
    <cellStyle name="Obliczenia 2 6 32 2" xfId="25822"/>
    <cellStyle name="Obliczenia 2 6 32 3" xfId="25823"/>
    <cellStyle name="Obliczenia 2 6 33" xfId="25824"/>
    <cellStyle name="Obliczenia 2 6 33 2" xfId="25825"/>
    <cellStyle name="Obliczenia 2 6 33 3" xfId="25826"/>
    <cellStyle name="Obliczenia 2 6 34" xfId="25827"/>
    <cellStyle name="Obliczenia 2 6 34 2" xfId="25828"/>
    <cellStyle name="Obliczenia 2 6 34 3" xfId="25829"/>
    <cellStyle name="Obliczenia 2 6 35" xfId="25830"/>
    <cellStyle name="Obliczenia 2 6 35 2" xfId="25831"/>
    <cellStyle name="Obliczenia 2 6 35 3" xfId="25832"/>
    <cellStyle name="Obliczenia 2 6 36" xfId="25833"/>
    <cellStyle name="Obliczenia 2 6 36 2" xfId="25834"/>
    <cellStyle name="Obliczenia 2 6 36 3" xfId="25835"/>
    <cellStyle name="Obliczenia 2 6 37" xfId="25836"/>
    <cellStyle name="Obliczenia 2 6 37 2" xfId="25837"/>
    <cellStyle name="Obliczenia 2 6 37 3" xfId="25838"/>
    <cellStyle name="Obliczenia 2 6 38" xfId="25839"/>
    <cellStyle name="Obliczenia 2 6 38 2" xfId="25840"/>
    <cellStyle name="Obliczenia 2 6 38 3" xfId="25841"/>
    <cellStyle name="Obliczenia 2 6 39" xfId="25842"/>
    <cellStyle name="Obliczenia 2 6 39 2" xfId="25843"/>
    <cellStyle name="Obliczenia 2 6 39 3" xfId="25844"/>
    <cellStyle name="Obliczenia 2 6 4" xfId="25845"/>
    <cellStyle name="Obliczenia 2 6 4 2" xfId="25846"/>
    <cellStyle name="Obliczenia 2 6 4 3" xfId="25847"/>
    <cellStyle name="Obliczenia 2 6 4 4" xfId="25848"/>
    <cellStyle name="Obliczenia 2 6 40" xfId="25849"/>
    <cellStyle name="Obliczenia 2 6 40 2" xfId="25850"/>
    <cellStyle name="Obliczenia 2 6 40 3" xfId="25851"/>
    <cellStyle name="Obliczenia 2 6 41" xfId="25852"/>
    <cellStyle name="Obliczenia 2 6 41 2" xfId="25853"/>
    <cellStyle name="Obliczenia 2 6 41 3" xfId="25854"/>
    <cellStyle name="Obliczenia 2 6 42" xfId="25855"/>
    <cellStyle name="Obliczenia 2 6 42 2" xfId="25856"/>
    <cellStyle name="Obliczenia 2 6 42 3" xfId="25857"/>
    <cellStyle name="Obliczenia 2 6 43" xfId="25858"/>
    <cellStyle name="Obliczenia 2 6 43 2" xfId="25859"/>
    <cellStyle name="Obliczenia 2 6 43 3" xfId="25860"/>
    <cellStyle name="Obliczenia 2 6 44" xfId="25861"/>
    <cellStyle name="Obliczenia 2 6 44 2" xfId="25862"/>
    <cellStyle name="Obliczenia 2 6 44 3" xfId="25863"/>
    <cellStyle name="Obliczenia 2 6 45" xfId="25864"/>
    <cellStyle name="Obliczenia 2 6 45 2" xfId="25865"/>
    <cellStyle name="Obliczenia 2 6 45 3" xfId="25866"/>
    <cellStyle name="Obliczenia 2 6 46" xfId="25867"/>
    <cellStyle name="Obliczenia 2 6 46 2" xfId="25868"/>
    <cellStyle name="Obliczenia 2 6 46 3" xfId="25869"/>
    <cellStyle name="Obliczenia 2 6 47" xfId="25870"/>
    <cellStyle name="Obliczenia 2 6 47 2" xfId="25871"/>
    <cellStyle name="Obliczenia 2 6 47 3" xfId="25872"/>
    <cellStyle name="Obliczenia 2 6 48" xfId="25873"/>
    <cellStyle name="Obliczenia 2 6 48 2" xfId="25874"/>
    <cellStyle name="Obliczenia 2 6 48 3" xfId="25875"/>
    <cellStyle name="Obliczenia 2 6 49" xfId="25876"/>
    <cellStyle name="Obliczenia 2 6 49 2" xfId="25877"/>
    <cellStyle name="Obliczenia 2 6 49 3" xfId="25878"/>
    <cellStyle name="Obliczenia 2 6 5" xfId="25879"/>
    <cellStyle name="Obliczenia 2 6 5 2" xfId="25880"/>
    <cellStyle name="Obliczenia 2 6 5 3" xfId="25881"/>
    <cellStyle name="Obliczenia 2 6 5 4" xfId="25882"/>
    <cellStyle name="Obliczenia 2 6 50" xfId="25883"/>
    <cellStyle name="Obliczenia 2 6 50 2" xfId="25884"/>
    <cellStyle name="Obliczenia 2 6 50 3" xfId="25885"/>
    <cellStyle name="Obliczenia 2 6 51" xfId="25886"/>
    <cellStyle name="Obliczenia 2 6 51 2" xfId="25887"/>
    <cellStyle name="Obliczenia 2 6 51 3" xfId="25888"/>
    <cellStyle name="Obliczenia 2 6 52" xfId="25889"/>
    <cellStyle name="Obliczenia 2 6 52 2" xfId="25890"/>
    <cellStyle name="Obliczenia 2 6 52 3" xfId="25891"/>
    <cellStyle name="Obliczenia 2 6 53" xfId="25892"/>
    <cellStyle name="Obliczenia 2 6 53 2" xfId="25893"/>
    <cellStyle name="Obliczenia 2 6 53 3" xfId="25894"/>
    <cellStyle name="Obliczenia 2 6 54" xfId="25895"/>
    <cellStyle name="Obliczenia 2 6 54 2" xfId="25896"/>
    <cellStyle name="Obliczenia 2 6 54 3" xfId="25897"/>
    <cellStyle name="Obliczenia 2 6 55" xfId="25898"/>
    <cellStyle name="Obliczenia 2 6 55 2" xfId="25899"/>
    <cellStyle name="Obliczenia 2 6 55 3" xfId="25900"/>
    <cellStyle name="Obliczenia 2 6 56" xfId="25901"/>
    <cellStyle name="Obliczenia 2 6 56 2" xfId="25902"/>
    <cellStyle name="Obliczenia 2 6 56 3" xfId="25903"/>
    <cellStyle name="Obliczenia 2 6 57" xfId="25904"/>
    <cellStyle name="Obliczenia 2 6 58" xfId="25905"/>
    <cellStyle name="Obliczenia 2 6 6" xfId="25906"/>
    <cellStyle name="Obliczenia 2 6 6 2" xfId="25907"/>
    <cellStyle name="Obliczenia 2 6 6 3" xfId="25908"/>
    <cellStyle name="Obliczenia 2 6 6 4" xfId="25909"/>
    <cellStyle name="Obliczenia 2 6 7" xfId="25910"/>
    <cellStyle name="Obliczenia 2 6 7 2" xfId="25911"/>
    <cellStyle name="Obliczenia 2 6 7 3" xfId="25912"/>
    <cellStyle name="Obliczenia 2 6 7 4" xfId="25913"/>
    <cellStyle name="Obliczenia 2 6 8" xfId="25914"/>
    <cellStyle name="Obliczenia 2 6 8 2" xfId="25915"/>
    <cellStyle name="Obliczenia 2 6 8 3" xfId="25916"/>
    <cellStyle name="Obliczenia 2 6 8 4" xfId="25917"/>
    <cellStyle name="Obliczenia 2 6 9" xfId="25918"/>
    <cellStyle name="Obliczenia 2 6 9 2" xfId="25919"/>
    <cellStyle name="Obliczenia 2 6 9 3" xfId="25920"/>
    <cellStyle name="Obliczenia 2 6 9 4" xfId="25921"/>
    <cellStyle name="Obliczenia 2 60" xfId="25922"/>
    <cellStyle name="Obliczenia 2 60 2" xfId="25923"/>
    <cellStyle name="Obliczenia 2 60 3" xfId="25924"/>
    <cellStyle name="Obliczenia 2 60 4" xfId="25925"/>
    <cellStyle name="Obliczenia 2 61" xfId="25926"/>
    <cellStyle name="Obliczenia 2 61 2" xfId="25927"/>
    <cellStyle name="Obliczenia 2 61 3" xfId="25928"/>
    <cellStyle name="Obliczenia 2 61 4" xfId="25929"/>
    <cellStyle name="Obliczenia 2 62" xfId="25930"/>
    <cellStyle name="Obliczenia 2 62 2" xfId="25931"/>
    <cellStyle name="Obliczenia 2 62 3" xfId="25932"/>
    <cellStyle name="Obliczenia 2 62 4" xfId="25933"/>
    <cellStyle name="Obliczenia 2 63" xfId="25934"/>
    <cellStyle name="Obliczenia 2 63 2" xfId="25935"/>
    <cellStyle name="Obliczenia 2 63 3" xfId="25936"/>
    <cellStyle name="Obliczenia 2 63 4" xfId="25937"/>
    <cellStyle name="Obliczenia 2 64" xfId="25938"/>
    <cellStyle name="Obliczenia 2 64 2" xfId="25939"/>
    <cellStyle name="Obliczenia 2 64 3" xfId="25940"/>
    <cellStyle name="Obliczenia 2 64 4" xfId="25941"/>
    <cellStyle name="Obliczenia 2 65" xfId="25942"/>
    <cellStyle name="Obliczenia 2 65 2" xfId="25943"/>
    <cellStyle name="Obliczenia 2 65 3" xfId="25944"/>
    <cellStyle name="Obliczenia 2 65 4" xfId="25945"/>
    <cellStyle name="Obliczenia 2 66" xfId="25946"/>
    <cellStyle name="Obliczenia 2 66 2" xfId="25947"/>
    <cellStyle name="Obliczenia 2 66 3" xfId="25948"/>
    <cellStyle name="Obliczenia 2 66 4" xfId="25949"/>
    <cellStyle name="Obliczenia 2 67" xfId="25950"/>
    <cellStyle name="Obliczenia 2 67 2" xfId="25951"/>
    <cellStyle name="Obliczenia 2 67 3" xfId="25952"/>
    <cellStyle name="Obliczenia 2 68" xfId="25953"/>
    <cellStyle name="Obliczenia 2 68 2" xfId="25954"/>
    <cellStyle name="Obliczenia 2 68 3" xfId="25955"/>
    <cellStyle name="Obliczenia 2 69" xfId="25956"/>
    <cellStyle name="Obliczenia 2 69 2" xfId="25957"/>
    <cellStyle name="Obliczenia 2 69 3" xfId="25958"/>
    <cellStyle name="Obliczenia 2 7" xfId="25959"/>
    <cellStyle name="Obliczenia 2 7 10" xfId="25960"/>
    <cellStyle name="Obliczenia 2 7 10 2" xfId="25961"/>
    <cellStyle name="Obliczenia 2 7 10 3" xfId="25962"/>
    <cellStyle name="Obliczenia 2 7 10 4" xfId="25963"/>
    <cellStyle name="Obliczenia 2 7 11" xfId="25964"/>
    <cellStyle name="Obliczenia 2 7 11 2" xfId="25965"/>
    <cellStyle name="Obliczenia 2 7 11 3" xfId="25966"/>
    <cellStyle name="Obliczenia 2 7 11 4" xfId="25967"/>
    <cellStyle name="Obliczenia 2 7 12" xfId="25968"/>
    <cellStyle name="Obliczenia 2 7 12 2" xfId="25969"/>
    <cellStyle name="Obliczenia 2 7 12 3" xfId="25970"/>
    <cellStyle name="Obliczenia 2 7 12 4" xfId="25971"/>
    <cellStyle name="Obliczenia 2 7 13" xfId="25972"/>
    <cellStyle name="Obliczenia 2 7 13 2" xfId="25973"/>
    <cellStyle name="Obliczenia 2 7 13 3" xfId="25974"/>
    <cellStyle name="Obliczenia 2 7 13 4" xfId="25975"/>
    <cellStyle name="Obliczenia 2 7 14" xfId="25976"/>
    <cellStyle name="Obliczenia 2 7 14 2" xfId="25977"/>
    <cellStyle name="Obliczenia 2 7 14 3" xfId="25978"/>
    <cellStyle name="Obliczenia 2 7 14 4" xfId="25979"/>
    <cellStyle name="Obliczenia 2 7 15" xfId="25980"/>
    <cellStyle name="Obliczenia 2 7 15 2" xfId="25981"/>
    <cellStyle name="Obliczenia 2 7 15 3" xfId="25982"/>
    <cellStyle name="Obliczenia 2 7 15 4" xfId="25983"/>
    <cellStyle name="Obliczenia 2 7 16" xfId="25984"/>
    <cellStyle name="Obliczenia 2 7 16 2" xfId="25985"/>
    <cellStyle name="Obliczenia 2 7 16 3" xfId="25986"/>
    <cellStyle name="Obliczenia 2 7 16 4" xfId="25987"/>
    <cellStyle name="Obliczenia 2 7 17" xfId="25988"/>
    <cellStyle name="Obliczenia 2 7 17 2" xfId="25989"/>
    <cellStyle name="Obliczenia 2 7 17 3" xfId="25990"/>
    <cellStyle name="Obliczenia 2 7 17 4" xfId="25991"/>
    <cellStyle name="Obliczenia 2 7 18" xfId="25992"/>
    <cellStyle name="Obliczenia 2 7 18 2" xfId="25993"/>
    <cellStyle name="Obliczenia 2 7 18 3" xfId="25994"/>
    <cellStyle name="Obliczenia 2 7 18 4" xfId="25995"/>
    <cellStyle name="Obliczenia 2 7 19" xfId="25996"/>
    <cellStyle name="Obliczenia 2 7 19 2" xfId="25997"/>
    <cellStyle name="Obliczenia 2 7 19 3" xfId="25998"/>
    <cellStyle name="Obliczenia 2 7 19 4" xfId="25999"/>
    <cellStyle name="Obliczenia 2 7 2" xfId="26000"/>
    <cellStyle name="Obliczenia 2 7 2 2" xfId="26001"/>
    <cellStyle name="Obliczenia 2 7 2 3" xfId="26002"/>
    <cellStyle name="Obliczenia 2 7 2 4" xfId="26003"/>
    <cellStyle name="Obliczenia 2 7 20" xfId="26004"/>
    <cellStyle name="Obliczenia 2 7 20 2" xfId="26005"/>
    <cellStyle name="Obliczenia 2 7 20 3" xfId="26006"/>
    <cellStyle name="Obliczenia 2 7 20 4" xfId="26007"/>
    <cellStyle name="Obliczenia 2 7 21" xfId="26008"/>
    <cellStyle name="Obliczenia 2 7 21 2" xfId="26009"/>
    <cellStyle name="Obliczenia 2 7 21 3" xfId="26010"/>
    <cellStyle name="Obliczenia 2 7 22" xfId="26011"/>
    <cellStyle name="Obliczenia 2 7 22 2" xfId="26012"/>
    <cellStyle name="Obliczenia 2 7 22 3" xfId="26013"/>
    <cellStyle name="Obliczenia 2 7 23" xfId="26014"/>
    <cellStyle name="Obliczenia 2 7 23 2" xfId="26015"/>
    <cellStyle name="Obliczenia 2 7 23 3" xfId="26016"/>
    <cellStyle name="Obliczenia 2 7 24" xfId="26017"/>
    <cellStyle name="Obliczenia 2 7 24 2" xfId="26018"/>
    <cellStyle name="Obliczenia 2 7 24 3" xfId="26019"/>
    <cellStyle name="Obliczenia 2 7 25" xfId="26020"/>
    <cellStyle name="Obliczenia 2 7 25 2" xfId="26021"/>
    <cellStyle name="Obliczenia 2 7 25 3" xfId="26022"/>
    <cellStyle name="Obliczenia 2 7 26" xfId="26023"/>
    <cellStyle name="Obliczenia 2 7 26 2" xfId="26024"/>
    <cellStyle name="Obliczenia 2 7 26 3" xfId="26025"/>
    <cellStyle name="Obliczenia 2 7 27" xfId="26026"/>
    <cellStyle name="Obliczenia 2 7 27 2" xfId="26027"/>
    <cellStyle name="Obliczenia 2 7 27 3" xfId="26028"/>
    <cellStyle name="Obliczenia 2 7 28" xfId="26029"/>
    <cellStyle name="Obliczenia 2 7 28 2" xfId="26030"/>
    <cellStyle name="Obliczenia 2 7 28 3" xfId="26031"/>
    <cellStyle name="Obliczenia 2 7 29" xfId="26032"/>
    <cellStyle name="Obliczenia 2 7 29 2" xfId="26033"/>
    <cellStyle name="Obliczenia 2 7 29 3" xfId="26034"/>
    <cellStyle name="Obliczenia 2 7 3" xfId="26035"/>
    <cellStyle name="Obliczenia 2 7 3 2" xfId="26036"/>
    <cellStyle name="Obliczenia 2 7 3 3" xfId="26037"/>
    <cellStyle name="Obliczenia 2 7 3 4" xfId="26038"/>
    <cellStyle name="Obliczenia 2 7 30" xfId="26039"/>
    <cellStyle name="Obliczenia 2 7 30 2" xfId="26040"/>
    <cellStyle name="Obliczenia 2 7 30 3" xfId="26041"/>
    <cellStyle name="Obliczenia 2 7 31" xfId="26042"/>
    <cellStyle name="Obliczenia 2 7 31 2" xfId="26043"/>
    <cellStyle name="Obliczenia 2 7 31 3" xfId="26044"/>
    <cellStyle name="Obliczenia 2 7 32" xfId="26045"/>
    <cellStyle name="Obliczenia 2 7 32 2" xfId="26046"/>
    <cellStyle name="Obliczenia 2 7 32 3" xfId="26047"/>
    <cellStyle name="Obliczenia 2 7 33" xfId="26048"/>
    <cellStyle name="Obliczenia 2 7 33 2" xfId="26049"/>
    <cellStyle name="Obliczenia 2 7 33 3" xfId="26050"/>
    <cellStyle name="Obliczenia 2 7 34" xfId="26051"/>
    <cellStyle name="Obliczenia 2 7 34 2" xfId="26052"/>
    <cellStyle name="Obliczenia 2 7 34 3" xfId="26053"/>
    <cellStyle name="Obliczenia 2 7 35" xfId="26054"/>
    <cellStyle name="Obliczenia 2 7 35 2" xfId="26055"/>
    <cellStyle name="Obliczenia 2 7 35 3" xfId="26056"/>
    <cellStyle name="Obliczenia 2 7 36" xfId="26057"/>
    <cellStyle name="Obliczenia 2 7 36 2" xfId="26058"/>
    <cellStyle name="Obliczenia 2 7 36 3" xfId="26059"/>
    <cellStyle name="Obliczenia 2 7 37" xfId="26060"/>
    <cellStyle name="Obliczenia 2 7 37 2" xfId="26061"/>
    <cellStyle name="Obliczenia 2 7 37 3" xfId="26062"/>
    <cellStyle name="Obliczenia 2 7 38" xfId="26063"/>
    <cellStyle name="Obliczenia 2 7 38 2" xfId="26064"/>
    <cellStyle name="Obliczenia 2 7 38 3" xfId="26065"/>
    <cellStyle name="Obliczenia 2 7 39" xfId="26066"/>
    <cellStyle name="Obliczenia 2 7 39 2" xfId="26067"/>
    <cellStyle name="Obliczenia 2 7 39 3" xfId="26068"/>
    <cellStyle name="Obliczenia 2 7 4" xfId="26069"/>
    <cellStyle name="Obliczenia 2 7 4 2" xfId="26070"/>
    <cellStyle name="Obliczenia 2 7 4 3" xfId="26071"/>
    <cellStyle name="Obliczenia 2 7 4 4" xfId="26072"/>
    <cellStyle name="Obliczenia 2 7 40" xfId="26073"/>
    <cellStyle name="Obliczenia 2 7 40 2" xfId="26074"/>
    <cellStyle name="Obliczenia 2 7 40 3" xfId="26075"/>
    <cellStyle name="Obliczenia 2 7 41" xfId="26076"/>
    <cellStyle name="Obliczenia 2 7 41 2" xfId="26077"/>
    <cellStyle name="Obliczenia 2 7 41 3" xfId="26078"/>
    <cellStyle name="Obliczenia 2 7 42" xfId="26079"/>
    <cellStyle name="Obliczenia 2 7 42 2" xfId="26080"/>
    <cellStyle name="Obliczenia 2 7 42 3" xfId="26081"/>
    <cellStyle name="Obliczenia 2 7 43" xfId="26082"/>
    <cellStyle name="Obliczenia 2 7 43 2" xfId="26083"/>
    <cellStyle name="Obliczenia 2 7 43 3" xfId="26084"/>
    <cellStyle name="Obliczenia 2 7 44" xfId="26085"/>
    <cellStyle name="Obliczenia 2 7 44 2" xfId="26086"/>
    <cellStyle name="Obliczenia 2 7 44 3" xfId="26087"/>
    <cellStyle name="Obliczenia 2 7 45" xfId="26088"/>
    <cellStyle name="Obliczenia 2 7 45 2" xfId="26089"/>
    <cellStyle name="Obliczenia 2 7 45 3" xfId="26090"/>
    <cellStyle name="Obliczenia 2 7 46" xfId="26091"/>
    <cellStyle name="Obliczenia 2 7 46 2" xfId="26092"/>
    <cellStyle name="Obliczenia 2 7 46 3" xfId="26093"/>
    <cellStyle name="Obliczenia 2 7 47" xfId="26094"/>
    <cellStyle name="Obliczenia 2 7 47 2" xfId="26095"/>
    <cellStyle name="Obliczenia 2 7 47 3" xfId="26096"/>
    <cellStyle name="Obliczenia 2 7 48" xfId="26097"/>
    <cellStyle name="Obliczenia 2 7 48 2" xfId="26098"/>
    <cellStyle name="Obliczenia 2 7 48 3" xfId="26099"/>
    <cellStyle name="Obliczenia 2 7 49" xfId="26100"/>
    <cellStyle name="Obliczenia 2 7 49 2" xfId="26101"/>
    <cellStyle name="Obliczenia 2 7 49 3" xfId="26102"/>
    <cellStyle name="Obliczenia 2 7 5" xfId="26103"/>
    <cellStyle name="Obliczenia 2 7 5 2" xfId="26104"/>
    <cellStyle name="Obliczenia 2 7 5 3" xfId="26105"/>
    <cellStyle name="Obliczenia 2 7 5 4" xfId="26106"/>
    <cellStyle name="Obliczenia 2 7 50" xfId="26107"/>
    <cellStyle name="Obliczenia 2 7 50 2" xfId="26108"/>
    <cellStyle name="Obliczenia 2 7 50 3" xfId="26109"/>
    <cellStyle name="Obliczenia 2 7 51" xfId="26110"/>
    <cellStyle name="Obliczenia 2 7 51 2" xfId="26111"/>
    <cellStyle name="Obliczenia 2 7 51 3" xfId="26112"/>
    <cellStyle name="Obliczenia 2 7 52" xfId="26113"/>
    <cellStyle name="Obliczenia 2 7 52 2" xfId="26114"/>
    <cellStyle name="Obliczenia 2 7 52 3" xfId="26115"/>
    <cellStyle name="Obliczenia 2 7 53" xfId="26116"/>
    <cellStyle name="Obliczenia 2 7 53 2" xfId="26117"/>
    <cellStyle name="Obliczenia 2 7 53 3" xfId="26118"/>
    <cellStyle name="Obliczenia 2 7 54" xfId="26119"/>
    <cellStyle name="Obliczenia 2 7 54 2" xfId="26120"/>
    <cellStyle name="Obliczenia 2 7 54 3" xfId="26121"/>
    <cellStyle name="Obliczenia 2 7 55" xfId="26122"/>
    <cellStyle name="Obliczenia 2 7 55 2" xfId="26123"/>
    <cellStyle name="Obliczenia 2 7 55 3" xfId="26124"/>
    <cellStyle name="Obliczenia 2 7 56" xfId="26125"/>
    <cellStyle name="Obliczenia 2 7 56 2" xfId="26126"/>
    <cellStyle name="Obliczenia 2 7 56 3" xfId="26127"/>
    <cellStyle name="Obliczenia 2 7 57" xfId="26128"/>
    <cellStyle name="Obliczenia 2 7 58" xfId="26129"/>
    <cellStyle name="Obliczenia 2 7 6" xfId="26130"/>
    <cellStyle name="Obliczenia 2 7 6 2" xfId="26131"/>
    <cellStyle name="Obliczenia 2 7 6 3" xfId="26132"/>
    <cellStyle name="Obliczenia 2 7 6 4" xfId="26133"/>
    <cellStyle name="Obliczenia 2 7 7" xfId="26134"/>
    <cellStyle name="Obliczenia 2 7 7 2" xfId="26135"/>
    <cellStyle name="Obliczenia 2 7 7 3" xfId="26136"/>
    <cellStyle name="Obliczenia 2 7 7 4" xfId="26137"/>
    <cellStyle name="Obliczenia 2 7 8" xfId="26138"/>
    <cellStyle name="Obliczenia 2 7 8 2" xfId="26139"/>
    <cellStyle name="Obliczenia 2 7 8 3" xfId="26140"/>
    <cellStyle name="Obliczenia 2 7 8 4" xfId="26141"/>
    <cellStyle name="Obliczenia 2 7 9" xfId="26142"/>
    <cellStyle name="Obliczenia 2 7 9 2" xfId="26143"/>
    <cellStyle name="Obliczenia 2 7 9 3" xfId="26144"/>
    <cellStyle name="Obliczenia 2 7 9 4" xfId="26145"/>
    <cellStyle name="Obliczenia 2 70" xfId="26146"/>
    <cellStyle name="Obliczenia 2 70 2" xfId="26147"/>
    <cellStyle name="Obliczenia 2 70 3" xfId="26148"/>
    <cellStyle name="Obliczenia 2 71" xfId="26149"/>
    <cellStyle name="Obliczenia 2 71 2" xfId="26150"/>
    <cellStyle name="Obliczenia 2 71 3" xfId="26151"/>
    <cellStyle name="Obliczenia 2 72" xfId="26152"/>
    <cellStyle name="Obliczenia 2 72 2" xfId="26153"/>
    <cellStyle name="Obliczenia 2 72 3" xfId="26154"/>
    <cellStyle name="Obliczenia 2 73" xfId="26155"/>
    <cellStyle name="Obliczenia 2 73 2" xfId="26156"/>
    <cellStyle name="Obliczenia 2 73 3" xfId="26157"/>
    <cellStyle name="Obliczenia 2 74" xfId="26158"/>
    <cellStyle name="Obliczenia 2 74 2" xfId="26159"/>
    <cellStyle name="Obliczenia 2 74 3" xfId="26160"/>
    <cellStyle name="Obliczenia 2 75" xfId="26161"/>
    <cellStyle name="Obliczenia 2 75 2" xfId="26162"/>
    <cellStyle name="Obliczenia 2 75 3" xfId="26163"/>
    <cellStyle name="Obliczenia 2 76" xfId="26164"/>
    <cellStyle name="Obliczenia 2 76 2" xfId="26165"/>
    <cellStyle name="Obliczenia 2 76 3" xfId="26166"/>
    <cellStyle name="Obliczenia 2 77" xfId="26167"/>
    <cellStyle name="Obliczenia 2 77 2" xfId="26168"/>
    <cellStyle name="Obliczenia 2 77 3" xfId="26169"/>
    <cellStyle name="Obliczenia 2 78" xfId="26170"/>
    <cellStyle name="Obliczenia 2 78 2" xfId="26171"/>
    <cellStyle name="Obliczenia 2 78 3" xfId="26172"/>
    <cellStyle name="Obliczenia 2 79" xfId="26173"/>
    <cellStyle name="Obliczenia 2 79 2" xfId="26174"/>
    <cellStyle name="Obliczenia 2 79 3" xfId="26175"/>
    <cellStyle name="Obliczenia 2 8" xfId="26176"/>
    <cellStyle name="Obliczenia 2 8 10" xfId="26177"/>
    <cellStyle name="Obliczenia 2 8 10 2" xfId="26178"/>
    <cellStyle name="Obliczenia 2 8 10 3" xfId="26179"/>
    <cellStyle name="Obliczenia 2 8 10 4" xfId="26180"/>
    <cellStyle name="Obliczenia 2 8 11" xfId="26181"/>
    <cellStyle name="Obliczenia 2 8 11 2" xfId="26182"/>
    <cellStyle name="Obliczenia 2 8 11 3" xfId="26183"/>
    <cellStyle name="Obliczenia 2 8 11 4" xfId="26184"/>
    <cellStyle name="Obliczenia 2 8 12" xfId="26185"/>
    <cellStyle name="Obliczenia 2 8 12 2" xfId="26186"/>
    <cellStyle name="Obliczenia 2 8 12 3" xfId="26187"/>
    <cellStyle name="Obliczenia 2 8 12 4" xfId="26188"/>
    <cellStyle name="Obliczenia 2 8 13" xfId="26189"/>
    <cellStyle name="Obliczenia 2 8 13 2" xfId="26190"/>
    <cellStyle name="Obliczenia 2 8 13 3" xfId="26191"/>
    <cellStyle name="Obliczenia 2 8 13 4" xfId="26192"/>
    <cellStyle name="Obliczenia 2 8 14" xfId="26193"/>
    <cellStyle name="Obliczenia 2 8 14 2" xfId="26194"/>
    <cellStyle name="Obliczenia 2 8 14 3" xfId="26195"/>
    <cellStyle name="Obliczenia 2 8 14 4" xfId="26196"/>
    <cellStyle name="Obliczenia 2 8 15" xfId="26197"/>
    <cellStyle name="Obliczenia 2 8 15 2" xfId="26198"/>
    <cellStyle name="Obliczenia 2 8 15 3" xfId="26199"/>
    <cellStyle name="Obliczenia 2 8 15 4" xfId="26200"/>
    <cellStyle name="Obliczenia 2 8 16" xfId="26201"/>
    <cellStyle name="Obliczenia 2 8 16 2" xfId="26202"/>
    <cellStyle name="Obliczenia 2 8 16 3" xfId="26203"/>
    <cellStyle name="Obliczenia 2 8 16 4" xfId="26204"/>
    <cellStyle name="Obliczenia 2 8 17" xfId="26205"/>
    <cellStyle name="Obliczenia 2 8 17 2" xfId="26206"/>
    <cellStyle name="Obliczenia 2 8 17 3" xfId="26207"/>
    <cellStyle name="Obliczenia 2 8 17 4" xfId="26208"/>
    <cellStyle name="Obliczenia 2 8 18" xfId="26209"/>
    <cellStyle name="Obliczenia 2 8 18 2" xfId="26210"/>
    <cellStyle name="Obliczenia 2 8 18 3" xfId="26211"/>
    <cellStyle name="Obliczenia 2 8 18 4" xfId="26212"/>
    <cellStyle name="Obliczenia 2 8 19" xfId="26213"/>
    <cellStyle name="Obliczenia 2 8 19 2" xfId="26214"/>
    <cellStyle name="Obliczenia 2 8 19 3" xfId="26215"/>
    <cellStyle name="Obliczenia 2 8 19 4" xfId="26216"/>
    <cellStyle name="Obliczenia 2 8 2" xfId="26217"/>
    <cellStyle name="Obliczenia 2 8 2 2" xfId="26218"/>
    <cellStyle name="Obliczenia 2 8 2 3" xfId="26219"/>
    <cellStyle name="Obliczenia 2 8 2 4" xfId="26220"/>
    <cellStyle name="Obliczenia 2 8 20" xfId="26221"/>
    <cellStyle name="Obliczenia 2 8 20 2" xfId="26222"/>
    <cellStyle name="Obliczenia 2 8 20 3" xfId="26223"/>
    <cellStyle name="Obliczenia 2 8 20 4" xfId="26224"/>
    <cellStyle name="Obliczenia 2 8 21" xfId="26225"/>
    <cellStyle name="Obliczenia 2 8 21 2" xfId="26226"/>
    <cellStyle name="Obliczenia 2 8 21 3" xfId="26227"/>
    <cellStyle name="Obliczenia 2 8 22" xfId="26228"/>
    <cellStyle name="Obliczenia 2 8 22 2" xfId="26229"/>
    <cellStyle name="Obliczenia 2 8 22 3" xfId="26230"/>
    <cellStyle name="Obliczenia 2 8 23" xfId="26231"/>
    <cellStyle name="Obliczenia 2 8 23 2" xfId="26232"/>
    <cellStyle name="Obliczenia 2 8 23 3" xfId="26233"/>
    <cellStyle name="Obliczenia 2 8 24" xfId="26234"/>
    <cellStyle name="Obliczenia 2 8 24 2" xfId="26235"/>
    <cellStyle name="Obliczenia 2 8 24 3" xfId="26236"/>
    <cellStyle name="Obliczenia 2 8 25" xfId="26237"/>
    <cellStyle name="Obliczenia 2 8 25 2" xfId="26238"/>
    <cellStyle name="Obliczenia 2 8 25 3" xfId="26239"/>
    <cellStyle name="Obliczenia 2 8 26" xfId="26240"/>
    <cellStyle name="Obliczenia 2 8 26 2" xfId="26241"/>
    <cellStyle name="Obliczenia 2 8 26 3" xfId="26242"/>
    <cellStyle name="Obliczenia 2 8 27" xfId="26243"/>
    <cellStyle name="Obliczenia 2 8 27 2" xfId="26244"/>
    <cellStyle name="Obliczenia 2 8 27 3" xfId="26245"/>
    <cellStyle name="Obliczenia 2 8 28" xfId="26246"/>
    <cellStyle name="Obliczenia 2 8 28 2" xfId="26247"/>
    <cellStyle name="Obliczenia 2 8 28 3" xfId="26248"/>
    <cellStyle name="Obliczenia 2 8 29" xfId="26249"/>
    <cellStyle name="Obliczenia 2 8 29 2" xfId="26250"/>
    <cellStyle name="Obliczenia 2 8 29 3" xfId="26251"/>
    <cellStyle name="Obliczenia 2 8 3" xfId="26252"/>
    <cellStyle name="Obliczenia 2 8 3 2" xfId="26253"/>
    <cellStyle name="Obliczenia 2 8 3 3" xfId="26254"/>
    <cellStyle name="Obliczenia 2 8 3 4" xfId="26255"/>
    <cellStyle name="Obliczenia 2 8 30" xfId="26256"/>
    <cellStyle name="Obliczenia 2 8 30 2" xfId="26257"/>
    <cellStyle name="Obliczenia 2 8 30 3" xfId="26258"/>
    <cellStyle name="Obliczenia 2 8 31" xfId="26259"/>
    <cellStyle name="Obliczenia 2 8 31 2" xfId="26260"/>
    <cellStyle name="Obliczenia 2 8 31 3" xfId="26261"/>
    <cellStyle name="Obliczenia 2 8 32" xfId="26262"/>
    <cellStyle name="Obliczenia 2 8 32 2" xfId="26263"/>
    <cellStyle name="Obliczenia 2 8 32 3" xfId="26264"/>
    <cellStyle name="Obliczenia 2 8 33" xfId="26265"/>
    <cellStyle name="Obliczenia 2 8 33 2" xfId="26266"/>
    <cellStyle name="Obliczenia 2 8 33 3" xfId="26267"/>
    <cellStyle name="Obliczenia 2 8 34" xfId="26268"/>
    <cellStyle name="Obliczenia 2 8 34 2" xfId="26269"/>
    <cellStyle name="Obliczenia 2 8 34 3" xfId="26270"/>
    <cellStyle name="Obliczenia 2 8 35" xfId="26271"/>
    <cellStyle name="Obliczenia 2 8 35 2" xfId="26272"/>
    <cellStyle name="Obliczenia 2 8 35 3" xfId="26273"/>
    <cellStyle name="Obliczenia 2 8 36" xfId="26274"/>
    <cellStyle name="Obliczenia 2 8 36 2" xfId="26275"/>
    <cellStyle name="Obliczenia 2 8 36 3" xfId="26276"/>
    <cellStyle name="Obliczenia 2 8 37" xfId="26277"/>
    <cellStyle name="Obliczenia 2 8 37 2" xfId="26278"/>
    <cellStyle name="Obliczenia 2 8 37 3" xfId="26279"/>
    <cellStyle name="Obliczenia 2 8 38" xfId="26280"/>
    <cellStyle name="Obliczenia 2 8 38 2" xfId="26281"/>
    <cellStyle name="Obliczenia 2 8 38 3" xfId="26282"/>
    <cellStyle name="Obliczenia 2 8 39" xfId="26283"/>
    <cellStyle name="Obliczenia 2 8 39 2" xfId="26284"/>
    <cellStyle name="Obliczenia 2 8 39 3" xfId="26285"/>
    <cellStyle name="Obliczenia 2 8 4" xfId="26286"/>
    <cellStyle name="Obliczenia 2 8 4 2" xfId="26287"/>
    <cellStyle name="Obliczenia 2 8 4 3" xfId="26288"/>
    <cellStyle name="Obliczenia 2 8 4 4" xfId="26289"/>
    <cellStyle name="Obliczenia 2 8 40" xfId="26290"/>
    <cellStyle name="Obliczenia 2 8 40 2" xfId="26291"/>
    <cellStyle name="Obliczenia 2 8 40 3" xfId="26292"/>
    <cellStyle name="Obliczenia 2 8 41" xfId="26293"/>
    <cellStyle name="Obliczenia 2 8 41 2" xfId="26294"/>
    <cellStyle name="Obliczenia 2 8 41 3" xfId="26295"/>
    <cellStyle name="Obliczenia 2 8 42" xfId="26296"/>
    <cellStyle name="Obliczenia 2 8 42 2" xfId="26297"/>
    <cellStyle name="Obliczenia 2 8 42 3" xfId="26298"/>
    <cellStyle name="Obliczenia 2 8 43" xfId="26299"/>
    <cellStyle name="Obliczenia 2 8 43 2" xfId="26300"/>
    <cellStyle name="Obliczenia 2 8 43 3" xfId="26301"/>
    <cellStyle name="Obliczenia 2 8 44" xfId="26302"/>
    <cellStyle name="Obliczenia 2 8 44 2" xfId="26303"/>
    <cellStyle name="Obliczenia 2 8 44 3" xfId="26304"/>
    <cellStyle name="Obliczenia 2 8 45" xfId="26305"/>
    <cellStyle name="Obliczenia 2 8 45 2" xfId="26306"/>
    <cellStyle name="Obliczenia 2 8 45 3" xfId="26307"/>
    <cellStyle name="Obliczenia 2 8 46" xfId="26308"/>
    <cellStyle name="Obliczenia 2 8 46 2" xfId="26309"/>
    <cellStyle name="Obliczenia 2 8 46 3" xfId="26310"/>
    <cellStyle name="Obliczenia 2 8 47" xfId="26311"/>
    <cellStyle name="Obliczenia 2 8 47 2" xfId="26312"/>
    <cellStyle name="Obliczenia 2 8 47 3" xfId="26313"/>
    <cellStyle name="Obliczenia 2 8 48" xfId="26314"/>
    <cellStyle name="Obliczenia 2 8 48 2" xfId="26315"/>
    <cellStyle name="Obliczenia 2 8 48 3" xfId="26316"/>
    <cellStyle name="Obliczenia 2 8 49" xfId="26317"/>
    <cellStyle name="Obliczenia 2 8 49 2" xfId="26318"/>
    <cellStyle name="Obliczenia 2 8 49 3" xfId="26319"/>
    <cellStyle name="Obliczenia 2 8 5" xfId="26320"/>
    <cellStyle name="Obliczenia 2 8 5 2" xfId="26321"/>
    <cellStyle name="Obliczenia 2 8 5 3" xfId="26322"/>
    <cellStyle name="Obliczenia 2 8 5 4" xfId="26323"/>
    <cellStyle name="Obliczenia 2 8 50" xfId="26324"/>
    <cellStyle name="Obliczenia 2 8 50 2" xfId="26325"/>
    <cellStyle name="Obliczenia 2 8 50 3" xfId="26326"/>
    <cellStyle name="Obliczenia 2 8 51" xfId="26327"/>
    <cellStyle name="Obliczenia 2 8 51 2" xfId="26328"/>
    <cellStyle name="Obliczenia 2 8 51 3" xfId="26329"/>
    <cellStyle name="Obliczenia 2 8 52" xfId="26330"/>
    <cellStyle name="Obliczenia 2 8 52 2" xfId="26331"/>
    <cellStyle name="Obliczenia 2 8 52 3" xfId="26332"/>
    <cellStyle name="Obliczenia 2 8 53" xfId="26333"/>
    <cellStyle name="Obliczenia 2 8 53 2" xfId="26334"/>
    <cellStyle name="Obliczenia 2 8 53 3" xfId="26335"/>
    <cellStyle name="Obliczenia 2 8 54" xfId="26336"/>
    <cellStyle name="Obliczenia 2 8 54 2" xfId="26337"/>
    <cellStyle name="Obliczenia 2 8 54 3" xfId="26338"/>
    <cellStyle name="Obliczenia 2 8 55" xfId="26339"/>
    <cellStyle name="Obliczenia 2 8 55 2" xfId="26340"/>
    <cellStyle name="Obliczenia 2 8 55 3" xfId="26341"/>
    <cellStyle name="Obliczenia 2 8 56" xfId="26342"/>
    <cellStyle name="Obliczenia 2 8 56 2" xfId="26343"/>
    <cellStyle name="Obliczenia 2 8 56 3" xfId="26344"/>
    <cellStyle name="Obliczenia 2 8 57" xfId="26345"/>
    <cellStyle name="Obliczenia 2 8 58" xfId="26346"/>
    <cellStyle name="Obliczenia 2 8 6" xfId="26347"/>
    <cellStyle name="Obliczenia 2 8 6 2" xfId="26348"/>
    <cellStyle name="Obliczenia 2 8 6 3" xfId="26349"/>
    <cellStyle name="Obliczenia 2 8 6 4" xfId="26350"/>
    <cellStyle name="Obliczenia 2 8 7" xfId="26351"/>
    <cellStyle name="Obliczenia 2 8 7 2" xfId="26352"/>
    <cellStyle name="Obliczenia 2 8 7 3" xfId="26353"/>
    <cellStyle name="Obliczenia 2 8 7 4" xfId="26354"/>
    <cellStyle name="Obliczenia 2 8 8" xfId="26355"/>
    <cellStyle name="Obliczenia 2 8 8 2" xfId="26356"/>
    <cellStyle name="Obliczenia 2 8 8 3" xfId="26357"/>
    <cellStyle name="Obliczenia 2 8 8 4" xfId="26358"/>
    <cellStyle name="Obliczenia 2 8 9" xfId="26359"/>
    <cellStyle name="Obliczenia 2 8 9 2" xfId="26360"/>
    <cellStyle name="Obliczenia 2 8 9 3" xfId="26361"/>
    <cellStyle name="Obliczenia 2 8 9 4" xfId="26362"/>
    <cellStyle name="Obliczenia 2 80" xfId="26363"/>
    <cellStyle name="Obliczenia 2 80 2" xfId="26364"/>
    <cellStyle name="Obliczenia 2 80 3" xfId="26365"/>
    <cellStyle name="Obliczenia 2 81" xfId="26366"/>
    <cellStyle name="Obliczenia 2 81 2" xfId="26367"/>
    <cellStyle name="Obliczenia 2 81 3" xfId="26368"/>
    <cellStyle name="Obliczenia 2 82" xfId="26369"/>
    <cellStyle name="Obliczenia 2 82 2" xfId="26370"/>
    <cellStyle name="Obliczenia 2 82 3" xfId="26371"/>
    <cellStyle name="Obliczenia 2 83" xfId="26372"/>
    <cellStyle name="Obliczenia 2 83 2" xfId="26373"/>
    <cellStyle name="Obliczenia 2 83 3" xfId="26374"/>
    <cellStyle name="Obliczenia 2 84" xfId="26375"/>
    <cellStyle name="Obliczenia 2 84 2" xfId="26376"/>
    <cellStyle name="Obliczenia 2 84 3" xfId="26377"/>
    <cellStyle name="Obliczenia 2 85" xfId="26378"/>
    <cellStyle name="Obliczenia 2 85 2" xfId="26379"/>
    <cellStyle name="Obliczenia 2 85 3" xfId="26380"/>
    <cellStyle name="Obliczenia 2 86" xfId="26381"/>
    <cellStyle name="Obliczenia 2 86 2" xfId="26382"/>
    <cellStyle name="Obliczenia 2 86 3" xfId="26383"/>
    <cellStyle name="Obliczenia 2 87" xfId="26384"/>
    <cellStyle name="Obliczenia 2 87 2" xfId="26385"/>
    <cellStyle name="Obliczenia 2 87 3" xfId="26386"/>
    <cellStyle name="Obliczenia 2 88" xfId="26387"/>
    <cellStyle name="Obliczenia 2 89" xfId="26388"/>
    <cellStyle name="Obliczenia 2 9" xfId="26389"/>
    <cellStyle name="Obliczenia 2 9 10" xfId="26390"/>
    <cellStyle name="Obliczenia 2 9 10 2" xfId="26391"/>
    <cellStyle name="Obliczenia 2 9 10 3" xfId="26392"/>
    <cellStyle name="Obliczenia 2 9 10 4" xfId="26393"/>
    <cellStyle name="Obliczenia 2 9 11" xfId="26394"/>
    <cellStyle name="Obliczenia 2 9 11 2" xfId="26395"/>
    <cellStyle name="Obliczenia 2 9 11 3" xfId="26396"/>
    <cellStyle name="Obliczenia 2 9 11 4" xfId="26397"/>
    <cellStyle name="Obliczenia 2 9 12" xfId="26398"/>
    <cellStyle name="Obliczenia 2 9 12 2" xfId="26399"/>
    <cellStyle name="Obliczenia 2 9 12 3" xfId="26400"/>
    <cellStyle name="Obliczenia 2 9 12 4" xfId="26401"/>
    <cellStyle name="Obliczenia 2 9 13" xfId="26402"/>
    <cellStyle name="Obliczenia 2 9 13 2" xfId="26403"/>
    <cellStyle name="Obliczenia 2 9 13 3" xfId="26404"/>
    <cellStyle name="Obliczenia 2 9 13 4" xfId="26405"/>
    <cellStyle name="Obliczenia 2 9 14" xfId="26406"/>
    <cellStyle name="Obliczenia 2 9 14 2" xfId="26407"/>
    <cellStyle name="Obliczenia 2 9 14 3" xfId="26408"/>
    <cellStyle name="Obliczenia 2 9 14 4" xfId="26409"/>
    <cellStyle name="Obliczenia 2 9 15" xfId="26410"/>
    <cellStyle name="Obliczenia 2 9 15 2" xfId="26411"/>
    <cellStyle name="Obliczenia 2 9 15 3" xfId="26412"/>
    <cellStyle name="Obliczenia 2 9 15 4" xfId="26413"/>
    <cellStyle name="Obliczenia 2 9 16" xfId="26414"/>
    <cellStyle name="Obliczenia 2 9 16 2" xfId="26415"/>
    <cellStyle name="Obliczenia 2 9 16 3" xfId="26416"/>
    <cellStyle name="Obliczenia 2 9 16 4" xfId="26417"/>
    <cellStyle name="Obliczenia 2 9 17" xfId="26418"/>
    <cellStyle name="Obliczenia 2 9 17 2" xfId="26419"/>
    <cellStyle name="Obliczenia 2 9 17 3" xfId="26420"/>
    <cellStyle name="Obliczenia 2 9 17 4" xfId="26421"/>
    <cellStyle name="Obliczenia 2 9 18" xfId="26422"/>
    <cellStyle name="Obliczenia 2 9 18 2" xfId="26423"/>
    <cellStyle name="Obliczenia 2 9 18 3" xfId="26424"/>
    <cellStyle name="Obliczenia 2 9 18 4" xfId="26425"/>
    <cellStyle name="Obliczenia 2 9 19" xfId="26426"/>
    <cellStyle name="Obliczenia 2 9 19 2" xfId="26427"/>
    <cellStyle name="Obliczenia 2 9 19 3" xfId="26428"/>
    <cellStyle name="Obliczenia 2 9 19 4" xfId="26429"/>
    <cellStyle name="Obliczenia 2 9 2" xfId="26430"/>
    <cellStyle name="Obliczenia 2 9 2 2" xfId="26431"/>
    <cellStyle name="Obliczenia 2 9 2 3" xfId="26432"/>
    <cellStyle name="Obliczenia 2 9 2 4" xfId="26433"/>
    <cellStyle name="Obliczenia 2 9 20" xfId="26434"/>
    <cellStyle name="Obliczenia 2 9 20 2" xfId="26435"/>
    <cellStyle name="Obliczenia 2 9 20 3" xfId="26436"/>
    <cellStyle name="Obliczenia 2 9 20 4" xfId="26437"/>
    <cellStyle name="Obliczenia 2 9 21" xfId="26438"/>
    <cellStyle name="Obliczenia 2 9 21 2" xfId="26439"/>
    <cellStyle name="Obliczenia 2 9 21 3" xfId="26440"/>
    <cellStyle name="Obliczenia 2 9 22" xfId="26441"/>
    <cellStyle name="Obliczenia 2 9 22 2" xfId="26442"/>
    <cellStyle name="Obliczenia 2 9 22 3" xfId="26443"/>
    <cellStyle name="Obliczenia 2 9 23" xfId="26444"/>
    <cellStyle name="Obliczenia 2 9 23 2" xfId="26445"/>
    <cellStyle name="Obliczenia 2 9 23 3" xfId="26446"/>
    <cellStyle name="Obliczenia 2 9 24" xfId="26447"/>
    <cellStyle name="Obliczenia 2 9 24 2" xfId="26448"/>
    <cellStyle name="Obliczenia 2 9 24 3" xfId="26449"/>
    <cellStyle name="Obliczenia 2 9 25" xfId="26450"/>
    <cellStyle name="Obliczenia 2 9 25 2" xfId="26451"/>
    <cellStyle name="Obliczenia 2 9 25 3" xfId="26452"/>
    <cellStyle name="Obliczenia 2 9 26" xfId="26453"/>
    <cellStyle name="Obliczenia 2 9 26 2" xfId="26454"/>
    <cellStyle name="Obliczenia 2 9 26 3" xfId="26455"/>
    <cellStyle name="Obliczenia 2 9 27" xfId="26456"/>
    <cellStyle name="Obliczenia 2 9 27 2" xfId="26457"/>
    <cellStyle name="Obliczenia 2 9 27 3" xfId="26458"/>
    <cellStyle name="Obliczenia 2 9 28" xfId="26459"/>
    <cellStyle name="Obliczenia 2 9 28 2" xfId="26460"/>
    <cellStyle name="Obliczenia 2 9 28 3" xfId="26461"/>
    <cellStyle name="Obliczenia 2 9 29" xfId="26462"/>
    <cellStyle name="Obliczenia 2 9 29 2" xfId="26463"/>
    <cellStyle name="Obliczenia 2 9 29 3" xfId="26464"/>
    <cellStyle name="Obliczenia 2 9 3" xfId="26465"/>
    <cellStyle name="Obliczenia 2 9 3 2" xfId="26466"/>
    <cellStyle name="Obliczenia 2 9 3 3" xfId="26467"/>
    <cellStyle name="Obliczenia 2 9 3 4" xfId="26468"/>
    <cellStyle name="Obliczenia 2 9 30" xfId="26469"/>
    <cellStyle name="Obliczenia 2 9 30 2" xfId="26470"/>
    <cellStyle name="Obliczenia 2 9 30 3" xfId="26471"/>
    <cellStyle name="Obliczenia 2 9 31" xfId="26472"/>
    <cellStyle name="Obliczenia 2 9 31 2" xfId="26473"/>
    <cellStyle name="Obliczenia 2 9 31 3" xfId="26474"/>
    <cellStyle name="Obliczenia 2 9 32" xfId="26475"/>
    <cellStyle name="Obliczenia 2 9 32 2" xfId="26476"/>
    <cellStyle name="Obliczenia 2 9 32 3" xfId="26477"/>
    <cellStyle name="Obliczenia 2 9 33" xfId="26478"/>
    <cellStyle name="Obliczenia 2 9 33 2" xfId="26479"/>
    <cellStyle name="Obliczenia 2 9 33 3" xfId="26480"/>
    <cellStyle name="Obliczenia 2 9 34" xfId="26481"/>
    <cellStyle name="Obliczenia 2 9 34 2" xfId="26482"/>
    <cellStyle name="Obliczenia 2 9 34 3" xfId="26483"/>
    <cellStyle name="Obliczenia 2 9 35" xfId="26484"/>
    <cellStyle name="Obliczenia 2 9 35 2" xfId="26485"/>
    <cellStyle name="Obliczenia 2 9 35 3" xfId="26486"/>
    <cellStyle name="Obliczenia 2 9 36" xfId="26487"/>
    <cellStyle name="Obliczenia 2 9 36 2" xfId="26488"/>
    <cellStyle name="Obliczenia 2 9 36 3" xfId="26489"/>
    <cellStyle name="Obliczenia 2 9 37" xfId="26490"/>
    <cellStyle name="Obliczenia 2 9 37 2" xfId="26491"/>
    <cellStyle name="Obliczenia 2 9 37 3" xfId="26492"/>
    <cellStyle name="Obliczenia 2 9 38" xfId="26493"/>
    <cellStyle name="Obliczenia 2 9 38 2" xfId="26494"/>
    <cellStyle name="Obliczenia 2 9 38 3" xfId="26495"/>
    <cellStyle name="Obliczenia 2 9 39" xfId="26496"/>
    <cellStyle name="Obliczenia 2 9 39 2" xfId="26497"/>
    <cellStyle name="Obliczenia 2 9 39 3" xfId="26498"/>
    <cellStyle name="Obliczenia 2 9 4" xfId="26499"/>
    <cellStyle name="Obliczenia 2 9 4 2" xfId="26500"/>
    <cellStyle name="Obliczenia 2 9 4 3" xfId="26501"/>
    <cellStyle name="Obliczenia 2 9 4 4" xfId="26502"/>
    <cellStyle name="Obliczenia 2 9 40" xfId="26503"/>
    <cellStyle name="Obliczenia 2 9 40 2" xfId="26504"/>
    <cellStyle name="Obliczenia 2 9 40 3" xfId="26505"/>
    <cellStyle name="Obliczenia 2 9 41" xfId="26506"/>
    <cellStyle name="Obliczenia 2 9 41 2" xfId="26507"/>
    <cellStyle name="Obliczenia 2 9 41 3" xfId="26508"/>
    <cellStyle name="Obliczenia 2 9 42" xfId="26509"/>
    <cellStyle name="Obliczenia 2 9 42 2" xfId="26510"/>
    <cellStyle name="Obliczenia 2 9 42 3" xfId="26511"/>
    <cellStyle name="Obliczenia 2 9 43" xfId="26512"/>
    <cellStyle name="Obliczenia 2 9 43 2" xfId="26513"/>
    <cellStyle name="Obliczenia 2 9 43 3" xfId="26514"/>
    <cellStyle name="Obliczenia 2 9 44" xfId="26515"/>
    <cellStyle name="Obliczenia 2 9 44 2" xfId="26516"/>
    <cellStyle name="Obliczenia 2 9 44 3" xfId="26517"/>
    <cellStyle name="Obliczenia 2 9 45" xfId="26518"/>
    <cellStyle name="Obliczenia 2 9 45 2" xfId="26519"/>
    <cellStyle name="Obliczenia 2 9 45 3" xfId="26520"/>
    <cellStyle name="Obliczenia 2 9 46" xfId="26521"/>
    <cellStyle name="Obliczenia 2 9 46 2" xfId="26522"/>
    <cellStyle name="Obliczenia 2 9 46 3" xfId="26523"/>
    <cellStyle name="Obliczenia 2 9 47" xfId="26524"/>
    <cellStyle name="Obliczenia 2 9 47 2" xfId="26525"/>
    <cellStyle name="Obliczenia 2 9 47 3" xfId="26526"/>
    <cellStyle name="Obliczenia 2 9 48" xfId="26527"/>
    <cellStyle name="Obliczenia 2 9 48 2" xfId="26528"/>
    <cellStyle name="Obliczenia 2 9 48 3" xfId="26529"/>
    <cellStyle name="Obliczenia 2 9 49" xfId="26530"/>
    <cellStyle name="Obliczenia 2 9 49 2" xfId="26531"/>
    <cellStyle name="Obliczenia 2 9 49 3" xfId="26532"/>
    <cellStyle name="Obliczenia 2 9 5" xfId="26533"/>
    <cellStyle name="Obliczenia 2 9 5 2" xfId="26534"/>
    <cellStyle name="Obliczenia 2 9 5 3" xfId="26535"/>
    <cellStyle name="Obliczenia 2 9 5 4" xfId="26536"/>
    <cellStyle name="Obliczenia 2 9 50" xfId="26537"/>
    <cellStyle name="Obliczenia 2 9 50 2" xfId="26538"/>
    <cellStyle name="Obliczenia 2 9 50 3" xfId="26539"/>
    <cellStyle name="Obliczenia 2 9 51" xfId="26540"/>
    <cellStyle name="Obliczenia 2 9 51 2" xfId="26541"/>
    <cellStyle name="Obliczenia 2 9 51 3" xfId="26542"/>
    <cellStyle name="Obliczenia 2 9 52" xfId="26543"/>
    <cellStyle name="Obliczenia 2 9 52 2" xfId="26544"/>
    <cellStyle name="Obliczenia 2 9 52 3" xfId="26545"/>
    <cellStyle name="Obliczenia 2 9 53" xfId="26546"/>
    <cellStyle name="Obliczenia 2 9 53 2" xfId="26547"/>
    <cellStyle name="Obliczenia 2 9 53 3" xfId="26548"/>
    <cellStyle name="Obliczenia 2 9 54" xfId="26549"/>
    <cellStyle name="Obliczenia 2 9 54 2" xfId="26550"/>
    <cellStyle name="Obliczenia 2 9 54 3" xfId="26551"/>
    <cellStyle name="Obliczenia 2 9 55" xfId="26552"/>
    <cellStyle name="Obliczenia 2 9 55 2" xfId="26553"/>
    <cellStyle name="Obliczenia 2 9 55 3" xfId="26554"/>
    <cellStyle name="Obliczenia 2 9 56" xfId="26555"/>
    <cellStyle name="Obliczenia 2 9 56 2" xfId="26556"/>
    <cellStyle name="Obliczenia 2 9 56 3" xfId="26557"/>
    <cellStyle name="Obliczenia 2 9 57" xfId="26558"/>
    <cellStyle name="Obliczenia 2 9 58" xfId="26559"/>
    <cellStyle name="Obliczenia 2 9 6" xfId="26560"/>
    <cellStyle name="Obliczenia 2 9 6 2" xfId="26561"/>
    <cellStyle name="Obliczenia 2 9 6 3" xfId="26562"/>
    <cellStyle name="Obliczenia 2 9 6 4" xfId="26563"/>
    <cellStyle name="Obliczenia 2 9 7" xfId="26564"/>
    <cellStyle name="Obliczenia 2 9 7 2" xfId="26565"/>
    <cellStyle name="Obliczenia 2 9 7 3" xfId="26566"/>
    <cellStyle name="Obliczenia 2 9 7 4" xfId="26567"/>
    <cellStyle name="Obliczenia 2 9 8" xfId="26568"/>
    <cellStyle name="Obliczenia 2 9 8 2" xfId="26569"/>
    <cellStyle name="Obliczenia 2 9 8 3" xfId="26570"/>
    <cellStyle name="Obliczenia 2 9 8 4" xfId="26571"/>
    <cellStyle name="Obliczenia 2 9 9" xfId="26572"/>
    <cellStyle name="Obliczenia 2 9 9 2" xfId="26573"/>
    <cellStyle name="Obliczenia 2 9 9 3" xfId="26574"/>
    <cellStyle name="Obliczenia 2 9 9 4" xfId="26575"/>
    <cellStyle name="Obliczenia 3" xfId="26576"/>
    <cellStyle name="Obliczenia 3 2" xfId="26577"/>
    <cellStyle name="Obliczenia 3 2 2" xfId="26578"/>
    <cellStyle name="Obliczenia 3 3" xfId="26579"/>
    <cellStyle name="Obliczenia 3 4" xfId="26580"/>
    <cellStyle name="Obliczenia 3 5" xfId="26581"/>
    <cellStyle name="Obliczenia 3 6" xfId="26582"/>
    <cellStyle name="Obliczenia 3 7" xfId="26583"/>
    <cellStyle name="Obliczenia 3 8" xfId="26584"/>
    <cellStyle name="Obliczenia 3 9" xfId="26585"/>
    <cellStyle name="Obliczenia 4" xfId="26586"/>
    <cellStyle name="Obliczenia 4 2" xfId="26587"/>
    <cellStyle name="Obliczenia 4 3" xfId="26588"/>
    <cellStyle name="Obliczenia 4 4" xfId="26589"/>
    <cellStyle name="Obliczenia 4 5" xfId="26590"/>
    <cellStyle name="Obliczenia 4 6" xfId="26591"/>
    <cellStyle name="Obliczenia 4 7" xfId="26592"/>
    <cellStyle name="Obliczenia 4 8" xfId="26593"/>
    <cellStyle name="Obliczenia 4 9" xfId="26594"/>
    <cellStyle name="Obliczenia 5" xfId="26595"/>
    <cellStyle name="Obliczenia 5 2" xfId="26596"/>
    <cellStyle name="Obliczenia 5 3" xfId="26597"/>
    <cellStyle name="Obliczenia 6" xfId="26598"/>
    <cellStyle name="Obliczenia 6 2" xfId="26599"/>
    <cellStyle name="Obliczenia 7" xfId="26600"/>
    <cellStyle name="Option" xfId="26601"/>
    <cellStyle name="Output Amounts" xfId="26602"/>
    <cellStyle name="Output Column Headings" xfId="26603"/>
    <cellStyle name="Output Line Items" xfId="26604"/>
    <cellStyle name="Output Report Heading" xfId="26605"/>
    <cellStyle name="Output Report Title" xfId="26606"/>
    <cellStyle name="Pénznem [0]_cb-fr" xfId="26607"/>
    <cellStyle name="Pénznem_cb-fr" xfId="26608"/>
    <cellStyle name="Percent [2]" xfId="26609"/>
    <cellStyle name="Percent 2" xfId="26610"/>
    <cellStyle name="Pivot Table Category" xfId="26611"/>
    <cellStyle name="Pivot Table Corner" xfId="26612"/>
    <cellStyle name="Pivot Table Field" xfId="26613"/>
    <cellStyle name="Pivot Table Result" xfId="26614"/>
    <cellStyle name="Pivot Table Title" xfId="26615"/>
    <cellStyle name="Pivot Table Value" xfId="26616"/>
    <cellStyle name="pole" xfId="26617"/>
    <cellStyle name="Price" xfId="26618"/>
    <cellStyle name="Procentowy" xfId="7" builtinId="5"/>
    <cellStyle name="Procentowy 10" xfId="26619"/>
    <cellStyle name="Procentowy 10 2" xfId="26620"/>
    <cellStyle name="Procentowy 10 3" xfId="26621"/>
    <cellStyle name="Procentowy 10 4" xfId="26622"/>
    <cellStyle name="Procentowy 10 5" xfId="26623"/>
    <cellStyle name="Procentowy 10 6" xfId="26624"/>
    <cellStyle name="Procentowy 10 7" xfId="26625"/>
    <cellStyle name="Procentowy 11" xfId="26626"/>
    <cellStyle name="Procentowy 12" xfId="26627"/>
    <cellStyle name="Procentowy 13" xfId="42847"/>
    <cellStyle name="Procentowy 14" xfId="42850"/>
    <cellStyle name="Procentowy 15" xfId="42852"/>
    <cellStyle name="Procentowy 2" xfId="2"/>
    <cellStyle name="Procentowy 2 10" xfId="26629"/>
    <cellStyle name="Procentowy 2 11" xfId="26630"/>
    <cellStyle name="Procentowy 2 12" xfId="26628"/>
    <cellStyle name="Procentowy 2 2" xfId="26631"/>
    <cellStyle name="Procentowy 2 2 2" xfId="26632"/>
    <cellStyle name="Procentowy 2 2 2 2" xfId="26633"/>
    <cellStyle name="Procentowy 2 2 2 3" xfId="26634"/>
    <cellStyle name="Procentowy 2 2 3" xfId="26635"/>
    <cellStyle name="Procentowy 2 2 3 2" xfId="26636"/>
    <cellStyle name="Procentowy 2 2 3 3" xfId="26637"/>
    <cellStyle name="Procentowy 2 2 4" xfId="26638"/>
    <cellStyle name="Procentowy 2 2 5" xfId="26639"/>
    <cellStyle name="Procentowy 2 2 6" xfId="26640"/>
    <cellStyle name="Procentowy 2 2 7" xfId="26641"/>
    <cellStyle name="Procentowy 2 3" xfId="26642"/>
    <cellStyle name="Procentowy 2 3 2" xfId="26643"/>
    <cellStyle name="Procentowy 2 3 3" xfId="26644"/>
    <cellStyle name="Procentowy 2 4" xfId="26645"/>
    <cellStyle name="Procentowy 2 4 2" xfId="26646"/>
    <cellStyle name="Procentowy 2 5" xfId="26647"/>
    <cellStyle name="Procentowy 2 5 2" xfId="26648"/>
    <cellStyle name="Procentowy 2 6" xfId="26649"/>
    <cellStyle name="Procentowy 2 6 2" xfId="26650"/>
    <cellStyle name="Procentowy 2 7" xfId="26651"/>
    <cellStyle name="Procentowy 2 7 2" xfId="26652"/>
    <cellStyle name="Procentowy 2 8" xfId="26653"/>
    <cellStyle name="Procentowy 2 9" xfId="26654"/>
    <cellStyle name="Procentowy 3" xfId="6"/>
    <cellStyle name="Procentowy 3 10" xfId="26656"/>
    <cellStyle name="Procentowy 3 10 10" xfId="26657"/>
    <cellStyle name="Procentowy 3 10 10 2" xfId="26658"/>
    <cellStyle name="Procentowy 3 10 11" xfId="26659"/>
    <cellStyle name="Procentowy 3 10 11 2" xfId="26660"/>
    <cellStyle name="Procentowy 3 10 12" xfId="26661"/>
    <cellStyle name="Procentowy 3 10 12 2" xfId="26662"/>
    <cellStyle name="Procentowy 3 10 13" xfId="26663"/>
    <cellStyle name="Procentowy 3 10 13 2" xfId="26664"/>
    <cellStyle name="Procentowy 3 10 14" xfId="26665"/>
    <cellStyle name="Procentowy 3 10 14 2" xfId="26666"/>
    <cellStyle name="Procentowy 3 10 15" xfId="26667"/>
    <cellStyle name="Procentowy 3 10 15 2" xfId="26668"/>
    <cellStyle name="Procentowy 3 10 16" xfId="26669"/>
    <cellStyle name="Procentowy 3 10 16 2" xfId="26670"/>
    <cellStyle name="Procentowy 3 10 17" xfId="26671"/>
    <cellStyle name="Procentowy 3 10 17 2" xfId="26672"/>
    <cellStyle name="Procentowy 3 10 18" xfId="26673"/>
    <cellStyle name="Procentowy 3 10 18 2" xfId="26674"/>
    <cellStyle name="Procentowy 3 10 19" xfId="26675"/>
    <cellStyle name="Procentowy 3 10 19 2" xfId="26676"/>
    <cellStyle name="Procentowy 3 10 2" xfId="26677"/>
    <cellStyle name="Procentowy 3 10 2 2" xfId="26678"/>
    <cellStyle name="Procentowy 3 10 2 3" xfId="26679"/>
    <cellStyle name="Procentowy 3 10 2 4" xfId="26680"/>
    <cellStyle name="Procentowy 3 10 2 5" xfId="26681"/>
    <cellStyle name="Procentowy 3 10 2 6" xfId="26682"/>
    <cellStyle name="Procentowy 3 10 2 7" xfId="26683"/>
    <cellStyle name="Procentowy 3 10 20" xfId="26684"/>
    <cellStyle name="Procentowy 3 10 20 2" xfId="26685"/>
    <cellStyle name="Procentowy 3 10 21" xfId="26686"/>
    <cellStyle name="Procentowy 3 10 21 2" xfId="26687"/>
    <cellStyle name="Procentowy 3 10 22" xfId="26688"/>
    <cellStyle name="Procentowy 3 10 22 2" xfId="26689"/>
    <cellStyle name="Procentowy 3 10 23" xfId="26690"/>
    <cellStyle name="Procentowy 3 10 23 2" xfId="26691"/>
    <cellStyle name="Procentowy 3 10 24" xfId="26692"/>
    <cellStyle name="Procentowy 3 10 24 2" xfId="26693"/>
    <cellStyle name="Procentowy 3 10 25" xfId="26694"/>
    <cellStyle name="Procentowy 3 10 25 2" xfId="26695"/>
    <cellStyle name="Procentowy 3 10 26" xfId="26696"/>
    <cellStyle name="Procentowy 3 10 26 2" xfId="26697"/>
    <cellStyle name="Procentowy 3 10 27" xfId="26698"/>
    <cellStyle name="Procentowy 3 10 27 2" xfId="26699"/>
    <cellStyle name="Procentowy 3 10 28" xfId="26700"/>
    <cellStyle name="Procentowy 3 10 28 2" xfId="26701"/>
    <cellStyle name="Procentowy 3 10 29" xfId="26702"/>
    <cellStyle name="Procentowy 3 10 29 2" xfId="26703"/>
    <cellStyle name="Procentowy 3 10 3" xfId="26704"/>
    <cellStyle name="Procentowy 3 10 3 2" xfId="26705"/>
    <cellStyle name="Procentowy 3 10 3 3" xfId="26706"/>
    <cellStyle name="Procentowy 3 10 3 4" xfId="26707"/>
    <cellStyle name="Procentowy 3 10 3 5" xfId="26708"/>
    <cellStyle name="Procentowy 3 10 3 6" xfId="26709"/>
    <cellStyle name="Procentowy 3 10 3 7" xfId="26710"/>
    <cellStyle name="Procentowy 3 10 30" xfId="26711"/>
    <cellStyle name="Procentowy 3 10 30 2" xfId="26712"/>
    <cellStyle name="Procentowy 3 10 31" xfId="26713"/>
    <cellStyle name="Procentowy 3 10 31 2" xfId="26714"/>
    <cellStyle name="Procentowy 3 10 32" xfId="26715"/>
    <cellStyle name="Procentowy 3 10 33" xfId="26716"/>
    <cellStyle name="Procentowy 3 10 34" xfId="26717"/>
    <cellStyle name="Procentowy 3 10 35" xfId="26718"/>
    <cellStyle name="Procentowy 3 10 36" xfId="26719"/>
    <cellStyle name="Procentowy 3 10 37" xfId="26720"/>
    <cellStyle name="Procentowy 3 10 38" xfId="26721"/>
    <cellStyle name="Procentowy 3 10 39" xfId="26722"/>
    <cellStyle name="Procentowy 3 10 4" xfId="26723"/>
    <cellStyle name="Procentowy 3 10 4 2" xfId="26724"/>
    <cellStyle name="Procentowy 3 10 4 3" xfId="26725"/>
    <cellStyle name="Procentowy 3 10 4 4" xfId="26726"/>
    <cellStyle name="Procentowy 3 10 4 5" xfId="26727"/>
    <cellStyle name="Procentowy 3 10 4 6" xfId="26728"/>
    <cellStyle name="Procentowy 3 10 4 7" xfId="26729"/>
    <cellStyle name="Procentowy 3 10 40" xfId="26730"/>
    <cellStyle name="Procentowy 3 10 41" xfId="26731"/>
    <cellStyle name="Procentowy 3 10 42" xfId="26732"/>
    <cellStyle name="Procentowy 3 10 43" xfId="26733"/>
    <cellStyle name="Procentowy 3 10 44" xfId="26734"/>
    <cellStyle name="Procentowy 3 10 45" xfId="26735"/>
    <cellStyle name="Procentowy 3 10 46" xfId="26736"/>
    <cellStyle name="Procentowy 3 10 47" xfId="26737"/>
    <cellStyle name="Procentowy 3 10 48" xfId="26738"/>
    <cellStyle name="Procentowy 3 10 49" xfId="26739"/>
    <cellStyle name="Procentowy 3 10 5" xfId="26740"/>
    <cellStyle name="Procentowy 3 10 5 2" xfId="26741"/>
    <cellStyle name="Procentowy 3 10 5 3" xfId="26742"/>
    <cellStyle name="Procentowy 3 10 5 4" xfId="26743"/>
    <cellStyle name="Procentowy 3 10 5 5" xfId="26744"/>
    <cellStyle name="Procentowy 3 10 5 6" xfId="26745"/>
    <cellStyle name="Procentowy 3 10 5 7" xfId="26746"/>
    <cellStyle name="Procentowy 3 10 50" xfId="26747"/>
    <cellStyle name="Procentowy 3 10 51" xfId="26748"/>
    <cellStyle name="Procentowy 3 10 52" xfId="26749"/>
    <cellStyle name="Procentowy 3 10 53" xfId="26750"/>
    <cellStyle name="Procentowy 3 10 54" xfId="26751"/>
    <cellStyle name="Procentowy 3 10 55" xfId="26752"/>
    <cellStyle name="Procentowy 3 10 56" xfId="26753"/>
    <cellStyle name="Procentowy 3 10 57" xfId="26754"/>
    <cellStyle name="Procentowy 3 10 58" xfId="26755"/>
    <cellStyle name="Procentowy 3 10 59" xfId="26756"/>
    <cellStyle name="Procentowy 3 10 6" xfId="26757"/>
    <cellStyle name="Procentowy 3 10 6 2" xfId="26758"/>
    <cellStyle name="Procentowy 3 10 60" xfId="26759"/>
    <cellStyle name="Procentowy 3 10 61" xfId="26760"/>
    <cellStyle name="Procentowy 3 10 62" xfId="26761"/>
    <cellStyle name="Procentowy 3 10 63" xfId="26762"/>
    <cellStyle name="Procentowy 3 10 64" xfId="26763"/>
    <cellStyle name="Procentowy 3 10 65" xfId="26764"/>
    <cellStyle name="Procentowy 3 10 66" xfId="26765"/>
    <cellStyle name="Procentowy 3 10 67" xfId="26766"/>
    <cellStyle name="Procentowy 3 10 68" xfId="26767"/>
    <cellStyle name="Procentowy 3 10 69" xfId="26768"/>
    <cellStyle name="Procentowy 3 10 7" xfId="26769"/>
    <cellStyle name="Procentowy 3 10 7 2" xfId="26770"/>
    <cellStyle name="Procentowy 3 10 70" xfId="26771"/>
    <cellStyle name="Procentowy 3 10 71" xfId="26772"/>
    <cellStyle name="Procentowy 3 10 72" xfId="26773"/>
    <cellStyle name="Procentowy 3 10 73" xfId="26774"/>
    <cellStyle name="Procentowy 3 10 74" xfId="26775"/>
    <cellStyle name="Procentowy 3 10 8" xfId="26776"/>
    <cellStyle name="Procentowy 3 10 8 2" xfId="26777"/>
    <cellStyle name="Procentowy 3 10 9" xfId="26778"/>
    <cellStyle name="Procentowy 3 10 9 2" xfId="26779"/>
    <cellStyle name="Procentowy 3 11" xfId="26780"/>
    <cellStyle name="Procentowy 3 11 10" xfId="26781"/>
    <cellStyle name="Procentowy 3 11 10 2" xfId="26782"/>
    <cellStyle name="Procentowy 3 11 11" xfId="26783"/>
    <cellStyle name="Procentowy 3 11 11 2" xfId="26784"/>
    <cellStyle name="Procentowy 3 11 12" xfId="26785"/>
    <cellStyle name="Procentowy 3 11 12 2" xfId="26786"/>
    <cellStyle name="Procentowy 3 11 13" xfId="26787"/>
    <cellStyle name="Procentowy 3 11 13 2" xfId="26788"/>
    <cellStyle name="Procentowy 3 11 14" xfId="26789"/>
    <cellStyle name="Procentowy 3 11 14 2" xfId="26790"/>
    <cellStyle name="Procentowy 3 11 15" xfId="26791"/>
    <cellStyle name="Procentowy 3 11 15 2" xfId="26792"/>
    <cellStyle name="Procentowy 3 11 16" xfId="26793"/>
    <cellStyle name="Procentowy 3 11 16 2" xfId="26794"/>
    <cellStyle name="Procentowy 3 11 17" xfId="26795"/>
    <cellStyle name="Procentowy 3 11 17 2" xfId="26796"/>
    <cellStyle name="Procentowy 3 11 18" xfId="26797"/>
    <cellStyle name="Procentowy 3 11 18 2" xfId="26798"/>
    <cellStyle name="Procentowy 3 11 19" xfId="26799"/>
    <cellStyle name="Procentowy 3 11 19 2" xfId="26800"/>
    <cellStyle name="Procentowy 3 11 2" xfId="26801"/>
    <cellStyle name="Procentowy 3 11 2 2" xfId="26802"/>
    <cellStyle name="Procentowy 3 11 2 3" xfId="26803"/>
    <cellStyle name="Procentowy 3 11 2 4" xfId="26804"/>
    <cellStyle name="Procentowy 3 11 2 5" xfId="26805"/>
    <cellStyle name="Procentowy 3 11 2 6" xfId="26806"/>
    <cellStyle name="Procentowy 3 11 2 7" xfId="26807"/>
    <cellStyle name="Procentowy 3 11 20" xfId="26808"/>
    <cellStyle name="Procentowy 3 11 20 2" xfId="26809"/>
    <cellStyle name="Procentowy 3 11 21" xfId="26810"/>
    <cellStyle name="Procentowy 3 11 21 2" xfId="26811"/>
    <cellStyle name="Procentowy 3 11 22" xfId="26812"/>
    <cellStyle name="Procentowy 3 11 22 2" xfId="26813"/>
    <cellStyle name="Procentowy 3 11 23" xfId="26814"/>
    <cellStyle name="Procentowy 3 11 23 2" xfId="26815"/>
    <cellStyle name="Procentowy 3 11 24" xfId="26816"/>
    <cellStyle name="Procentowy 3 11 24 2" xfId="26817"/>
    <cellStyle name="Procentowy 3 11 25" xfId="26818"/>
    <cellStyle name="Procentowy 3 11 25 2" xfId="26819"/>
    <cellStyle name="Procentowy 3 11 26" xfId="26820"/>
    <cellStyle name="Procentowy 3 11 26 2" xfId="26821"/>
    <cellStyle name="Procentowy 3 11 27" xfId="26822"/>
    <cellStyle name="Procentowy 3 11 27 2" xfId="26823"/>
    <cellStyle name="Procentowy 3 11 28" xfId="26824"/>
    <cellStyle name="Procentowy 3 11 28 2" xfId="26825"/>
    <cellStyle name="Procentowy 3 11 29" xfId="26826"/>
    <cellStyle name="Procentowy 3 11 29 2" xfId="26827"/>
    <cellStyle name="Procentowy 3 11 3" xfId="26828"/>
    <cellStyle name="Procentowy 3 11 3 2" xfId="26829"/>
    <cellStyle name="Procentowy 3 11 3 3" xfId="26830"/>
    <cellStyle name="Procentowy 3 11 3 4" xfId="26831"/>
    <cellStyle name="Procentowy 3 11 3 5" xfId="26832"/>
    <cellStyle name="Procentowy 3 11 3 6" xfId="26833"/>
    <cellStyle name="Procentowy 3 11 3 7" xfId="26834"/>
    <cellStyle name="Procentowy 3 11 30" xfId="26835"/>
    <cellStyle name="Procentowy 3 11 30 2" xfId="26836"/>
    <cellStyle name="Procentowy 3 11 31" xfId="26837"/>
    <cellStyle name="Procentowy 3 11 31 2" xfId="26838"/>
    <cellStyle name="Procentowy 3 11 32" xfId="26839"/>
    <cellStyle name="Procentowy 3 11 33" xfId="26840"/>
    <cellStyle name="Procentowy 3 11 34" xfId="26841"/>
    <cellStyle name="Procentowy 3 11 35" xfId="26842"/>
    <cellStyle name="Procentowy 3 11 36" xfId="26843"/>
    <cellStyle name="Procentowy 3 11 37" xfId="26844"/>
    <cellStyle name="Procentowy 3 11 38" xfId="26845"/>
    <cellStyle name="Procentowy 3 11 39" xfId="26846"/>
    <cellStyle name="Procentowy 3 11 4" xfId="26847"/>
    <cellStyle name="Procentowy 3 11 4 2" xfId="26848"/>
    <cellStyle name="Procentowy 3 11 4 3" xfId="26849"/>
    <cellStyle name="Procentowy 3 11 4 4" xfId="26850"/>
    <cellStyle name="Procentowy 3 11 4 5" xfId="26851"/>
    <cellStyle name="Procentowy 3 11 4 6" xfId="26852"/>
    <cellStyle name="Procentowy 3 11 4 7" xfId="26853"/>
    <cellStyle name="Procentowy 3 11 40" xfId="26854"/>
    <cellStyle name="Procentowy 3 11 41" xfId="26855"/>
    <cellStyle name="Procentowy 3 11 42" xfId="26856"/>
    <cellStyle name="Procentowy 3 11 43" xfId="26857"/>
    <cellStyle name="Procentowy 3 11 44" xfId="26858"/>
    <cellStyle name="Procentowy 3 11 45" xfId="26859"/>
    <cellStyle name="Procentowy 3 11 46" xfId="26860"/>
    <cellStyle name="Procentowy 3 11 47" xfId="26861"/>
    <cellStyle name="Procentowy 3 11 48" xfId="26862"/>
    <cellStyle name="Procentowy 3 11 49" xfId="26863"/>
    <cellStyle name="Procentowy 3 11 5" xfId="26864"/>
    <cellStyle name="Procentowy 3 11 5 2" xfId="26865"/>
    <cellStyle name="Procentowy 3 11 5 3" xfId="26866"/>
    <cellStyle name="Procentowy 3 11 5 4" xfId="26867"/>
    <cellStyle name="Procentowy 3 11 5 5" xfId="26868"/>
    <cellStyle name="Procentowy 3 11 5 6" xfId="26869"/>
    <cellStyle name="Procentowy 3 11 5 7" xfId="26870"/>
    <cellStyle name="Procentowy 3 11 50" xfId="26871"/>
    <cellStyle name="Procentowy 3 11 51" xfId="26872"/>
    <cellStyle name="Procentowy 3 11 52" xfId="26873"/>
    <cellStyle name="Procentowy 3 11 53" xfId="26874"/>
    <cellStyle name="Procentowy 3 11 54" xfId="26875"/>
    <cellStyle name="Procentowy 3 11 55" xfId="26876"/>
    <cellStyle name="Procentowy 3 11 56" xfId="26877"/>
    <cellStyle name="Procentowy 3 11 57" xfId="26878"/>
    <cellStyle name="Procentowy 3 11 58" xfId="26879"/>
    <cellStyle name="Procentowy 3 11 59" xfId="26880"/>
    <cellStyle name="Procentowy 3 11 6" xfId="26881"/>
    <cellStyle name="Procentowy 3 11 6 2" xfId="26882"/>
    <cellStyle name="Procentowy 3 11 60" xfId="26883"/>
    <cellStyle name="Procentowy 3 11 61" xfId="26884"/>
    <cellStyle name="Procentowy 3 11 62" xfId="26885"/>
    <cellStyle name="Procentowy 3 11 63" xfId="26886"/>
    <cellStyle name="Procentowy 3 11 64" xfId="26887"/>
    <cellStyle name="Procentowy 3 11 65" xfId="26888"/>
    <cellStyle name="Procentowy 3 11 66" xfId="26889"/>
    <cellStyle name="Procentowy 3 11 67" xfId="26890"/>
    <cellStyle name="Procentowy 3 11 68" xfId="26891"/>
    <cellStyle name="Procentowy 3 11 69" xfId="26892"/>
    <cellStyle name="Procentowy 3 11 7" xfId="26893"/>
    <cellStyle name="Procentowy 3 11 7 2" xfId="26894"/>
    <cellStyle name="Procentowy 3 11 70" xfId="26895"/>
    <cellStyle name="Procentowy 3 11 71" xfId="26896"/>
    <cellStyle name="Procentowy 3 11 72" xfId="26897"/>
    <cellStyle name="Procentowy 3 11 73" xfId="26898"/>
    <cellStyle name="Procentowy 3 11 74" xfId="26899"/>
    <cellStyle name="Procentowy 3 11 8" xfId="26900"/>
    <cellStyle name="Procentowy 3 11 8 2" xfId="26901"/>
    <cellStyle name="Procentowy 3 11 9" xfId="26902"/>
    <cellStyle name="Procentowy 3 11 9 2" xfId="26903"/>
    <cellStyle name="Procentowy 3 12" xfId="26904"/>
    <cellStyle name="Procentowy 3 12 10" xfId="26905"/>
    <cellStyle name="Procentowy 3 12 10 2" xfId="26906"/>
    <cellStyle name="Procentowy 3 12 11" xfId="26907"/>
    <cellStyle name="Procentowy 3 12 11 2" xfId="26908"/>
    <cellStyle name="Procentowy 3 12 12" xfId="26909"/>
    <cellStyle name="Procentowy 3 12 12 2" xfId="26910"/>
    <cellStyle name="Procentowy 3 12 13" xfId="26911"/>
    <cellStyle name="Procentowy 3 12 13 2" xfId="26912"/>
    <cellStyle name="Procentowy 3 12 14" xfId="26913"/>
    <cellStyle name="Procentowy 3 12 14 2" xfId="26914"/>
    <cellStyle name="Procentowy 3 12 15" xfId="26915"/>
    <cellStyle name="Procentowy 3 12 15 2" xfId="26916"/>
    <cellStyle name="Procentowy 3 12 16" xfId="26917"/>
    <cellStyle name="Procentowy 3 12 16 2" xfId="26918"/>
    <cellStyle name="Procentowy 3 12 17" xfId="26919"/>
    <cellStyle name="Procentowy 3 12 17 2" xfId="26920"/>
    <cellStyle name="Procentowy 3 12 18" xfId="26921"/>
    <cellStyle name="Procentowy 3 12 18 2" xfId="26922"/>
    <cellStyle name="Procentowy 3 12 19" xfId="26923"/>
    <cellStyle name="Procentowy 3 12 19 2" xfId="26924"/>
    <cellStyle name="Procentowy 3 12 2" xfId="26925"/>
    <cellStyle name="Procentowy 3 12 2 2" xfId="26926"/>
    <cellStyle name="Procentowy 3 12 2 3" xfId="26927"/>
    <cellStyle name="Procentowy 3 12 2 4" xfId="26928"/>
    <cellStyle name="Procentowy 3 12 2 5" xfId="26929"/>
    <cellStyle name="Procentowy 3 12 2 6" xfId="26930"/>
    <cellStyle name="Procentowy 3 12 2 7" xfId="26931"/>
    <cellStyle name="Procentowy 3 12 20" xfId="26932"/>
    <cellStyle name="Procentowy 3 12 20 2" xfId="26933"/>
    <cellStyle name="Procentowy 3 12 21" xfId="26934"/>
    <cellStyle name="Procentowy 3 12 21 2" xfId="26935"/>
    <cellStyle name="Procentowy 3 12 22" xfId="26936"/>
    <cellStyle name="Procentowy 3 12 22 2" xfId="26937"/>
    <cellStyle name="Procentowy 3 12 23" xfId="26938"/>
    <cellStyle name="Procentowy 3 12 23 2" xfId="26939"/>
    <cellStyle name="Procentowy 3 12 24" xfId="26940"/>
    <cellStyle name="Procentowy 3 12 24 2" xfId="26941"/>
    <cellStyle name="Procentowy 3 12 25" xfId="26942"/>
    <cellStyle name="Procentowy 3 12 25 2" xfId="26943"/>
    <cellStyle name="Procentowy 3 12 26" xfId="26944"/>
    <cellStyle name="Procentowy 3 12 26 2" xfId="26945"/>
    <cellStyle name="Procentowy 3 12 27" xfId="26946"/>
    <cellStyle name="Procentowy 3 12 27 2" xfId="26947"/>
    <cellStyle name="Procentowy 3 12 28" xfId="26948"/>
    <cellStyle name="Procentowy 3 12 28 2" xfId="26949"/>
    <cellStyle name="Procentowy 3 12 29" xfId="26950"/>
    <cellStyle name="Procentowy 3 12 29 2" xfId="26951"/>
    <cellStyle name="Procentowy 3 12 3" xfId="26952"/>
    <cellStyle name="Procentowy 3 12 3 2" xfId="26953"/>
    <cellStyle name="Procentowy 3 12 3 3" xfId="26954"/>
    <cellStyle name="Procentowy 3 12 3 4" xfId="26955"/>
    <cellStyle name="Procentowy 3 12 3 5" xfId="26956"/>
    <cellStyle name="Procentowy 3 12 3 6" xfId="26957"/>
    <cellStyle name="Procentowy 3 12 3 7" xfId="26958"/>
    <cellStyle name="Procentowy 3 12 30" xfId="26959"/>
    <cellStyle name="Procentowy 3 12 30 2" xfId="26960"/>
    <cellStyle name="Procentowy 3 12 31" xfId="26961"/>
    <cellStyle name="Procentowy 3 12 31 2" xfId="26962"/>
    <cellStyle name="Procentowy 3 12 32" xfId="26963"/>
    <cellStyle name="Procentowy 3 12 33" xfId="26964"/>
    <cellStyle name="Procentowy 3 12 34" xfId="26965"/>
    <cellStyle name="Procentowy 3 12 35" xfId="26966"/>
    <cellStyle name="Procentowy 3 12 36" xfId="26967"/>
    <cellStyle name="Procentowy 3 12 37" xfId="26968"/>
    <cellStyle name="Procentowy 3 12 38" xfId="26969"/>
    <cellStyle name="Procentowy 3 12 39" xfId="26970"/>
    <cellStyle name="Procentowy 3 12 4" xfId="26971"/>
    <cellStyle name="Procentowy 3 12 4 2" xfId="26972"/>
    <cellStyle name="Procentowy 3 12 4 3" xfId="26973"/>
    <cellStyle name="Procentowy 3 12 4 4" xfId="26974"/>
    <cellStyle name="Procentowy 3 12 4 5" xfId="26975"/>
    <cellStyle name="Procentowy 3 12 4 6" xfId="26976"/>
    <cellStyle name="Procentowy 3 12 4 7" xfId="26977"/>
    <cellStyle name="Procentowy 3 12 40" xfId="26978"/>
    <cellStyle name="Procentowy 3 12 41" xfId="26979"/>
    <cellStyle name="Procentowy 3 12 42" xfId="26980"/>
    <cellStyle name="Procentowy 3 12 43" xfId="26981"/>
    <cellStyle name="Procentowy 3 12 44" xfId="26982"/>
    <cellStyle name="Procentowy 3 12 45" xfId="26983"/>
    <cellStyle name="Procentowy 3 12 46" xfId="26984"/>
    <cellStyle name="Procentowy 3 12 47" xfId="26985"/>
    <cellStyle name="Procentowy 3 12 48" xfId="26986"/>
    <cellStyle name="Procentowy 3 12 49" xfId="26987"/>
    <cellStyle name="Procentowy 3 12 5" xfId="26988"/>
    <cellStyle name="Procentowy 3 12 5 2" xfId="26989"/>
    <cellStyle name="Procentowy 3 12 5 3" xfId="26990"/>
    <cellStyle name="Procentowy 3 12 5 4" xfId="26991"/>
    <cellStyle name="Procentowy 3 12 5 5" xfId="26992"/>
    <cellStyle name="Procentowy 3 12 5 6" xfId="26993"/>
    <cellStyle name="Procentowy 3 12 5 7" xfId="26994"/>
    <cellStyle name="Procentowy 3 12 50" xfId="26995"/>
    <cellStyle name="Procentowy 3 12 51" xfId="26996"/>
    <cellStyle name="Procentowy 3 12 52" xfId="26997"/>
    <cellStyle name="Procentowy 3 12 53" xfId="26998"/>
    <cellStyle name="Procentowy 3 12 54" xfId="26999"/>
    <cellStyle name="Procentowy 3 12 55" xfId="27000"/>
    <cellStyle name="Procentowy 3 12 56" xfId="27001"/>
    <cellStyle name="Procentowy 3 12 57" xfId="27002"/>
    <cellStyle name="Procentowy 3 12 58" xfId="27003"/>
    <cellStyle name="Procentowy 3 12 59" xfId="27004"/>
    <cellStyle name="Procentowy 3 12 6" xfId="27005"/>
    <cellStyle name="Procentowy 3 12 6 2" xfId="27006"/>
    <cellStyle name="Procentowy 3 12 60" xfId="27007"/>
    <cellStyle name="Procentowy 3 12 61" xfId="27008"/>
    <cellStyle name="Procentowy 3 12 62" xfId="27009"/>
    <cellStyle name="Procentowy 3 12 63" xfId="27010"/>
    <cellStyle name="Procentowy 3 12 64" xfId="27011"/>
    <cellStyle name="Procentowy 3 12 65" xfId="27012"/>
    <cellStyle name="Procentowy 3 12 66" xfId="27013"/>
    <cellStyle name="Procentowy 3 12 67" xfId="27014"/>
    <cellStyle name="Procentowy 3 12 68" xfId="27015"/>
    <cellStyle name="Procentowy 3 12 69" xfId="27016"/>
    <cellStyle name="Procentowy 3 12 7" xfId="27017"/>
    <cellStyle name="Procentowy 3 12 7 2" xfId="27018"/>
    <cellStyle name="Procentowy 3 12 70" xfId="27019"/>
    <cellStyle name="Procentowy 3 12 71" xfId="27020"/>
    <cellStyle name="Procentowy 3 12 72" xfId="27021"/>
    <cellStyle name="Procentowy 3 12 73" xfId="27022"/>
    <cellStyle name="Procentowy 3 12 74" xfId="27023"/>
    <cellStyle name="Procentowy 3 12 8" xfId="27024"/>
    <cellStyle name="Procentowy 3 12 8 2" xfId="27025"/>
    <cellStyle name="Procentowy 3 12 9" xfId="27026"/>
    <cellStyle name="Procentowy 3 12 9 2" xfId="27027"/>
    <cellStyle name="Procentowy 3 13" xfId="27028"/>
    <cellStyle name="Procentowy 3 13 10" xfId="27029"/>
    <cellStyle name="Procentowy 3 13 10 2" xfId="27030"/>
    <cellStyle name="Procentowy 3 13 11" xfId="27031"/>
    <cellStyle name="Procentowy 3 13 11 2" xfId="27032"/>
    <cellStyle name="Procentowy 3 13 12" xfId="27033"/>
    <cellStyle name="Procentowy 3 13 12 2" xfId="27034"/>
    <cellStyle name="Procentowy 3 13 13" xfId="27035"/>
    <cellStyle name="Procentowy 3 13 13 2" xfId="27036"/>
    <cellStyle name="Procentowy 3 13 14" xfId="27037"/>
    <cellStyle name="Procentowy 3 13 14 2" xfId="27038"/>
    <cellStyle name="Procentowy 3 13 15" xfId="27039"/>
    <cellStyle name="Procentowy 3 13 15 2" xfId="27040"/>
    <cellStyle name="Procentowy 3 13 16" xfId="27041"/>
    <cellStyle name="Procentowy 3 13 16 2" xfId="27042"/>
    <cellStyle name="Procentowy 3 13 17" xfId="27043"/>
    <cellStyle name="Procentowy 3 13 17 2" xfId="27044"/>
    <cellStyle name="Procentowy 3 13 18" xfId="27045"/>
    <cellStyle name="Procentowy 3 13 18 2" xfId="27046"/>
    <cellStyle name="Procentowy 3 13 19" xfId="27047"/>
    <cellStyle name="Procentowy 3 13 19 2" xfId="27048"/>
    <cellStyle name="Procentowy 3 13 2" xfId="27049"/>
    <cellStyle name="Procentowy 3 13 2 2" xfId="27050"/>
    <cellStyle name="Procentowy 3 13 2 3" xfId="27051"/>
    <cellStyle name="Procentowy 3 13 2 4" xfId="27052"/>
    <cellStyle name="Procentowy 3 13 2 5" xfId="27053"/>
    <cellStyle name="Procentowy 3 13 2 6" xfId="27054"/>
    <cellStyle name="Procentowy 3 13 2 7" xfId="27055"/>
    <cellStyle name="Procentowy 3 13 20" xfId="27056"/>
    <cellStyle name="Procentowy 3 13 20 2" xfId="27057"/>
    <cellStyle name="Procentowy 3 13 21" xfId="27058"/>
    <cellStyle name="Procentowy 3 13 21 2" xfId="27059"/>
    <cellStyle name="Procentowy 3 13 22" xfId="27060"/>
    <cellStyle name="Procentowy 3 13 22 2" xfId="27061"/>
    <cellStyle name="Procentowy 3 13 23" xfId="27062"/>
    <cellStyle name="Procentowy 3 13 23 2" xfId="27063"/>
    <cellStyle name="Procentowy 3 13 24" xfId="27064"/>
    <cellStyle name="Procentowy 3 13 24 2" xfId="27065"/>
    <cellStyle name="Procentowy 3 13 25" xfId="27066"/>
    <cellStyle name="Procentowy 3 13 25 2" xfId="27067"/>
    <cellStyle name="Procentowy 3 13 26" xfId="27068"/>
    <cellStyle name="Procentowy 3 13 26 2" xfId="27069"/>
    <cellStyle name="Procentowy 3 13 27" xfId="27070"/>
    <cellStyle name="Procentowy 3 13 27 2" xfId="27071"/>
    <cellStyle name="Procentowy 3 13 28" xfId="27072"/>
    <cellStyle name="Procentowy 3 13 28 2" xfId="27073"/>
    <cellStyle name="Procentowy 3 13 29" xfId="27074"/>
    <cellStyle name="Procentowy 3 13 29 2" xfId="27075"/>
    <cellStyle name="Procentowy 3 13 3" xfId="27076"/>
    <cellStyle name="Procentowy 3 13 3 2" xfId="27077"/>
    <cellStyle name="Procentowy 3 13 3 3" xfId="27078"/>
    <cellStyle name="Procentowy 3 13 3 4" xfId="27079"/>
    <cellStyle name="Procentowy 3 13 3 5" xfId="27080"/>
    <cellStyle name="Procentowy 3 13 3 6" xfId="27081"/>
    <cellStyle name="Procentowy 3 13 3 7" xfId="27082"/>
    <cellStyle name="Procentowy 3 13 30" xfId="27083"/>
    <cellStyle name="Procentowy 3 13 30 2" xfId="27084"/>
    <cellStyle name="Procentowy 3 13 31" xfId="27085"/>
    <cellStyle name="Procentowy 3 13 31 2" xfId="27086"/>
    <cellStyle name="Procentowy 3 13 32" xfId="27087"/>
    <cellStyle name="Procentowy 3 13 33" xfId="27088"/>
    <cellStyle name="Procentowy 3 13 34" xfId="27089"/>
    <cellStyle name="Procentowy 3 13 35" xfId="27090"/>
    <cellStyle name="Procentowy 3 13 36" xfId="27091"/>
    <cellStyle name="Procentowy 3 13 37" xfId="27092"/>
    <cellStyle name="Procentowy 3 13 38" xfId="27093"/>
    <cellStyle name="Procentowy 3 13 39" xfId="27094"/>
    <cellStyle name="Procentowy 3 13 4" xfId="27095"/>
    <cellStyle name="Procentowy 3 13 4 2" xfId="27096"/>
    <cellStyle name="Procentowy 3 13 4 3" xfId="27097"/>
    <cellStyle name="Procentowy 3 13 4 4" xfId="27098"/>
    <cellStyle name="Procentowy 3 13 4 5" xfId="27099"/>
    <cellStyle name="Procentowy 3 13 4 6" xfId="27100"/>
    <cellStyle name="Procentowy 3 13 4 7" xfId="27101"/>
    <cellStyle name="Procentowy 3 13 40" xfId="27102"/>
    <cellStyle name="Procentowy 3 13 41" xfId="27103"/>
    <cellStyle name="Procentowy 3 13 42" xfId="27104"/>
    <cellStyle name="Procentowy 3 13 43" xfId="27105"/>
    <cellStyle name="Procentowy 3 13 44" xfId="27106"/>
    <cellStyle name="Procentowy 3 13 45" xfId="27107"/>
    <cellStyle name="Procentowy 3 13 46" xfId="27108"/>
    <cellStyle name="Procentowy 3 13 47" xfId="27109"/>
    <cellStyle name="Procentowy 3 13 48" xfId="27110"/>
    <cellStyle name="Procentowy 3 13 49" xfId="27111"/>
    <cellStyle name="Procentowy 3 13 5" xfId="27112"/>
    <cellStyle name="Procentowy 3 13 5 2" xfId="27113"/>
    <cellStyle name="Procentowy 3 13 5 3" xfId="27114"/>
    <cellStyle name="Procentowy 3 13 5 4" xfId="27115"/>
    <cellStyle name="Procentowy 3 13 5 5" xfId="27116"/>
    <cellStyle name="Procentowy 3 13 5 6" xfId="27117"/>
    <cellStyle name="Procentowy 3 13 5 7" xfId="27118"/>
    <cellStyle name="Procentowy 3 13 50" xfId="27119"/>
    <cellStyle name="Procentowy 3 13 51" xfId="27120"/>
    <cellStyle name="Procentowy 3 13 52" xfId="27121"/>
    <cellStyle name="Procentowy 3 13 53" xfId="27122"/>
    <cellStyle name="Procentowy 3 13 54" xfId="27123"/>
    <cellStyle name="Procentowy 3 13 55" xfId="27124"/>
    <cellStyle name="Procentowy 3 13 56" xfId="27125"/>
    <cellStyle name="Procentowy 3 13 57" xfId="27126"/>
    <cellStyle name="Procentowy 3 13 58" xfId="27127"/>
    <cellStyle name="Procentowy 3 13 59" xfId="27128"/>
    <cellStyle name="Procentowy 3 13 6" xfId="27129"/>
    <cellStyle name="Procentowy 3 13 6 2" xfId="27130"/>
    <cellStyle name="Procentowy 3 13 60" xfId="27131"/>
    <cellStyle name="Procentowy 3 13 61" xfId="27132"/>
    <cellStyle name="Procentowy 3 13 62" xfId="27133"/>
    <cellStyle name="Procentowy 3 13 63" xfId="27134"/>
    <cellStyle name="Procentowy 3 13 64" xfId="27135"/>
    <cellStyle name="Procentowy 3 13 65" xfId="27136"/>
    <cellStyle name="Procentowy 3 13 66" xfId="27137"/>
    <cellStyle name="Procentowy 3 13 67" xfId="27138"/>
    <cellStyle name="Procentowy 3 13 68" xfId="27139"/>
    <cellStyle name="Procentowy 3 13 69" xfId="27140"/>
    <cellStyle name="Procentowy 3 13 7" xfId="27141"/>
    <cellStyle name="Procentowy 3 13 7 2" xfId="27142"/>
    <cellStyle name="Procentowy 3 13 70" xfId="27143"/>
    <cellStyle name="Procentowy 3 13 71" xfId="27144"/>
    <cellStyle name="Procentowy 3 13 72" xfId="27145"/>
    <cellStyle name="Procentowy 3 13 73" xfId="27146"/>
    <cellStyle name="Procentowy 3 13 74" xfId="27147"/>
    <cellStyle name="Procentowy 3 13 8" xfId="27148"/>
    <cellStyle name="Procentowy 3 13 8 2" xfId="27149"/>
    <cellStyle name="Procentowy 3 13 9" xfId="27150"/>
    <cellStyle name="Procentowy 3 13 9 2" xfId="27151"/>
    <cellStyle name="Procentowy 3 14" xfId="27152"/>
    <cellStyle name="Procentowy 3 14 10" xfId="27153"/>
    <cellStyle name="Procentowy 3 14 10 2" xfId="27154"/>
    <cellStyle name="Procentowy 3 14 11" xfId="27155"/>
    <cellStyle name="Procentowy 3 14 11 2" xfId="27156"/>
    <cellStyle name="Procentowy 3 14 12" xfId="27157"/>
    <cellStyle name="Procentowy 3 14 12 2" xfId="27158"/>
    <cellStyle name="Procentowy 3 14 13" xfId="27159"/>
    <cellStyle name="Procentowy 3 14 13 2" xfId="27160"/>
    <cellStyle name="Procentowy 3 14 14" xfId="27161"/>
    <cellStyle name="Procentowy 3 14 14 2" xfId="27162"/>
    <cellStyle name="Procentowy 3 14 15" xfId="27163"/>
    <cellStyle name="Procentowy 3 14 15 2" xfId="27164"/>
    <cellStyle name="Procentowy 3 14 16" xfId="27165"/>
    <cellStyle name="Procentowy 3 14 16 2" xfId="27166"/>
    <cellStyle name="Procentowy 3 14 17" xfId="27167"/>
    <cellStyle name="Procentowy 3 14 17 2" xfId="27168"/>
    <cellStyle name="Procentowy 3 14 18" xfId="27169"/>
    <cellStyle name="Procentowy 3 14 18 2" xfId="27170"/>
    <cellStyle name="Procentowy 3 14 19" xfId="27171"/>
    <cellStyle name="Procentowy 3 14 19 2" xfId="27172"/>
    <cellStyle name="Procentowy 3 14 2" xfId="27173"/>
    <cellStyle name="Procentowy 3 14 2 2" xfId="27174"/>
    <cellStyle name="Procentowy 3 14 2 3" xfId="27175"/>
    <cellStyle name="Procentowy 3 14 2 4" xfId="27176"/>
    <cellStyle name="Procentowy 3 14 2 5" xfId="27177"/>
    <cellStyle name="Procentowy 3 14 2 6" xfId="27178"/>
    <cellStyle name="Procentowy 3 14 2 7" xfId="27179"/>
    <cellStyle name="Procentowy 3 14 20" xfId="27180"/>
    <cellStyle name="Procentowy 3 14 20 2" xfId="27181"/>
    <cellStyle name="Procentowy 3 14 21" xfId="27182"/>
    <cellStyle name="Procentowy 3 14 21 2" xfId="27183"/>
    <cellStyle name="Procentowy 3 14 22" xfId="27184"/>
    <cellStyle name="Procentowy 3 14 22 2" xfId="27185"/>
    <cellStyle name="Procentowy 3 14 23" xfId="27186"/>
    <cellStyle name="Procentowy 3 14 23 2" xfId="27187"/>
    <cellStyle name="Procentowy 3 14 24" xfId="27188"/>
    <cellStyle name="Procentowy 3 14 24 2" xfId="27189"/>
    <cellStyle name="Procentowy 3 14 25" xfId="27190"/>
    <cellStyle name="Procentowy 3 14 25 2" xfId="27191"/>
    <cellStyle name="Procentowy 3 14 26" xfId="27192"/>
    <cellStyle name="Procentowy 3 14 26 2" xfId="27193"/>
    <cellStyle name="Procentowy 3 14 27" xfId="27194"/>
    <cellStyle name="Procentowy 3 14 27 2" xfId="27195"/>
    <cellStyle name="Procentowy 3 14 28" xfId="27196"/>
    <cellStyle name="Procentowy 3 14 28 2" xfId="27197"/>
    <cellStyle name="Procentowy 3 14 29" xfId="27198"/>
    <cellStyle name="Procentowy 3 14 29 2" xfId="27199"/>
    <cellStyle name="Procentowy 3 14 3" xfId="27200"/>
    <cellStyle name="Procentowy 3 14 3 2" xfId="27201"/>
    <cellStyle name="Procentowy 3 14 3 3" xfId="27202"/>
    <cellStyle name="Procentowy 3 14 3 4" xfId="27203"/>
    <cellStyle name="Procentowy 3 14 3 5" xfId="27204"/>
    <cellStyle name="Procentowy 3 14 3 6" xfId="27205"/>
    <cellStyle name="Procentowy 3 14 3 7" xfId="27206"/>
    <cellStyle name="Procentowy 3 14 30" xfId="27207"/>
    <cellStyle name="Procentowy 3 14 30 2" xfId="27208"/>
    <cellStyle name="Procentowy 3 14 31" xfId="27209"/>
    <cellStyle name="Procentowy 3 14 31 2" xfId="27210"/>
    <cellStyle name="Procentowy 3 14 32" xfId="27211"/>
    <cellStyle name="Procentowy 3 14 33" xfId="27212"/>
    <cellStyle name="Procentowy 3 14 34" xfId="27213"/>
    <cellStyle name="Procentowy 3 14 35" xfId="27214"/>
    <cellStyle name="Procentowy 3 14 36" xfId="27215"/>
    <cellStyle name="Procentowy 3 14 37" xfId="27216"/>
    <cellStyle name="Procentowy 3 14 38" xfId="27217"/>
    <cellStyle name="Procentowy 3 14 39" xfId="27218"/>
    <cellStyle name="Procentowy 3 14 4" xfId="27219"/>
    <cellStyle name="Procentowy 3 14 4 2" xfId="27220"/>
    <cellStyle name="Procentowy 3 14 4 3" xfId="27221"/>
    <cellStyle name="Procentowy 3 14 4 4" xfId="27222"/>
    <cellStyle name="Procentowy 3 14 4 5" xfId="27223"/>
    <cellStyle name="Procentowy 3 14 4 6" xfId="27224"/>
    <cellStyle name="Procentowy 3 14 4 7" xfId="27225"/>
    <cellStyle name="Procentowy 3 14 40" xfId="27226"/>
    <cellStyle name="Procentowy 3 14 41" xfId="27227"/>
    <cellStyle name="Procentowy 3 14 42" xfId="27228"/>
    <cellStyle name="Procentowy 3 14 43" xfId="27229"/>
    <cellStyle name="Procentowy 3 14 44" xfId="27230"/>
    <cellStyle name="Procentowy 3 14 45" xfId="27231"/>
    <cellStyle name="Procentowy 3 14 46" xfId="27232"/>
    <cellStyle name="Procentowy 3 14 47" xfId="27233"/>
    <cellStyle name="Procentowy 3 14 48" xfId="27234"/>
    <cellStyle name="Procentowy 3 14 49" xfId="27235"/>
    <cellStyle name="Procentowy 3 14 5" xfId="27236"/>
    <cellStyle name="Procentowy 3 14 5 2" xfId="27237"/>
    <cellStyle name="Procentowy 3 14 5 3" xfId="27238"/>
    <cellStyle name="Procentowy 3 14 5 4" xfId="27239"/>
    <cellStyle name="Procentowy 3 14 5 5" xfId="27240"/>
    <cellStyle name="Procentowy 3 14 5 6" xfId="27241"/>
    <cellStyle name="Procentowy 3 14 5 7" xfId="27242"/>
    <cellStyle name="Procentowy 3 14 50" xfId="27243"/>
    <cellStyle name="Procentowy 3 14 51" xfId="27244"/>
    <cellStyle name="Procentowy 3 14 52" xfId="27245"/>
    <cellStyle name="Procentowy 3 14 53" xfId="27246"/>
    <cellStyle name="Procentowy 3 14 54" xfId="27247"/>
    <cellStyle name="Procentowy 3 14 55" xfId="27248"/>
    <cellStyle name="Procentowy 3 14 56" xfId="27249"/>
    <cellStyle name="Procentowy 3 14 57" xfId="27250"/>
    <cellStyle name="Procentowy 3 14 58" xfId="27251"/>
    <cellStyle name="Procentowy 3 14 59" xfId="27252"/>
    <cellStyle name="Procentowy 3 14 6" xfId="27253"/>
    <cellStyle name="Procentowy 3 14 6 2" xfId="27254"/>
    <cellStyle name="Procentowy 3 14 60" xfId="27255"/>
    <cellStyle name="Procentowy 3 14 61" xfId="27256"/>
    <cellStyle name="Procentowy 3 14 62" xfId="27257"/>
    <cellStyle name="Procentowy 3 14 63" xfId="27258"/>
    <cellStyle name="Procentowy 3 14 64" xfId="27259"/>
    <cellStyle name="Procentowy 3 14 65" xfId="27260"/>
    <cellStyle name="Procentowy 3 14 66" xfId="27261"/>
    <cellStyle name="Procentowy 3 14 67" xfId="27262"/>
    <cellStyle name="Procentowy 3 14 68" xfId="27263"/>
    <cellStyle name="Procentowy 3 14 69" xfId="27264"/>
    <cellStyle name="Procentowy 3 14 7" xfId="27265"/>
    <cellStyle name="Procentowy 3 14 7 2" xfId="27266"/>
    <cellStyle name="Procentowy 3 14 70" xfId="27267"/>
    <cellStyle name="Procentowy 3 14 71" xfId="27268"/>
    <cellStyle name="Procentowy 3 14 72" xfId="27269"/>
    <cellStyle name="Procentowy 3 14 73" xfId="27270"/>
    <cellStyle name="Procentowy 3 14 74" xfId="27271"/>
    <cellStyle name="Procentowy 3 14 8" xfId="27272"/>
    <cellStyle name="Procentowy 3 14 8 2" xfId="27273"/>
    <cellStyle name="Procentowy 3 14 9" xfId="27274"/>
    <cellStyle name="Procentowy 3 14 9 2" xfId="27275"/>
    <cellStyle name="Procentowy 3 15" xfId="27276"/>
    <cellStyle name="Procentowy 3 15 10" xfId="27277"/>
    <cellStyle name="Procentowy 3 15 10 2" xfId="27278"/>
    <cellStyle name="Procentowy 3 15 11" xfId="27279"/>
    <cellStyle name="Procentowy 3 15 11 2" xfId="27280"/>
    <cellStyle name="Procentowy 3 15 12" xfId="27281"/>
    <cellStyle name="Procentowy 3 15 12 2" xfId="27282"/>
    <cellStyle name="Procentowy 3 15 13" xfId="27283"/>
    <cellStyle name="Procentowy 3 15 13 2" xfId="27284"/>
    <cellStyle name="Procentowy 3 15 14" xfId="27285"/>
    <cellStyle name="Procentowy 3 15 14 2" xfId="27286"/>
    <cellStyle name="Procentowy 3 15 15" xfId="27287"/>
    <cellStyle name="Procentowy 3 15 15 2" xfId="27288"/>
    <cellStyle name="Procentowy 3 15 16" xfId="27289"/>
    <cellStyle name="Procentowy 3 15 16 2" xfId="27290"/>
    <cellStyle name="Procentowy 3 15 17" xfId="27291"/>
    <cellStyle name="Procentowy 3 15 17 2" xfId="27292"/>
    <cellStyle name="Procentowy 3 15 18" xfId="27293"/>
    <cellStyle name="Procentowy 3 15 18 2" xfId="27294"/>
    <cellStyle name="Procentowy 3 15 19" xfId="27295"/>
    <cellStyle name="Procentowy 3 15 19 2" xfId="27296"/>
    <cellStyle name="Procentowy 3 15 2" xfId="27297"/>
    <cellStyle name="Procentowy 3 15 2 2" xfId="27298"/>
    <cellStyle name="Procentowy 3 15 2 3" xfId="27299"/>
    <cellStyle name="Procentowy 3 15 2 4" xfId="27300"/>
    <cellStyle name="Procentowy 3 15 2 5" xfId="27301"/>
    <cellStyle name="Procentowy 3 15 2 6" xfId="27302"/>
    <cellStyle name="Procentowy 3 15 2 7" xfId="27303"/>
    <cellStyle name="Procentowy 3 15 20" xfId="27304"/>
    <cellStyle name="Procentowy 3 15 20 2" xfId="27305"/>
    <cellStyle name="Procentowy 3 15 21" xfId="27306"/>
    <cellStyle name="Procentowy 3 15 21 2" xfId="27307"/>
    <cellStyle name="Procentowy 3 15 22" xfId="27308"/>
    <cellStyle name="Procentowy 3 15 22 2" xfId="27309"/>
    <cellStyle name="Procentowy 3 15 23" xfId="27310"/>
    <cellStyle name="Procentowy 3 15 23 2" xfId="27311"/>
    <cellStyle name="Procentowy 3 15 24" xfId="27312"/>
    <cellStyle name="Procentowy 3 15 24 2" xfId="27313"/>
    <cellStyle name="Procentowy 3 15 25" xfId="27314"/>
    <cellStyle name="Procentowy 3 15 25 2" xfId="27315"/>
    <cellStyle name="Procentowy 3 15 26" xfId="27316"/>
    <cellStyle name="Procentowy 3 15 26 2" xfId="27317"/>
    <cellStyle name="Procentowy 3 15 27" xfId="27318"/>
    <cellStyle name="Procentowy 3 15 27 2" xfId="27319"/>
    <cellStyle name="Procentowy 3 15 28" xfId="27320"/>
    <cellStyle name="Procentowy 3 15 28 2" xfId="27321"/>
    <cellStyle name="Procentowy 3 15 29" xfId="27322"/>
    <cellStyle name="Procentowy 3 15 29 2" xfId="27323"/>
    <cellStyle name="Procentowy 3 15 3" xfId="27324"/>
    <cellStyle name="Procentowy 3 15 3 2" xfId="27325"/>
    <cellStyle name="Procentowy 3 15 3 3" xfId="27326"/>
    <cellStyle name="Procentowy 3 15 3 4" xfId="27327"/>
    <cellStyle name="Procentowy 3 15 3 5" xfId="27328"/>
    <cellStyle name="Procentowy 3 15 3 6" xfId="27329"/>
    <cellStyle name="Procentowy 3 15 3 7" xfId="27330"/>
    <cellStyle name="Procentowy 3 15 30" xfId="27331"/>
    <cellStyle name="Procentowy 3 15 30 2" xfId="27332"/>
    <cellStyle name="Procentowy 3 15 31" xfId="27333"/>
    <cellStyle name="Procentowy 3 15 31 2" xfId="27334"/>
    <cellStyle name="Procentowy 3 15 32" xfId="27335"/>
    <cellStyle name="Procentowy 3 15 33" xfId="27336"/>
    <cellStyle name="Procentowy 3 15 34" xfId="27337"/>
    <cellStyle name="Procentowy 3 15 35" xfId="27338"/>
    <cellStyle name="Procentowy 3 15 36" xfId="27339"/>
    <cellStyle name="Procentowy 3 15 37" xfId="27340"/>
    <cellStyle name="Procentowy 3 15 38" xfId="27341"/>
    <cellStyle name="Procentowy 3 15 39" xfId="27342"/>
    <cellStyle name="Procentowy 3 15 4" xfId="27343"/>
    <cellStyle name="Procentowy 3 15 4 2" xfId="27344"/>
    <cellStyle name="Procentowy 3 15 4 3" xfId="27345"/>
    <cellStyle name="Procentowy 3 15 4 4" xfId="27346"/>
    <cellStyle name="Procentowy 3 15 4 5" xfId="27347"/>
    <cellStyle name="Procentowy 3 15 4 6" xfId="27348"/>
    <cellStyle name="Procentowy 3 15 4 7" xfId="27349"/>
    <cellStyle name="Procentowy 3 15 40" xfId="27350"/>
    <cellStyle name="Procentowy 3 15 41" xfId="27351"/>
    <cellStyle name="Procentowy 3 15 42" xfId="27352"/>
    <cellStyle name="Procentowy 3 15 43" xfId="27353"/>
    <cellStyle name="Procentowy 3 15 44" xfId="27354"/>
    <cellStyle name="Procentowy 3 15 45" xfId="27355"/>
    <cellStyle name="Procentowy 3 15 46" xfId="27356"/>
    <cellStyle name="Procentowy 3 15 47" xfId="27357"/>
    <cellStyle name="Procentowy 3 15 48" xfId="27358"/>
    <cellStyle name="Procentowy 3 15 49" xfId="27359"/>
    <cellStyle name="Procentowy 3 15 5" xfId="27360"/>
    <cellStyle name="Procentowy 3 15 5 2" xfId="27361"/>
    <cellStyle name="Procentowy 3 15 5 3" xfId="27362"/>
    <cellStyle name="Procentowy 3 15 5 4" xfId="27363"/>
    <cellStyle name="Procentowy 3 15 5 5" xfId="27364"/>
    <cellStyle name="Procentowy 3 15 5 6" xfId="27365"/>
    <cellStyle name="Procentowy 3 15 5 7" xfId="27366"/>
    <cellStyle name="Procentowy 3 15 50" xfId="27367"/>
    <cellStyle name="Procentowy 3 15 51" xfId="27368"/>
    <cellStyle name="Procentowy 3 15 52" xfId="27369"/>
    <cellStyle name="Procentowy 3 15 53" xfId="27370"/>
    <cellStyle name="Procentowy 3 15 54" xfId="27371"/>
    <cellStyle name="Procentowy 3 15 55" xfId="27372"/>
    <cellStyle name="Procentowy 3 15 56" xfId="27373"/>
    <cellStyle name="Procentowy 3 15 57" xfId="27374"/>
    <cellStyle name="Procentowy 3 15 58" xfId="27375"/>
    <cellStyle name="Procentowy 3 15 59" xfId="27376"/>
    <cellStyle name="Procentowy 3 15 6" xfId="27377"/>
    <cellStyle name="Procentowy 3 15 6 2" xfId="27378"/>
    <cellStyle name="Procentowy 3 15 60" xfId="27379"/>
    <cellStyle name="Procentowy 3 15 61" xfId="27380"/>
    <cellStyle name="Procentowy 3 15 62" xfId="27381"/>
    <cellStyle name="Procentowy 3 15 63" xfId="27382"/>
    <cellStyle name="Procentowy 3 15 64" xfId="27383"/>
    <cellStyle name="Procentowy 3 15 65" xfId="27384"/>
    <cellStyle name="Procentowy 3 15 66" xfId="27385"/>
    <cellStyle name="Procentowy 3 15 67" xfId="27386"/>
    <cellStyle name="Procentowy 3 15 68" xfId="27387"/>
    <cellStyle name="Procentowy 3 15 69" xfId="27388"/>
    <cellStyle name="Procentowy 3 15 7" xfId="27389"/>
    <cellStyle name="Procentowy 3 15 7 2" xfId="27390"/>
    <cellStyle name="Procentowy 3 15 70" xfId="27391"/>
    <cellStyle name="Procentowy 3 15 71" xfId="27392"/>
    <cellStyle name="Procentowy 3 15 72" xfId="27393"/>
    <cellStyle name="Procentowy 3 15 73" xfId="27394"/>
    <cellStyle name="Procentowy 3 15 74" xfId="27395"/>
    <cellStyle name="Procentowy 3 15 8" xfId="27396"/>
    <cellStyle name="Procentowy 3 15 8 2" xfId="27397"/>
    <cellStyle name="Procentowy 3 15 9" xfId="27398"/>
    <cellStyle name="Procentowy 3 15 9 2" xfId="27399"/>
    <cellStyle name="Procentowy 3 16" xfId="27400"/>
    <cellStyle name="Procentowy 3 16 10" xfId="27401"/>
    <cellStyle name="Procentowy 3 16 10 2" xfId="27402"/>
    <cellStyle name="Procentowy 3 16 11" xfId="27403"/>
    <cellStyle name="Procentowy 3 16 11 2" xfId="27404"/>
    <cellStyle name="Procentowy 3 16 12" xfId="27405"/>
    <cellStyle name="Procentowy 3 16 12 2" xfId="27406"/>
    <cellStyle name="Procentowy 3 16 13" xfId="27407"/>
    <cellStyle name="Procentowy 3 16 13 2" xfId="27408"/>
    <cellStyle name="Procentowy 3 16 14" xfId="27409"/>
    <cellStyle name="Procentowy 3 16 14 2" xfId="27410"/>
    <cellStyle name="Procentowy 3 16 15" xfId="27411"/>
    <cellStyle name="Procentowy 3 16 15 2" xfId="27412"/>
    <cellStyle name="Procentowy 3 16 16" xfId="27413"/>
    <cellStyle name="Procentowy 3 16 16 2" xfId="27414"/>
    <cellStyle name="Procentowy 3 16 17" xfId="27415"/>
    <cellStyle name="Procentowy 3 16 17 2" xfId="27416"/>
    <cellStyle name="Procentowy 3 16 18" xfId="27417"/>
    <cellStyle name="Procentowy 3 16 18 2" xfId="27418"/>
    <cellStyle name="Procentowy 3 16 19" xfId="27419"/>
    <cellStyle name="Procentowy 3 16 19 2" xfId="27420"/>
    <cellStyle name="Procentowy 3 16 2" xfId="27421"/>
    <cellStyle name="Procentowy 3 16 2 2" xfId="27422"/>
    <cellStyle name="Procentowy 3 16 2 3" xfId="27423"/>
    <cellStyle name="Procentowy 3 16 2 4" xfId="27424"/>
    <cellStyle name="Procentowy 3 16 2 5" xfId="27425"/>
    <cellStyle name="Procentowy 3 16 2 6" xfId="27426"/>
    <cellStyle name="Procentowy 3 16 2 7" xfId="27427"/>
    <cellStyle name="Procentowy 3 16 20" xfId="27428"/>
    <cellStyle name="Procentowy 3 16 20 2" xfId="27429"/>
    <cellStyle name="Procentowy 3 16 21" xfId="27430"/>
    <cellStyle name="Procentowy 3 16 21 2" xfId="27431"/>
    <cellStyle name="Procentowy 3 16 22" xfId="27432"/>
    <cellStyle name="Procentowy 3 16 22 2" xfId="27433"/>
    <cellStyle name="Procentowy 3 16 23" xfId="27434"/>
    <cellStyle name="Procentowy 3 16 23 2" xfId="27435"/>
    <cellStyle name="Procentowy 3 16 24" xfId="27436"/>
    <cellStyle name="Procentowy 3 16 24 2" xfId="27437"/>
    <cellStyle name="Procentowy 3 16 25" xfId="27438"/>
    <cellStyle name="Procentowy 3 16 25 2" xfId="27439"/>
    <cellStyle name="Procentowy 3 16 26" xfId="27440"/>
    <cellStyle name="Procentowy 3 16 26 2" xfId="27441"/>
    <cellStyle name="Procentowy 3 16 27" xfId="27442"/>
    <cellStyle name="Procentowy 3 16 27 2" xfId="27443"/>
    <cellStyle name="Procentowy 3 16 28" xfId="27444"/>
    <cellStyle name="Procentowy 3 16 28 2" xfId="27445"/>
    <cellStyle name="Procentowy 3 16 29" xfId="27446"/>
    <cellStyle name="Procentowy 3 16 29 2" xfId="27447"/>
    <cellStyle name="Procentowy 3 16 3" xfId="27448"/>
    <cellStyle name="Procentowy 3 16 3 2" xfId="27449"/>
    <cellStyle name="Procentowy 3 16 3 3" xfId="27450"/>
    <cellStyle name="Procentowy 3 16 3 4" xfId="27451"/>
    <cellStyle name="Procentowy 3 16 3 5" xfId="27452"/>
    <cellStyle name="Procentowy 3 16 3 6" xfId="27453"/>
    <cellStyle name="Procentowy 3 16 3 7" xfId="27454"/>
    <cellStyle name="Procentowy 3 16 30" xfId="27455"/>
    <cellStyle name="Procentowy 3 16 30 2" xfId="27456"/>
    <cellStyle name="Procentowy 3 16 31" xfId="27457"/>
    <cellStyle name="Procentowy 3 16 31 2" xfId="27458"/>
    <cellStyle name="Procentowy 3 16 32" xfId="27459"/>
    <cellStyle name="Procentowy 3 16 33" xfId="27460"/>
    <cellStyle name="Procentowy 3 16 34" xfId="27461"/>
    <cellStyle name="Procentowy 3 16 35" xfId="27462"/>
    <cellStyle name="Procentowy 3 16 36" xfId="27463"/>
    <cellStyle name="Procentowy 3 16 37" xfId="27464"/>
    <cellStyle name="Procentowy 3 16 38" xfId="27465"/>
    <cellStyle name="Procentowy 3 16 39" xfId="27466"/>
    <cellStyle name="Procentowy 3 16 4" xfId="27467"/>
    <cellStyle name="Procentowy 3 16 4 2" xfId="27468"/>
    <cellStyle name="Procentowy 3 16 4 3" xfId="27469"/>
    <cellStyle name="Procentowy 3 16 4 4" xfId="27470"/>
    <cellStyle name="Procentowy 3 16 4 5" xfId="27471"/>
    <cellStyle name="Procentowy 3 16 4 6" xfId="27472"/>
    <cellStyle name="Procentowy 3 16 4 7" xfId="27473"/>
    <cellStyle name="Procentowy 3 16 40" xfId="27474"/>
    <cellStyle name="Procentowy 3 16 41" xfId="27475"/>
    <cellStyle name="Procentowy 3 16 42" xfId="27476"/>
    <cellStyle name="Procentowy 3 16 43" xfId="27477"/>
    <cellStyle name="Procentowy 3 16 44" xfId="27478"/>
    <cellStyle name="Procentowy 3 16 45" xfId="27479"/>
    <cellStyle name="Procentowy 3 16 46" xfId="27480"/>
    <cellStyle name="Procentowy 3 16 47" xfId="27481"/>
    <cellStyle name="Procentowy 3 16 48" xfId="27482"/>
    <cellStyle name="Procentowy 3 16 49" xfId="27483"/>
    <cellStyle name="Procentowy 3 16 5" xfId="27484"/>
    <cellStyle name="Procentowy 3 16 5 2" xfId="27485"/>
    <cellStyle name="Procentowy 3 16 5 3" xfId="27486"/>
    <cellStyle name="Procentowy 3 16 5 4" xfId="27487"/>
    <cellStyle name="Procentowy 3 16 5 5" xfId="27488"/>
    <cellStyle name="Procentowy 3 16 5 6" xfId="27489"/>
    <cellStyle name="Procentowy 3 16 5 7" xfId="27490"/>
    <cellStyle name="Procentowy 3 16 50" xfId="27491"/>
    <cellStyle name="Procentowy 3 16 51" xfId="27492"/>
    <cellStyle name="Procentowy 3 16 52" xfId="27493"/>
    <cellStyle name="Procentowy 3 16 53" xfId="27494"/>
    <cellStyle name="Procentowy 3 16 54" xfId="27495"/>
    <cellStyle name="Procentowy 3 16 55" xfId="27496"/>
    <cellStyle name="Procentowy 3 16 56" xfId="27497"/>
    <cellStyle name="Procentowy 3 16 57" xfId="27498"/>
    <cellStyle name="Procentowy 3 16 58" xfId="27499"/>
    <cellStyle name="Procentowy 3 16 59" xfId="27500"/>
    <cellStyle name="Procentowy 3 16 6" xfId="27501"/>
    <cellStyle name="Procentowy 3 16 6 2" xfId="27502"/>
    <cellStyle name="Procentowy 3 16 60" xfId="27503"/>
    <cellStyle name="Procentowy 3 16 61" xfId="27504"/>
    <cellStyle name="Procentowy 3 16 62" xfId="27505"/>
    <cellStyle name="Procentowy 3 16 63" xfId="27506"/>
    <cellStyle name="Procentowy 3 16 64" xfId="27507"/>
    <cellStyle name="Procentowy 3 16 65" xfId="27508"/>
    <cellStyle name="Procentowy 3 16 66" xfId="27509"/>
    <cellStyle name="Procentowy 3 16 67" xfId="27510"/>
    <cellStyle name="Procentowy 3 16 68" xfId="27511"/>
    <cellStyle name="Procentowy 3 16 69" xfId="27512"/>
    <cellStyle name="Procentowy 3 16 7" xfId="27513"/>
    <cellStyle name="Procentowy 3 16 7 2" xfId="27514"/>
    <cellStyle name="Procentowy 3 16 70" xfId="27515"/>
    <cellStyle name="Procentowy 3 16 71" xfId="27516"/>
    <cellStyle name="Procentowy 3 16 72" xfId="27517"/>
    <cellStyle name="Procentowy 3 16 73" xfId="27518"/>
    <cellStyle name="Procentowy 3 16 74" xfId="27519"/>
    <cellStyle name="Procentowy 3 16 8" xfId="27520"/>
    <cellStyle name="Procentowy 3 16 8 2" xfId="27521"/>
    <cellStyle name="Procentowy 3 16 9" xfId="27522"/>
    <cellStyle name="Procentowy 3 16 9 2" xfId="27523"/>
    <cellStyle name="Procentowy 3 17" xfId="27524"/>
    <cellStyle name="Procentowy 3 17 10" xfId="27525"/>
    <cellStyle name="Procentowy 3 17 10 2" xfId="27526"/>
    <cellStyle name="Procentowy 3 17 11" xfId="27527"/>
    <cellStyle name="Procentowy 3 17 11 2" xfId="27528"/>
    <cellStyle name="Procentowy 3 17 12" xfId="27529"/>
    <cellStyle name="Procentowy 3 17 12 2" xfId="27530"/>
    <cellStyle name="Procentowy 3 17 13" xfId="27531"/>
    <cellStyle name="Procentowy 3 17 13 2" xfId="27532"/>
    <cellStyle name="Procentowy 3 17 14" xfId="27533"/>
    <cellStyle name="Procentowy 3 17 14 2" xfId="27534"/>
    <cellStyle name="Procentowy 3 17 15" xfId="27535"/>
    <cellStyle name="Procentowy 3 17 15 2" xfId="27536"/>
    <cellStyle name="Procentowy 3 17 16" xfId="27537"/>
    <cellStyle name="Procentowy 3 17 16 2" xfId="27538"/>
    <cellStyle name="Procentowy 3 17 17" xfId="27539"/>
    <cellStyle name="Procentowy 3 17 17 2" xfId="27540"/>
    <cellStyle name="Procentowy 3 17 18" xfId="27541"/>
    <cellStyle name="Procentowy 3 17 18 2" xfId="27542"/>
    <cellStyle name="Procentowy 3 17 19" xfId="27543"/>
    <cellStyle name="Procentowy 3 17 19 2" xfId="27544"/>
    <cellStyle name="Procentowy 3 17 2" xfId="27545"/>
    <cellStyle name="Procentowy 3 17 2 2" xfId="27546"/>
    <cellStyle name="Procentowy 3 17 2 3" xfId="27547"/>
    <cellStyle name="Procentowy 3 17 2 4" xfId="27548"/>
    <cellStyle name="Procentowy 3 17 2 5" xfId="27549"/>
    <cellStyle name="Procentowy 3 17 2 6" xfId="27550"/>
    <cellStyle name="Procentowy 3 17 2 7" xfId="27551"/>
    <cellStyle name="Procentowy 3 17 20" xfId="27552"/>
    <cellStyle name="Procentowy 3 17 20 2" xfId="27553"/>
    <cellStyle name="Procentowy 3 17 21" xfId="27554"/>
    <cellStyle name="Procentowy 3 17 21 2" xfId="27555"/>
    <cellStyle name="Procentowy 3 17 22" xfId="27556"/>
    <cellStyle name="Procentowy 3 17 22 2" xfId="27557"/>
    <cellStyle name="Procentowy 3 17 23" xfId="27558"/>
    <cellStyle name="Procentowy 3 17 23 2" xfId="27559"/>
    <cellStyle name="Procentowy 3 17 24" xfId="27560"/>
    <cellStyle name="Procentowy 3 17 24 2" xfId="27561"/>
    <cellStyle name="Procentowy 3 17 25" xfId="27562"/>
    <cellStyle name="Procentowy 3 17 25 2" xfId="27563"/>
    <cellStyle name="Procentowy 3 17 26" xfId="27564"/>
    <cellStyle name="Procentowy 3 17 26 2" xfId="27565"/>
    <cellStyle name="Procentowy 3 17 27" xfId="27566"/>
    <cellStyle name="Procentowy 3 17 27 2" xfId="27567"/>
    <cellStyle name="Procentowy 3 17 28" xfId="27568"/>
    <cellStyle name="Procentowy 3 17 28 2" xfId="27569"/>
    <cellStyle name="Procentowy 3 17 29" xfId="27570"/>
    <cellStyle name="Procentowy 3 17 29 2" xfId="27571"/>
    <cellStyle name="Procentowy 3 17 3" xfId="27572"/>
    <cellStyle name="Procentowy 3 17 3 2" xfId="27573"/>
    <cellStyle name="Procentowy 3 17 3 3" xfId="27574"/>
    <cellStyle name="Procentowy 3 17 3 4" xfId="27575"/>
    <cellStyle name="Procentowy 3 17 3 5" xfId="27576"/>
    <cellStyle name="Procentowy 3 17 3 6" xfId="27577"/>
    <cellStyle name="Procentowy 3 17 3 7" xfId="27578"/>
    <cellStyle name="Procentowy 3 17 30" xfId="27579"/>
    <cellStyle name="Procentowy 3 17 30 2" xfId="27580"/>
    <cellStyle name="Procentowy 3 17 31" xfId="27581"/>
    <cellStyle name="Procentowy 3 17 31 2" xfId="27582"/>
    <cellStyle name="Procentowy 3 17 32" xfId="27583"/>
    <cellStyle name="Procentowy 3 17 33" xfId="27584"/>
    <cellStyle name="Procentowy 3 17 34" xfId="27585"/>
    <cellStyle name="Procentowy 3 17 35" xfId="27586"/>
    <cellStyle name="Procentowy 3 17 36" xfId="27587"/>
    <cellStyle name="Procentowy 3 17 37" xfId="27588"/>
    <cellStyle name="Procentowy 3 17 38" xfId="27589"/>
    <cellStyle name="Procentowy 3 17 39" xfId="27590"/>
    <cellStyle name="Procentowy 3 17 4" xfId="27591"/>
    <cellStyle name="Procentowy 3 17 4 2" xfId="27592"/>
    <cellStyle name="Procentowy 3 17 4 3" xfId="27593"/>
    <cellStyle name="Procentowy 3 17 4 4" xfId="27594"/>
    <cellStyle name="Procentowy 3 17 4 5" xfId="27595"/>
    <cellStyle name="Procentowy 3 17 4 6" xfId="27596"/>
    <cellStyle name="Procentowy 3 17 4 7" xfId="27597"/>
    <cellStyle name="Procentowy 3 17 40" xfId="27598"/>
    <cellStyle name="Procentowy 3 17 41" xfId="27599"/>
    <cellStyle name="Procentowy 3 17 42" xfId="27600"/>
    <cellStyle name="Procentowy 3 17 43" xfId="27601"/>
    <cellStyle name="Procentowy 3 17 44" xfId="27602"/>
    <cellStyle name="Procentowy 3 17 45" xfId="27603"/>
    <cellStyle name="Procentowy 3 17 46" xfId="27604"/>
    <cellStyle name="Procentowy 3 17 47" xfId="27605"/>
    <cellStyle name="Procentowy 3 17 48" xfId="27606"/>
    <cellStyle name="Procentowy 3 17 49" xfId="27607"/>
    <cellStyle name="Procentowy 3 17 5" xfId="27608"/>
    <cellStyle name="Procentowy 3 17 5 2" xfId="27609"/>
    <cellStyle name="Procentowy 3 17 5 3" xfId="27610"/>
    <cellStyle name="Procentowy 3 17 5 4" xfId="27611"/>
    <cellStyle name="Procentowy 3 17 5 5" xfId="27612"/>
    <cellStyle name="Procentowy 3 17 5 6" xfId="27613"/>
    <cellStyle name="Procentowy 3 17 5 7" xfId="27614"/>
    <cellStyle name="Procentowy 3 17 50" xfId="27615"/>
    <cellStyle name="Procentowy 3 17 51" xfId="27616"/>
    <cellStyle name="Procentowy 3 17 52" xfId="27617"/>
    <cellStyle name="Procentowy 3 17 53" xfId="27618"/>
    <cellStyle name="Procentowy 3 17 54" xfId="27619"/>
    <cellStyle name="Procentowy 3 17 55" xfId="27620"/>
    <cellStyle name="Procentowy 3 17 56" xfId="27621"/>
    <cellStyle name="Procentowy 3 17 57" xfId="27622"/>
    <cellStyle name="Procentowy 3 17 58" xfId="27623"/>
    <cellStyle name="Procentowy 3 17 59" xfId="27624"/>
    <cellStyle name="Procentowy 3 17 6" xfId="27625"/>
    <cellStyle name="Procentowy 3 17 6 2" xfId="27626"/>
    <cellStyle name="Procentowy 3 17 60" xfId="27627"/>
    <cellStyle name="Procentowy 3 17 61" xfId="27628"/>
    <cellStyle name="Procentowy 3 17 62" xfId="27629"/>
    <cellStyle name="Procentowy 3 17 63" xfId="27630"/>
    <cellStyle name="Procentowy 3 17 64" xfId="27631"/>
    <cellStyle name="Procentowy 3 17 65" xfId="27632"/>
    <cellStyle name="Procentowy 3 17 66" xfId="27633"/>
    <cellStyle name="Procentowy 3 17 67" xfId="27634"/>
    <cellStyle name="Procentowy 3 17 68" xfId="27635"/>
    <cellStyle name="Procentowy 3 17 69" xfId="27636"/>
    <cellStyle name="Procentowy 3 17 7" xfId="27637"/>
    <cellStyle name="Procentowy 3 17 7 2" xfId="27638"/>
    <cellStyle name="Procentowy 3 17 70" xfId="27639"/>
    <cellStyle name="Procentowy 3 17 71" xfId="27640"/>
    <cellStyle name="Procentowy 3 17 72" xfId="27641"/>
    <cellStyle name="Procentowy 3 17 73" xfId="27642"/>
    <cellStyle name="Procentowy 3 17 74" xfId="27643"/>
    <cellStyle name="Procentowy 3 17 8" xfId="27644"/>
    <cellStyle name="Procentowy 3 17 8 2" xfId="27645"/>
    <cellStyle name="Procentowy 3 17 9" xfId="27646"/>
    <cellStyle name="Procentowy 3 17 9 2" xfId="27647"/>
    <cellStyle name="Procentowy 3 18" xfId="27648"/>
    <cellStyle name="Procentowy 3 18 10" xfId="27649"/>
    <cellStyle name="Procentowy 3 18 10 2" xfId="27650"/>
    <cellStyle name="Procentowy 3 18 11" xfId="27651"/>
    <cellStyle name="Procentowy 3 18 11 2" xfId="27652"/>
    <cellStyle name="Procentowy 3 18 12" xfId="27653"/>
    <cellStyle name="Procentowy 3 18 12 2" xfId="27654"/>
    <cellStyle name="Procentowy 3 18 13" xfId="27655"/>
    <cellStyle name="Procentowy 3 18 13 2" xfId="27656"/>
    <cellStyle name="Procentowy 3 18 14" xfId="27657"/>
    <cellStyle name="Procentowy 3 18 14 2" xfId="27658"/>
    <cellStyle name="Procentowy 3 18 15" xfId="27659"/>
    <cellStyle name="Procentowy 3 18 15 2" xfId="27660"/>
    <cellStyle name="Procentowy 3 18 16" xfId="27661"/>
    <cellStyle name="Procentowy 3 18 16 2" xfId="27662"/>
    <cellStyle name="Procentowy 3 18 17" xfId="27663"/>
    <cellStyle name="Procentowy 3 18 17 2" xfId="27664"/>
    <cellStyle name="Procentowy 3 18 18" xfId="27665"/>
    <cellStyle name="Procentowy 3 18 18 2" xfId="27666"/>
    <cellStyle name="Procentowy 3 18 19" xfId="27667"/>
    <cellStyle name="Procentowy 3 18 19 2" xfId="27668"/>
    <cellStyle name="Procentowy 3 18 2" xfId="27669"/>
    <cellStyle name="Procentowy 3 18 2 2" xfId="27670"/>
    <cellStyle name="Procentowy 3 18 2 3" xfId="27671"/>
    <cellStyle name="Procentowy 3 18 2 4" xfId="27672"/>
    <cellStyle name="Procentowy 3 18 2 5" xfId="27673"/>
    <cellStyle name="Procentowy 3 18 2 6" xfId="27674"/>
    <cellStyle name="Procentowy 3 18 2 7" xfId="27675"/>
    <cellStyle name="Procentowy 3 18 20" xfId="27676"/>
    <cellStyle name="Procentowy 3 18 20 2" xfId="27677"/>
    <cellStyle name="Procentowy 3 18 21" xfId="27678"/>
    <cellStyle name="Procentowy 3 18 21 2" xfId="27679"/>
    <cellStyle name="Procentowy 3 18 22" xfId="27680"/>
    <cellStyle name="Procentowy 3 18 22 2" xfId="27681"/>
    <cellStyle name="Procentowy 3 18 23" xfId="27682"/>
    <cellStyle name="Procentowy 3 18 23 2" xfId="27683"/>
    <cellStyle name="Procentowy 3 18 24" xfId="27684"/>
    <cellStyle name="Procentowy 3 18 24 2" xfId="27685"/>
    <cellStyle name="Procentowy 3 18 25" xfId="27686"/>
    <cellStyle name="Procentowy 3 18 25 2" xfId="27687"/>
    <cellStyle name="Procentowy 3 18 26" xfId="27688"/>
    <cellStyle name="Procentowy 3 18 26 2" xfId="27689"/>
    <cellStyle name="Procentowy 3 18 27" xfId="27690"/>
    <cellStyle name="Procentowy 3 18 27 2" xfId="27691"/>
    <cellStyle name="Procentowy 3 18 28" xfId="27692"/>
    <cellStyle name="Procentowy 3 18 28 2" xfId="27693"/>
    <cellStyle name="Procentowy 3 18 29" xfId="27694"/>
    <cellStyle name="Procentowy 3 18 29 2" xfId="27695"/>
    <cellStyle name="Procentowy 3 18 3" xfId="27696"/>
    <cellStyle name="Procentowy 3 18 3 2" xfId="27697"/>
    <cellStyle name="Procentowy 3 18 3 3" xfId="27698"/>
    <cellStyle name="Procentowy 3 18 3 4" xfId="27699"/>
    <cellStyle name="Procentowy 3 18 3 5" xfId="27700"/>
    <cellStyle name="Procentowy 3 18 3 6" xfId="27701"/>
    <cellStyle name="Procentowy 3 18 3 7" xfId="27702"/>
    <cellStyle name="Procentowy 3 18 30" xfId="27703"/>
    <cellStyle name="Procentowy 3 18 30 2" xfId="27704"/>
    <cellStyle name="Procentowy 3 18 31" xfId="27705"/>
    <cellStyle name="Procentowy 3 18 31 2" xfId="27706"/>
    <cellStyle name="Procentowy 3 18 32" xfId="27707"/>
    <cellStyle name="Procentowy 3 18 33" xfId="27708"/>
    <cellStyle name="Procentowy 3 18 34" xfId="27709"/>
    <cellStyle name="Procentowy 3 18 35" xfId="27710"/>
    <cellStyle name="Procentowy 3 18 36" xfId="27711"/>
    <cellStyle name="Procentowy 3 18 37" xfId="27712"/>
    <cellStyle name="Procentowy 3 18 38" xfId="27713"/>
    <cellStyle name="Procentowy 3 18 39" xfId="27714"/>
    <cellStyle name="Procentowy 3 18 4" xfId="27715"/>
    <cellStyle name="Procentowy 3 18 4 2" xfId="27716"/>
    <cellStyle name="Procentowy 3 18 4 3" xfId="27717"/>
    <cellStyle name="Procentowy 3 18 4 4" xfId="27718"/>
    <cellStyle name="Procentowy 3 18 4 5" xfId="27719"/>
    <cellStyle name="Procentowy 3 18 4 6" xfId="27720"/>
    <cellStyle name="Procentowy 3 18 4 7" xfId="27721"/>
    <cellStyle name="Procentowy 3 18 40" xfId="27722"/>
    <cellStyle name="Procentowy 3 18 41" xfId="27723"/>
    <cellStyle name="Procentowy 3 18 42" xfId="27724"/>
    <cellStyle name="Procentowy 3 18 43" xfId="27725"/>
    <cellStyle name="Procentowy 3 18 44" xfId="27726"/>
    <cellStyle name="Procentowy 3 18 45" xfId="27727"/>
    <cellStyle name="Procentowy 3 18 46" xfId="27728"/>
    <cellStyle name="Procentowy 3 18 47" xfId="27729"/>
    <cellStyle name="Procentowy 3 18 48" xfId="27730"/>
    <cellStyle name="Procentowy 3 18 49" xfId="27731"/>
    <cellStyle name="Procentowy 3 18 5" xfId="27732"/>
    <cellStyle name="Procentowy 3 18 5 2" xfId="27733"/>
    <cellStyle name="Procentowy 3 18 5 3" xfId="27734"/>
    <cellStyle name="Procentowy 3 18 5 4" xfId="27735"/>
    <cellStyle name="Procentowy 3 18 5 5" xfId="27736"/>
    <cellStyle name="Procentowy 3 18 5 6" xfId="27737"/>
    <cellStyle name="Procentowy 3 18 5 7" xfId="27738"/>
    <cellStyle name="Procentowy 3 18 50" xfId="27739"/>
    <cellStyle name="Procentowy 3 18 51" xfId="27740"/>
    <cellStyle name="Procentowy 3 18 52" xfId="27741"/>
    <cellStyle name="Procentowy 3 18 53" xfId="27742"/>
    <cellStyle name="Procentowy 3 18 54" xfId="27743"/>
    <cellStyle name="Procentowy 3 18 55" xfId="27744"/>
    <cellStyle name="Procentowy 3 18 56" xfId="27745"/>
    <cellStyle name="Procentowy 3 18 57" xfId="27746"/>
    <cellStyle name="Procentowy 3 18 58" xfId="27747"/>
    <cellStyle name="Procentowy 3 18 59" xfId="27748"/>
    <cellStyle name="Procentowy 3 18 6" xfId="27749"/>
    <cellStyle name="Procentowy 3 18 6 2" xfId="27750"/>
    <cellStyle name="Procentowy 3 18 60" xfId="27751"/>
    <cellStyle name="Procentowy 3 18 61" xfId="27752"/>
    <cellStyle name="Procentowy 3 18 62" xfId="27753"/>
    <cellStyle name="Procentowy 3 18 63" xfId="27754"/>
    <cellStyle name="Procentowy 3 18 64" xfId="27755"/>
    <cellStyle name="Procentowy 3 18 65" xfId="27756"/>
    <cellStyle name="Procentowy 3 18 66" xfId="27757"/>
    <cellStyle name="Procentowy 3 18 67" xfId="27758"/>
    <cellStyle name="Procentowy 3 18 68" xfId="27759"/>
    <cellStyle name="Procentowy 3 18 69" xfId="27760"/>
    <cellStyle name="Procentowy 3 18 7" xfId="27761"/>
    <cellStyle name="Procentowy 3 18 7 2" xfId="27762"/>
    <cellStyle name="Procentowy 3 18 70" xfId="27763"/>
    <cellStyle name="Procentowy 3 18 71" xfId="27764"/>
    <cellStyle name="Procentowy 3 18 72" xfId="27765"/>
    <cellStyle name="Procentowy 3 18 73" xfId="27766"/>
    <cellStyle name="Procentowy 3 18 74" xfId="27767"/>
    <cellStyle name="Procentowy 3 18 8" xfId="27768"/>
    <cellStyle name="Procentowy 3 18 8 2" xfId="27769"/>
    <cellStyle name="Procentowy 3 18 9" xfId="27770"/>
    <cellStyle name="Procentowy 3 18 9 2" xfId="27771"/>
    <cellStyle name="Procentowy 3 19" xfId="27772"/>
    <cellStyle name="Procentowy 3 19 10" xfId="27773"/>
    <cellStyle name="Procentowy 3 19 10 2" xfId="27774"/>
    <cellStyle name="Procentowy 3 19 11" xfId="27775"/>
    <cellStyle name="Procentowy 3 19 11 2" xfId="27776"/>
    <cellStyle name="Procentowy 3 19 12" xfId="27777"/>
    <cellStyle name="Procentowy 3 19 12 2" xfId="27778"/>
    <cellStyle name="Procentowy 3 19 13" xfId="27779"/>
    <cellStyle name="Procentowy 3 19 13 2" xfId="27780"/>
    <cellStyle name="Procentowy 3 19 14" xfId="27781"/>
    <cellStyle name="Procentowy 3 19 14 2" xfId="27782"/>
    <cellStyle name="Procentowy 3 19 15" xfId="27783"/>
    <cellStyle name="Procentowy 3 19 15 2" xfId="27784"/>
    <cellStyle name="Procentowy 3 19 16" xfId="27785"/>
    <cellStyle name="Procentowy 3 19 16 2" xfId="27786"/>
    <cellStyle name="Procentowy 3 19 17" xfId="27787"/>
    <cellStyle name="Procentowy 3 19 17 2" xfId="27788"/>
    <cellStyle name="Procentowy 3 19 18" xfId="27789"/>
    <cellStyle name="Procentowy 3 19 18 2" xfId="27790"/>
    <cellStyle name="Procentowy 3 19 19" xfId="27791"/>
    <cellStyle name="Procentowy 3 19 19 2" xfId="27792"/>
    <cellStyle name="Procentowy 3 19 2" xfId="27793"/>
    <cellStyle name="Procentowy 3 19 2 2" xfId="27794"/>
    <cellStyle name="Procentowy 3 19 2 3" xfId="27795"/>
    <cellStyle name="Procentowy 3 19 2 4" xfId="27796"/>
    <cellStyle name="Procentowy 3 19 2 5" xfId="27797"/>
    <cellStyle name="Procentowy 3 19 2 6" xfId="27798"/>
    <cellStyle name="Procentowy 3 19 2 7" xfId="27799"/>
    <cellStyle name="Procentowy 3 19 20" xfId="27800"/>
    <cellStyle name="Procentowy 3 19 20 2" xfId="27801"/>
    <cellStyle name="Procentowy 3 19 21" xfId="27802"/>
    <cellStyle name="Procentowy 3 19 21 2" xfId="27803"/>
    <cellStyle name="Procentowy 3 19 22" xfId="27804"/>
    <cellStyle name="Procentowy 3 19 22 2" xfId="27805"/>
    <cellStyle name="Procentowy 3 19 23" xfId="27806"/>
    <cellStyle name="Procentowy 3 19 23 2" xfId="27807"/>
    <cellStyle name="Procentowy 3 19 24" xfId="27808"/>
    <cellStyle name="Procentowy 3 19 24 2" xfId="27809"/>
    <cellStyle name="Procentowy 3 19 25" xfId="27810"/>
    <cellStyle name="Procentowy 3 19 25 2" xfId="27811"/>
    <cellStyle name="Procentowy 3 19 26" xfId="27812"/>
    <cellStyle name="Procentowy 3 19 26 2" xfId="27813"/>
    <cellStyle name="Procentowy 3 19 27" xfId="27814"/>
    <cellStyle name="Procentowy 3 19 27 2" xfId="27815"/>
    <cellStyle name="Procentowy 3 19 28" xfId="27816"/>
    <cellStyle name="Procentowy 3 19 28 2" xfId="27817"/>
    <cellStyle name="Procentowy 3 19 29" xfId="27818"/>
    <cellStyle name="Procentowy 3 19 29 2" xfId="27819"/>
    <cellStyle name="Procentowy 3 19 3" xfId="27820"/>
    <cellStyle name="Procentowy 3 19 3 2" xfId="27821"/>
    <cellStyle name="Procentowy 3 19 3 3" xfId="27822"/>
    <cellStyle name="Procentowy 3 19 3 4" xfId="27823"/>
    <cellStyle name="Procentowy 3 19 3 5" xfId="27824"/>
    <cellStyle name="Procentowy 3 19 3 6" xfId="27825"/>
    <cellStyle name="Procentowy 3 19 3 7" xfId="27826"/>
    <cellStyle name="Procentowy 3 19 30" xfId="27827"/>
    <cellStyle name="Procentowy 3 19 30 2" xfId="27828"/>
    <cellStyle name="Procentowy 3 19 31" xfId="27829"/>
    <cellStyle name="Procentowy 3 19 31 2" xfId="27830"/>
    <cellStyle name="Procentowy 3 19 32" xfId="27831"/>
    <cellStyle name="Procentowy 3 19 33" xfId="27832"/>
    <cellStyle name="Procentowy 3 19 34" xfId="27833"/>
    <cellStyle name="Procentowy 3 19 35" xfId="27834"/>
    <cellStyle name="Procentowy 3 19 36" xfId="27835"/>
    <cellStyle name="Procentowy 3 19 37" xfId="27836"/>
    <cellStyle name="Procentowy 3 19 38" xfId="27837"/>
    <cellStyle name="Procentowy 3 19 39" xfId="27838"/>
    <cellStyle name="Procentowy 3 19 4" xfId="27839"/>
    <cellStyle name="Procentowy 3 19 4 2" xfId="27840"/>
    <cellStyle name="Procentowy 3 19 4 3" xfId="27841"/>
    <cellStyle name="Procentowy 3 19 4 4" xfId="27842"/>
    <cellStyle name="Procentowy 3 19 4 5" xfId="27843"/>
    <cellStyle name="Procentowy 3 19 4 6" xfId="27844"/>
    <cellStyle name="Procentowy 3 19 4 7" xfId="27845"/>
    <cellStyle name="Procentowy 3 19 40" xfId="27846"/>
    <cellStyle name="Procentowy 3 19 41" xfId="27847"/>
    <cellStyle name="Procentowy 3 19 42" xfId="27848"/>
    <cellStyle name="Procentowy 3 19 43" xfId="27849"/>
    <cellStyle name="Procentowy 3 19 44" xfId="27850"/>
    <cellStyle name="Procentowy 3 19 45" xfId="27851"/>
    <cellStyle name="Procentowy 3 19 46" xfId="27852"/>
    <cellStyle name="Procentowy 3 19 47" xfId="27853"/>
    <cellStyle name="Procentowy 3 19 48" xfId="27854"/>
    <cellStyle name="Procentowy 3 19 49" xfId="27855"/>
    <cellStyle name="Procentowy 3 19 5" xfId="27856"/>
    <cellStyle name="Procentowy 3 19 5 2" xfId="27857"/>
    <cellStyle name="Procentowy 3 19 5 3" xfId="27858"/>
    <cellStyle name="Procentowy 3 19 5 4" xfId="27859"/>
    <cellStyle name="Procentowy 3 19 5 5" xfId="27860"/>
    <cellStyle name="Procentowy 3 19 5 6" xfId="27861"/>
    <cellStyle name="Procentowy 3 19 5 7" xfId="27862"/>
    <cellStyle name="Procentowy 3 19 50" xfId="27863"/>
    <cellStyle name="Procentowy 3 19 51" xfId="27864"/>
    <cellStyle name="Procentowy 3 19 52" xfId="27865"/>
    <cellStyle name="Procentowy 3 19 53" xfId="27866"/>
    <cellStyle name="Procentowy 3 19 54" xfId="27867"/>
    <cellStyle name="Procentowy 3 19 55" xfId="27868"/>
    <cellStyle name="Procentowy 3 19 56" xfId="27869"/>
    <cellStyle name="Procentowy 3 19 57" xfId="27870"/>
    <cellStyle name="Procentowy 3 19 58" xfId="27871"/>
    <cellStyle name="Procentowy 3 19 59" xfId="27872"/>
    <cellStyle name="Procentowy 3 19 6" xfId="27873"/>
    <cellStyle name="Procentowy 3 19 6 2" xfId="27874"/>
    <cellStyle name="Procentowy 3 19 60" xfId="27875"/>
    <cellStyle name="Procentowy 3 19 61" xfId="27876"/>
    <cellStyle name="Procentowy 3 19 62" xfId="27877"/>
    <cellStyle name="Procentowy 3 19 63" xfId="27878"/>
    <cellStyle name="Procentowy 3 19 64" xfId="27879"/>
    <cellStyle name="Procentowy 3 19 65" xfId="27880"/>
    <cellStyle name="Procentowy 3 19 66" xfId="27881"/>
    <cellStyle name="Procentowy 3 19 67" xfId="27882"/>
    <cellStyle name="Procentowy 3 19 68" xfId="27883"/>
    <cellStyle name="Procentowy 3 19 69" xfId="27884"/>
    <cellStyle name="Procentowy 3 19 7" xfId="27885"/>
    <cellStyle name="Procentowy 3 19 7 2" xfId="27886"/>
    <cellStyle name="Procentowy 3 19 70" xfId="27887"/>
    <cellStyle name="Procentowy 3 19 71" xfId="27888"/>
    <cellStyle name="Procentowy 3 19 72" xfId="27889"/>
    <cellStyle name="Procentowy 3 19 73" xfId="27890"/>
    <cellStyle name="Procentowy 3 19 74" xfId="27891"/>
    <cellStyle name="Procentowy 3 19 8" xfId="27892"/>
    <cellStyle name="Procentowy 3 19 8 2" xfId="27893"/>
    <cellStyle name="Procentowy 3 19 9" xfId="27894"/>
    <cellStyle name="Procentowy 3 19 9 2" xfId="27895"/>
    <cellStyle name="Procentowy 3 2" xfId="27896"/>
    <cellStyle name="Procentowy 3 2 10" xfId="27897"/>
    <cellStyle name="Procentowy 3 2 10 2" xfId="27898"/>
    <cellStyle name="Procentowy 3 2 11" xfId="27899"/>
    <cellStyle name="Procentowy 3 2 11 2" xfId="27900"/>
    <cellStyle name="Procentowy 3 2 12" xfId="27901"/>
    <cellStyle name="Procentowy 3 2 12 2" xfId="27902"/>
    <cellStyle name="Procentowy 3 2 13" xfId="27903"/>
    <cellStyle name="Procentowy 3 2 13 2" xfId="27904"/>
    <cellStyle name="Procentowy 3 2 14" xfId="27905"/>
    <cellStyle name="Procentowy 3 2 14 2" xfId="27906"/>
    <cellStyle name="Procentowy 3 2 15" xfId="27907"/>
    <cellStyle name="Procentowy 3 2 15 2" xfId="27908"/>
    <cellStyle name="Procentowy 3 2 16" xfId="27909"/>
    <cellStyle name="Procentowy 3 2 16 2" xfId="27910"/>
    <cellStyle name="Procentowy 3 2 17" xfId="27911"/>
    <cellStyle name="Procentowy 3 2 17 2" xfId="27912"/>
    <cellStyle name="Procentowy 3 2 18" xfId="27913"/>
    <cellStyle name="Procentowy 3 2 18 2" xfId="27914"/>
    <cellStyle name="Procentowy 3 2 19" xfId="27915"/>
    <cellStyle name="Procentowy 3 2 19 2" xfId="27916"/>
    <cellStyle name="Procentowy 3 2 2" xfId="27917"/>
    <cellStyle name="Procentowy 3 2 2 2" xfId="27918"/>
    <cellStyle name="Procentowy 3 2 2 2 2" xfId="27919"/>
    <cellStyle name="Procentowy 3 2 2 3" xfId="27920"/>
    <cellStyle name="Procentowy 3 2 2 4" xfId="27921"/>
    <cellStyle name="Procentowy 3 2 2 5" xfId="27922"/>
    <cellStyle name="Procentowy 3 2 2 6" xfId="27923"/>
    <cellStyle name="Procentowy 3 2 2 7" xfId="27924"/>
    <cellStyle name="Procentowy 3 2 2 8" xfId="27925"/>
    <cellStyle name="Procentowy 3 2 20" xfId="27926"/>
    <cellStyle name="Procentowy 3 2 20 2" xfId="27927"/>
    <cellStyle name="Procentowy 3 2 21" xfId="27928"/>
    <cellStyle name="Procentowy 3 2 21 2" xfId="27929"/>
    <cellStyle name="Procentowy 3 2 22" xfId="27930"/>
    <cellStyle name="Procentowy 3 2 22 2" xfId="27931"/>
    <cellStyle name="Procentowy 3 2 23" xfId="27932"/>
    <cellStyle name="Procentowy 3 2 23 2" xfId="27933"/>
    <cellStyle name="Procentowy 3 2 24" xfId="27934"/>
    <cellStyle name="Procentowy 3 2 24 2" xfId="27935"/>
    <cellStyle name="Procentowy 3 2 25" xfId="27936"/>
    <cellStyle name="Procentowy 3 2 25 2" xfId="27937"/>
    <cellStyle name="Procentowy 3 2 26" xfId="27938"/>
    <cellStyle name="Procentowy 3 2 26 2" xfId="27939"/>
    <cellStyle name="Procentowy 3 2 27" xfId="27940"/>
    <cellStyle name="Procentowy 3 2 27 2" xfId="27941"/>
    <cellStyle name="Procentowy 3 2 28" xfId="27942"/>
    <cellStyle name="Procentowy 3 2 28 2" xfId="27943"/>
    <cellStyle name="Procentowy 3 2 29" xfId="27944"/>
    <cellStyle name="Procentowy 3 2 29 2" xfId="27945"/>
    <cellStyle name="Procentowy 3 2 3" xfId="27946"/>
    <cellStyle name="Procentowy 3 2 3 2" xfId="27947"/>
    <cellStyle name="Procentowy 3 2 3 2 2" xfId="27948"/>
    <cellStyle name="Procentowy 3 2 3 3" xfId="27949"/>
    <cellStyle name="Procentowy 3 2 3 4" xfId="27950"/>
    <cellStyle name="Procentowy 3 2 3 5" xfId="27951"/>
    <cellStyle name="Procentowy 3 2 3 6" xfId="27952"/>
    <cellStyle name="Procentowy 3 2 3 7" xfId="27953"/>
    <cellStyle name="Procentowy 3 2 3 8" xfId="27954"/>
    <cellStyle name="Procentowy 3 2 30" xfId="27955"/>
    <cellStyle name="Procentowy 3 2 30 2" xfId="27956"/>
    <cellStyle name="Procentowy 3 2 31" xfId="27957"/>
    <cellStyle name="Procentowy 3 2 31 2" xfId="27958"/>
    <cellStyle name="Procentowy 3 2 32" xfId="27959"/>
    <cellStyle name="Procentowy 3 2 33" xfId="27960"/>
    <cellStyle name="Procentowy 3 2 34" xfId="27961"/>
    <cellStyle name="Procentowy 3 2 35" xfId="27962"/>
    <cellStyle name="Procentowy 3 2 36" xfId="27963"/>
    <cellStyle name="Procentowy 3 2 37" xfId="27964"/>
    <cellStyle name="Procentowy 3 2 38" xfId="27965"/>
    <cellStyle name="Procentowy 3 2 39" xfId="27966"/>
    <cellStyle name="Procentowy 3 2 4" xfId="27967"/>
    <cellStyle name="Procentowy 3 2 4 2" xfId="27968"/>
    <cellStyle name="Procentowy 3 2 4 2 2" xfId="27969"/>
    <cellStyle name="Procentowy 3 2 4 3" xfId="27970"/>
    <cellStyle name="Procentowy 3 2 4 4" xfId="27971"/>
    <cellStyle name="Procentowy 3 2 4 5" xfId="27972"/>
    <cellStyle name="Procentowy 3 2 4 6" xfId="27973"/>
    <cellStyle name="Procentowy 3 2 4 7" xfId="27974"/>
    <cellStyle name="Procentowy 3 2 4 8" xfId="27975"/>
    <cellStyle name="Procentowy 3 2 40" xfId="27976"/>
    <cellStyle name="Procentowy 3 2 41" xfId="27977"/>
    <cellStyle name="Procentowy 3 2 42" xfId="27978"/>
    <cellStyle name="Procentowy 3 2 43" xfId="27979"/>
    <cellStyle name="Procentowy 3 2 44" xfId="27980"/>
    <cellStyle name="Procentowy 3 2 45" xfId="27981"/>
    <cellStyle name="Procentowy 3 2 46" xfId="27982"/>
    <cellStyle name="Procentowy 3 2 47" xfId="27983"/>
    <cellStyle name="Procentowy 3 2 48" xfId="27984"/>
    <cellStyle name="Procentowy 3 2 49" xfId="27985"/>
    <cellStyle name="Procentowy 3 2 5" xfId="27986"/>
    <cellStyle name="Procentowy 3 2 5 2" xfId="27987"/>
    <cellStyle name="Procentowy 3 2 5 2 2" xfId="27988"/>
    <cellStyle name="Procentowy 3 2 5 3" xfId="27989"/>
    <cellStyle name="Procentowy 3 2 5 4" xfId="27990"/>
    <cellStyle name="Procentowy 3 2 5 5" xfId="27991"/>
    <cellStyle name="Procentowy 3 2 5 6" xfId="27992"/>
    <cellStyle name="Procentowy 3 2 5 7" xfId="27993"/>
    <cellStyle name="Procentowy 3 2 5 8" xfId="27994"/>
    <cellStyle name="Procentowy 3 2 50" xfId="27995"/>
    <cellStyle name="Procentowy 3 2 51" xfId="27996"/>
    <cellStyle name="Procentowy 3 2 52" xfId="27997"/>
    <cellStyle name="Procentowy 3 2 53" xfId="27998"/>
    <cellStyle name="Procentowy 3 2 54" xfId="27999"/>
    <cellStyle name="Procentowy 3 2 55" xfId="28000"/>
    <cellStyle name="Procentowy 3 2 56" xfId="28001"/>
    <cellStyle name="Procentowy 3 2 57" xfId="28002"/>
    <cellStyle name="Procentowy 3 2 58" xfId="28003"/>
    <cellStyle name="Procentowy 3 2 59" xfId="28004"/>
    <cellStyle name="Procentowy 3 2 6" xfId="28005"/>
    <cellStyle name="Procentowy 3 2 6 2" xfId="28006"/>
    <cellStyle name="Procentowy 3 2 6 3" xfId="28007"/>
    <cellStyle name="Procentowy 3 2 60" xfId="28008"/>
    <cellStyle name="Procentowy 3 2 61" xfId="28009"/>
    <cellStyle name="Procentowy 3 2 62" xfId="28010"/>
    <cellStyle name="Procentowy 3 2 63" xfId="28011"/>
    <cellStyle name="Procentowy 3 2 64" xfId="28012"/>
    <cellStyle name="Procentowy 3 2 65" xfId="28013"/>
    <cellStyle name="Procentowy 3 2 66" xfId="28014"/>
    <cellStyle name="Procentowy 3 2 67" xfId="28015"/>
    <cellStyle name="Procentowy 3 2 68" xfId="28016"/>
    <cellStyle name="Procentowy 3 2 69" xfId="28017"/>
    <cellStyle name="Procentowy 3 2 7" xfId="28018"/>
    <cellStyle name="Procentowy 3 2 7 2" xfId="28019"/>
    <cellStyle name="Procentowy 3 2 70" xfId="28020"/>
    <cellStyle name="Procentowy 3 2 71" xfId="28021"/>
    <cellStyle name="Procentowy 3 2 72" xfId="28022"/>
    <cellStyle name="Procentowy 3 2 73" xfId="28023"/>
    <cellStyle name="Procentowy 3 2 74" xfId="28024"/>
    <cellStyle name="Procentowy 3 2 75" xfId="28025"/>
    <cellStyle name="Procentowy 3 2 8" xfId="28026"/>
    <cellStyle name="Procentowy 3 2 8 2" xfId="28027"/>
    <cellStyle name="Procentowy 3 2 9" xfId="28028"/>
    <cellStyle name="Procentowy 3 2 9 2" xfId="28029"/>
    <cellStyle name="Procentowy 3 20" xfId="28030"/>
    <cellStyle name="Procentowy 3 20 10" xfId="28031"/>
    <cellStyle name="Procentowy 3 20 10 2" xfId="28032"/>
    <cellStyle name="Procentowy 3 20 11" xfId="28033"/>
    <cellStyle name="Procentowy 3 20 11 2" xfId="28034"/>
    <cellStyle name="Procentowy 3 20 12" xfId="28035"/>
    <cellStyle name="Procentowy 3 20 12 2" xfId="28036"/>
    <cellStyle name="Procentowy 3 20 13" xfId="28037"/>
    <cellStyle name="Procentowy 3 20 13 2" xfId="28038"/>
    <cellStyle name="Procentowy 3 20 14" xfId="28039"/>
    <cellStyle name="Procentowy 3 20 14 2" xfId="28040"/>
    <cellStyle name="Procentowy 3 20 15" xfId="28041"/>
    <cellStyle name="Procentowy 3 20 15 2" xfId="28042"/>
    <cellStyle name="Procentowy 3 20 16" xfId="28043"/>
    <cellStyle name="Procentowy 3 20 16 2" xfId="28044"/>
    <cellStyle name="Procentowy 3 20 17" xfId="28045"/>
    <cellStyle name="Procentowy 3 20 17 2" xfId="28046"/>
    <cellStyle name="Procentowy 3 20 18" xfId="28047"/>
    <cellStyle name="Procentowy 3 20 18 2" xfId="28048"/>
    <cellStyle name="Procentowy 3 20 19" xfId="28049"/>
    <cellStyle name="Procentowy 3 20 19 2" xfId="28050"/>
    <cellStyle name="Procentowy 3 20 2" xfId="28051"/>
    <cellStyle name="Procentowy 3 20 2 2" xfId="28052"/>
    <cellStyle name="Procentowy 3 20 2 3" xfId="28053"/>
    <cellStyle name="Procentowy 3 20 2 4" xfId="28054"/>
    <cellStyle name="Procentowy 3 20 2 5" xfId="28055"/>
    <cellStyle name="Procentowy 3 20 2 6" xfId="28056"/>
    <cellStyle name="Procentowy 3 20 2 7" xfId="28057"/>
    <cellStyle name="Procentowy 3 20 20" xfId="28058"/>
    <cellStyle name="Procentowy 3 20 20 2" xfId="28059"/>
    <cellStyle name="Procentowy 3 20 21" xfId="28060"/>
    <cellStyle name="Procentowy 3 20 21 2" xfId="28061"/>
    <cellStyle name="Procentowy 3 20 22" xfId="28062"/>
    <cellStyle name="Procentowy 3 20 22 2" xfId="28063"/>
    <cellStyle name="Procentowy 3 20 23" xfId="28064"/>
    <cellStyle name="Procentowy 3 20 23 2" xfId="28065"/>
    <cellStyle name="Procentowy 3 20 24" xfId="28066"/>
    <cellStyle name="Procentowy 3 20 24 2" xfId="28067"/>
    <cellStyle name="Procentowy 3 20 25" xfId="28068"/>
    <cellStyle name="Procentowy 3 20 25 2" xfId="28069"/>
    <cellStyle name="Procentowy 3 20 26" xfId="28070"/>
    <cellStyle name="Procentowy 3 20 26 2" xfId="28071"/>
    <cellStyle name="Procentowy 3 20 27" xfId="28072"/>
    <cellStyle name="Procentowy 3 20 27 2" xfId="28073"/>
    <cellStyle name="Procentowy 3 20 28" xfId="28074"/>
    <cellStyle name="Procentowy 3 20 28 2" xfId="28075"/>
    <cellStyle name="Procentowy 3 20 29" xfId="28076"/>
    <cellStyle name="Procentowy 3 20 29 2" xfId="28077"/>
    <cellStyle name="Procentowy 3 20 3" xfId="28078"/>
    <cellStyle name="Procentowy 3 20 3 2" xfId="28079"/>
    <cellStyle name="Procentowy 3 20 3 3" xfId="28080"/>
    <cellStyle name="Procentowy 3 20 3 4" xfId="28081"/>
    <cellStyle name="Procentowy 3 20 3 5" xfId="28082"/>
    <cellStyle name="Procentowy 3 20 3 6" xfId="28083"/>
    <cellStyle name="Procentowy 3 20 3 7" xfId="28084"/>
    <cellStyle name="Procentowy 3 20 30" xfId="28085"/>
    <cellStyle name="Procentowy 3 20 30 2" xfId="28086"/>
    <cellStyle name="Procentowy 3 20 31" xfId="28087"/>
    <cellStyle name="Procentowy 3 20 31 2" xfId="28088"/>
    <cellStyle name="Procentowy 3 20 32" xfId="28089"/>
    <cellStyle name="Procentowy 3 20 33" xfId="28090"/>
    <cellStyle name="Procentowy 3 20 34" xfId="28091"/>
    <cellStyle name="Procentowy 3 20 35" xfId="28092"/>
    <cellStyle name="Procentowy 3 20 36" xfId="28093"/>
    <cellStyle name="Procentowy 3 20 37" xfId="28094"/>
    <cellStyle name="Procentowy 3 20 38" xfId="28095"/>
    <cellStyle name="Procentowy 3 20 39" xfId="28096"/>
    <cellStyle name="Procentowy 3 20 4" xfId="28097"/>
    <cellStyle name="Procentowy 3 20 4 2" xfId="28098"/>
    <cellStyle name="Procentowy 3 20 4 3" xfId="28099"/>
    <cellStyle name="Procentowy 3 20 4 4" xfId="28100"/>
    <cellStyle name="Procentowy 3 20 4 5" xfId="28101"/>
    <cellStyle name="Procentowy 3 20 4 6" xfId="28102"/>
    <cellStyle name="Procentowy 3 20 4 7" xfId="28103"/>
    <cellStyle name="Procentowy 3 20 40" xfId="28104"/>
    <cellStyle name="Procentowy 3 20 41" xfId="28105"/>
    <cellStyle name="Procentowy 3 20 42" xfId="28106"/>
    <cellStyle name="Procentowy 3 20 43" xfId="28107"/>
    <cellStyle name="Procentowy 3 20 44" xfId="28108"/>
    <cellStyle name="Procentowy 3 20 45" xfId="28109"/>
    <cellStyle name="Procentowy 3 20 46" xfId="28110"/>
    <cellStyle name="Procentowy 3 20 47" xfId="28111"/>
    <cellStyle name="Procentowy 3 20 48" xfId="28112"/>
    <cellStyle name="Procentowy 3 20 49" xfId="28113"/>
    <cellStyle name="Procentowy 3 20 5" xfId="28114"/>
    <cellStyle name="Procentowy 3 20 5 2" xfId="28115"/>
    <cellStyle name="Procentowy 3 20 5 3" xfId="28116"/>
    <cellStyle name="Procentowy 3 20 5 4" xfId="28117"/>
    <cellStyle name="Procentowy 3 20 5 5" xfId="28118"/>
    <cellStyle name="Procentowy 3 20 5 6" xfId="28119"/>
    <cellStyle name="Procentowy 3 20 5 7" xfId="28120"/>
    <cellStyle name="Procentowy 3 20 50" xfId="28121"/>
    <cellStyle name="Procentowy 3 20 51" xfId="28122"/>
    <cellStyle name="Procentowy 3 20 52" xfId="28123"/>
    <cellStyle name="Procentowy 3 20 53" xfId="28124"/>
    <cellStyle name="Procentowy 3 20 54" xfId="28125"/>
    <cellStyle name="Procentowy 3 20 55" xfId="28126"/>
    <cellStyle name="Procentowy 3 20 56" xfId="28127"/>
    <cellStyle name="Procentowy 3 20 57" xfId="28128"/>
    <cellStyle name="Procentowy 3 20 58" xfId="28129"/>
    <cellStyle name="Procentowy 3 20 59" xfId="28130"/>
    <cellStyle name="Procentowy 3 20 6" xfId="28131"/>
    <cellStyle name="Procentowy 3 20 6 2" xfId="28132"/>
    <cellStyle name="Procentowy 3 20 60" xfId="28133"/>
    <cellStyle name="Procentowy 3 20 61" xfId="28134"/>
    <cellStyle name="Procentowy 3 20 62" xfId="28135"/>
    <cellStyle name="Procentowy 3 20 63" xfId="28136"/>
    <cellStyle name="Procentowy 3 20 64" xfId="28137"/>
    <cellStyle name="Procentowy 3 20 65" xfId="28138"/>
    <cellStyle name="Procentowy 3 20 66" xfId="28139"/>
    <cellStyle name="Procentowy 3 20 67" xfId="28140"/>
    <cellStyle name="Procentowy 3 20 68" xfId="28141"/>
    <cellStyle name="Procentowy 3 20 69" xfId="28142"/>
    <cellStyle name="Procentowy 3 20 7" xfId="28143"/>
    <cellStyle name="Procentowy 3 20 7 2" xfId="28144"/>
    <cellStyle name="Procentowy 3 20 70" xfId="28145"/>
    <cellStyle name="Procentowy 3 20 71" xfId="28146"/>
    <cellStyle name="Procentowy 3 20 72" xfId="28147"/>
    <cellStyle name="Procentowy 3 20 73" xfId="28148"/>
    <cellStyle name="Procentowy 3 20 74" xfId="28149"/>
    <cellStyle name="Procentowy 3 20 8" xfId="28150"/>
    <cellStyle name="Procentowy 3 20 8 2" xfId="28151"/>
    <cellStyle name="Procentowy 3 20 9" xfId="28152"/>
    <cellStyle name="Procentowy 3 20 9 2" xfId="28153"/>
    <cellStyle name="Procentowy 3 21" xfId="28154"/>
    <cellStyle name="Procentowy 3 21 10" xfId="28155"/>
    <cellStyle name="Procentowy 3 21 10 2" xfId="28156"/>
    <cellStyle name="Procentowy 3 21 11" xfId="28157"/>
    <cellStyle name="Procentowy 3 21 11 2" xfId="28158"/>
    <cellStyle name="Procentowy 3 21 12" xfId="28159"/>
    <cellStyle name="Procentowy 3 21 12 2" xfId="28160"/>
    <cellStyle name="Procentowy 3 21 13" xfId="28161"/>
    <cellStyle name="Procentowy 3 21 13 2" xfId="28162"/>
    <cellStyle name="Procentowy 3 21 14" xfId="28163"/>
    <cellStyle name="Procentowy 3 21 14 2" xfId="28164"/>
    <cellStyle name="Procentowy 3 21 15" xfId="28165"/>
    <cellStyle name="Procentowy 3 21 15 2" xfId="28166"/>
    <cellStyle name="Procentowy 3 21 16" xfId="28167"/>
    <cellStyle name="Procentowy 3 21 16 2" xfId="28168"/>
    <cellStyle name="Procentowy 3 21 17" xfId="28169"/>
    <cellStyle name="Procentowy 3 21 17 2" xfId="28170"/>
    <cellStyle name="Procentowy 3 21 18" xfId="28171"/>
    <cellStyle name="Procentowy 3 21 18 2" xfId="28172"/>
    <cellStyle name="Procentowy 3 21 19" xfId="28173"/>
    <cellStyle name="Procentowy 3 21 19 2" xfId="28174"/>
    <cellStyle name="Procentowy 3 21 2" xfId="28175"/>
    <cellStyle name="Procentowy 3 21 2 2" xfId="28176"/>
    <cellStyle name="Procentowy 3 21 2 3" xfId="28177"/>
    <cellStyle name="Procentowy 3 21 2 4" xfId="28178"/>
    <cellStyle name="Procentowy 3 21 2 5" xfId="28179"/>
    <cellStyle name="Procentowy 3 21 2 6" xfId="28180"/>
    <cellStyle name="Procentowy 3 21 2 7" xfId="28181"/>
    <cellStyle name="Procentowy 3 21 20" xfId="28182"/>
    <cellStyle name="Procentowy 3 21 20 2" xfId="28183"/>
    <cellStyle name="Procentowy 3 21 21" xfId="28184"/>
    <cellStyle name="Procentowy 3 21 21 2" xfId="28185"/>
    <cellStyle name="Procentowy 3 21 22" xfId="28186"/>
    <cellStyle name="Procentowy 3 21 22 2" xfId="28187"/>
    <cellStyle name="Procentowy 3 21 23" xfId="28188"/>
    <cellStyle name="Procentowy 3 21 23 2" xfId="28189"/>
    <cellStyle name="Procentowy 3 21 24" xfId="28190"/>
    <cellStyle name="Procentowy 3 21 24 2" xfId="28191"/>
    <cellStyle name="Procentowy 3 21 25" xfId="28192"/>
    <cellStyle name="Procentowy 3 21 25 2" xfId="28193"/>
    <cellStyle name="Procentowy 3 21 26" xfId="28194"/>
    <cellStyle name="Procentowy 3 21 26 2" xfId="28195"/>
    <cellStyle name="Procentowy 3 21 27" xfId="28196"/>
    <cellStyle name="Procentowy 3 21 27 2" xfId="28197"/>
    <cellStyle name="Procentowy 3 21 28" xfId="28198"/>
    <cellStyle name="Procentowy 3 21 28 2" xfId="28199"/>
    <cellStyle name="Procentowy 3 21 29" xfId="28200"/>
    <cellStyle name="Procentowy 3 21 29 2" xfId="28201"/>
    <cellStyle name="Procentowy 3 21 3" xfId="28202"/>
    <cellStyle name="Procentowy 3 21 3 2" xfId="28203"/>
    <cellStyle name="Procentowy 3 21 3 3" xfId="28204"/>
    <cellStyle name="Procentowy 3 21 3 4" xfId="28205"/>
    <cellStyle name="Procentowy 3 21 3 5" xfId="28206"/>
    <cellStyle name="Procentowy 3 21 3 6" xfId="28207"/>
    <cellStyle name="Procentowy 3 21 3 7" xfId="28208"/>
    <cellStyle name="Procentowy 3 21 30" xfId="28209"/>
    <cellStyle name="Procentowy 3 21 30 2" xfId="28210"/>
    <cellStyle name="Procentowy 3 21 31" xfId="28211"/>
    <cellStyle name="Procentowy 3 21 31 2" xfId="28212"/>
    <cellStyle name="Procentowy 3 21 32" xfId="28213"/>
    <cellStyle name="Procentowy 3 21 33" xfId="28214"/>
    <cellStyle name="Procentowy 3 21 34" xfId="28215"/>
    <cellStyle name="Procentowy 3 21 35" xfId="28216"/>
    <cellStyle name="Procentowy 3 21 36" xfId="28217"/>
    <cellStyle name="Procentowy 3 21 37" xfId="28218"/>
    <cellStyle name="Procentowy 3 21 38" xfId="28219"/>
    <cellStyle name="Procentowy 3 21 39" xfId="28220"/>
    <cellStyle name="Procentowy 3 21 4" xfId="28221"/>
    <cellStyle name="Procentowy 3 21 4 2" xfId="28222"/>
    <cellStyle name="Procentowy 3 21 4 3" xfId="28223"/>
    <cellStyle name="Procentowy 3 21 4 4" xfId="28224"/>
    <cellStyle name="Procentowy 3 21 4 5" xfId="28225"/>
    <cellStyle name="Procentowy 3 21 4 6" xfId="28226"/>
    <cellStyle name="Procentowy 3 21 4 7" xfId="28227"/>
    <cellStyle name="Procentowy 3 21 40" xfId="28228"/>
    <cellStyle name="Procentowy 3 21 41" xfId="28229"/>
    <cellStyle name="Procentowy 3 21 42" xfId="28230"/>
    <cellStyle name="Procentowy 3 21 43" xfId="28231"/>
    <cellStyle name="Procentowy 3 21 44" xfId="28232"/>
    <cellStyle name="Procentowy 3 21 45" xfId="28233"/>
    <cellStyle name="Procentowy 3 21 46" xfId="28234"/>
    <cellStyle name="Procentowy 3 21 47" xfId="28235"/>
    <cellStyle name="Procentowy 3 21 48" xfId="28236"/>
    <cellStyle name="Procentowy 3 21 49" xfId="28237"/>
    <cellStyle name="Procentowy 3 21 5" xfId="28238"/>
    <cellStyle name="Procentowy 3 21 5 2" xfId="28239"/>
    <cellStyle name="Procentowy 3 21 5 3" xfId="28240"/>
    <cellStyle name="Procentowy 3 21 5 4" xfId="28241"/>
    <cellStyle name="Procentowy 3 21 5 5" xfId="28242"/>
    <cellStyle name="Procentowy 3 21 5 6" xfId="28243"/>
    <cellStyle name="Procentowy 3 21 5 7" xfId="28244"/>
    <cellStyle name="Procentowy 3 21 50" xfId="28245"/>
    <cellStyle name="Procentowy 3 21 51" xfId="28246"/>
    <cellStyle name="Procentowy 3 21 52" xfId="28247"/>
    <cellStyle name="Procentowy 3 21 53" xfId="28248"/>
    <cellStyle name="Procentowy 3 21 54" xfId="28249"/>
    <cellStyle name="Procentowy 3 21 55" xfId="28250"/>
    <cellStyle name="Procentowy 3 21 56" xfId="28251"/>
    <cellStyle name="Procentowy 3 21 57" xfId="28252"/>
    <cellStyle name="Procentowy 3 21 58" xfId="28253"/>
    <cellStyle name="Procentowy 3 21 59" xfId="28254"/>
    <cellStyle name="Procentowy 3 21 6" xfId="28255"/>
    <cellStyle name="Procentowy 3 21 6 2" xfId="28256"/>
    <cellStyle name="Procentowy 3 21 60" xfId="28257"/>
    <cellStyle name="Procentowy 3 21 61" xfId="28258"/>
    <cellStyle name="Procentowy 3 21 62" xfId="28259"/>
    <cellStyle name="Procentowy 3 21 63" xfId="28260"/>
    <cellStyle name="Procentowy 3 21 64" xfId="28261"/>
    <cellStyle name="Procentowy 3 21 65" xfId="28262"/>
    <cellStyle name="Procentowy 3 21 66" xfId="28263"/>
    <cellStyle name="Procentowy 3 21 67" xfId="28264"/>
    <cellStyle name="Procentowy 3 21 68" xfId="28265"/>
    <cellStyle name="Procentowy 3 21 69" xfId="28266"/>
    <cellStyle name="Procentowy 3 21 7" xfId="28267"/>
    <cellStyle name="Procentowy 3 21 7 2" xfId="28268"/>
    <cellStyle name="Procentowy 3 21 70" xfId="28269"/>
    <cellStyle name="Procentowy 3 21 71" xfId="28270"/>
    <cellStyle name="Procentowy 3 21 72" xfId="28271"/>
    <cellStyle name="Procentowy 3 21 73" xfId="28272"/>
    <cellStyle name="Procentowy 3 21 74" xfId="28273"/>
    <cellStyle name="Procentowy 3 21 8" xfId="28274"/>
    <cellStyle name="Procentowy 3 21 8 2" xfId="28275"/>
    <cellStyle name="Procentowy 3 21 9" xfId="28276"/>
    <cellStyle name="Procentowy 3 21 9 2" xfId="28277"/>
    <cellStyle name="Procentowy 3 22" xfId="28278"/>
    <cellStyle name="Procentowy 3 22 10" xfId="28279"/>
    <cellStyle name="Procentowy 3 22 10 2" xfId="28280"/>
    <cellStyle name="Procentowy 3 22 11" xfId="28281"/>
    <cellStyle name="Procentowy 3 22 11 2" xfId="28282"/>
    <cellStyle name="Procentowy 3 22 12" xfId="28283"/>
    <cellStyle name="Procentowy 3 22 12 2" xfId="28284"/>
    <cellStyle name="Procentowy 3 22 13" xfId="28285"/>
    <cellStyle name="Procentowy 3 22 13 2" xfId="28286"/>
    <cellStyle name="Procentowy 3 22 14" xfId="28287"/>
    <cellStyle name="Procentowy 3 22 14 2" xfId="28288"/>
    <cellStyle name="Procentowy 3 22 15" xfId="28289"/>
    <cellStyle name="Procentowy 3 22 15 2" xfId="28290"/>
    <cellStyle name="Procentowy 3 22 16" xfId="28291"/>
    <cellStyle name="Procentowy 3 22 16 2" xfId="28292"/>
    <cellStyle name="Procentowy 3 22 17" xfId="28293"/>
    <cellStyle name="Procentowy 3 22 17 2" xfId="28294"/>
    <cellStyle name="Procentowy 3 22 18" xfId="28295"/>
    <cellStyle name="Procentowy 3 22 18 2" xfId="28296"/>
    <cellStyle name="Procentowy 3 22 19" xfId="28297"/>
    <cellStyle name="Procentowy 3 22 19 2" xfId="28298"/>
    <cellStyle name="Procentowy 3 22 2" xfId="28299"/>
    <cellStyle name="Procentowy 3 22 2 2" xfId="28300"/>
    <cellStyle name="Procentowy 3 22 2 3" xfId="28301"/>
    <cellStyle name="Procentowy 3 22 2 4" xfId="28302"/>
    <cellStyle name="Procentowy 3 22 2 5" xfId="28303"/>
    <cellStyle name="Procentowy 3 22 2 6" xfId="28304"/>
    <cellStyle name="Procentowy 3 22 2 7" xfId="28305"/>
    <cellStyle name="Procentowy 3 22 20" xfId="28306"/>
    <cellStyle name="Procentowy 3 22 20 2" xfId="28307"/>
    <cellStyle name="Procentowy 3 22 21" xfId="28308"/>
    <cellStyle name="Procentowy 3 22 21 2" xfId="28309"/>
    <cellStyle name="Procentowy 3 22 22" xfId="28310"/>
    <cellStyle name="Procentowy 3 22 22 2" xfId="28311"/>
    <cellStyle name="Procentowy 3 22 23" xfId="28312"/>
    <cellStyle name="Procentowy 3 22 23 2" xfId="28313"/>
    <cellStyle name="Procentowy 3 22 24" xfId="28314"/>
    <cellStyle name="Procentowy 3 22 24 2" xfId="28315"/>
    <cellStyle name="Procentowy 3 22 25" xfId="28316"/>
    <cellStyle name="Procentowy 3 22 25 2" xfId="28317"/>
    <cellStyle name="Procentowy 3 22 26" xfId="28318"/>
    <cellStyle name="Procentowy 3 22 26 2" xfId="28319"/>
    <cellStyle name="Procentowy 3 22 27" xfId="28320"/>
    <cellStyle name="Procentowy 3 22 27 2" xfId="28321"/>
    <cellStyle name="Procentowy 3 22 28" xfId="28322"/>
    <cellStyle name="Procentowy 3 22 28 2" xfId="28323"/>
    <cellStyle name="Procentowy 3 22 29" xfId="28324"/>
    <cellStyle name="Procentowy 3 22 29 2" xfId="28325"/>
    <cellStyle name="Procentowy 3 22 3" xfId="28326"/>
    <cellStyle name="Procentowy 3 22 3 2" xfId="28327"/>
    <cellStyle name="Procentowy 3 22 3 3" xfId="28328"/>
    <cellStyle name="Procentowy 3 22 3 4" xfId="28329"/>
    <cellStyle name="Procentowy 3 22 3 5" xfId="28330"/>
    <cellStyle name="Procentowy 3 22 3 6" xfId="28331"/>
    <cellStyle name="Procentowy 3 22 3 7" xfId="28332"/>
    <cellStyle name="Procentowy 3 22 30" xfId="28333"/>
    <cellStyle name="Procentowy 3 22 30 2" xfId="28334"/>
    <cellStyle name="Procentowy 3 22 31" xfId="28335"/>
    <cellStyle name="Procentowy 3 22 31 2" xfId="28336"/>
    <cellStyle name="Procentowy 3 22 32" xfId="28337"/>
    <cellStyle name="Procentowy 3 22 33" xfId="28338"/>
    <cellStyle name="Procentowy 3 22 34" xfId="28339"/>
    <cellStyle name="Procentowy 3 22 35" xfId="28340"/>
    <cellStyle name="Procentowy 3 22 36" xfId="28341"/>
    <cellStyle name="Procentowy 3 22 37" xfId="28342"/>
    <cellStyle name="Procentowy 3 22 38" xfId="28343"/>
    <cellStyle name="Procentowy 3 22 39" xfId="28344"/>
    <cellStyle name="Procentowy 3 22 4" xfId="28345"/>
    <cellStyle name="Procentowy 3 22 4 2" xfId="28346"/>
    <cellStyle name="Procentowy 3 22 4 3" xfId="28347"/>
    <cellStyle name="Procentowy 3 22 4 4" xfId="28348"/>
    <cellStyle name="Procentowy 3 22 4 5" xfId="28349"/>
    <cellStyle name="Procentowy 3 22 4 6" xfId="28350"/>
    <cellStyle name="Procentowy 3 22 4 7" xfId="28351"/>
    <cellStyle name="Procentowy 3 22 40" xfId="28352"/>
    <cellStyle name="Procentowy 3 22 41" xfId="28353"/>
    <cellStyle name="Procentowy 3 22 42" xfId="28354"/>
    <cellStyle name="Procentowy 3 22 43" xfId="28355"/>
    <cellStyle name="Procentowy 3 22 44" xfId="28356"/>
    <cellStyle name="Procentowy 3 22 45" xfId="28357"/>
    <cellStyle name="Procentowy 3 22 46" xfId="28358"/>
    <cellStyle name="Procentowy 3 22 47" xfId="28359"/>
    <cellStyle name="Procentowy 3 22 48" xfId="28360"/>
    <cellStyle name="Procentowy 3 22 49" xfId="28361"/>
    <cellStyle name="Procentowy 3 22 5" xfId="28362"/>
    <cellStyle name="Procentowy 3 22 5 2" xfId="28363"/>
    <cellStyle name="Procentowy 3 22 5 3" xfId="28364"/>
    <cellStyle name="Procentowy 3 22 5 4" xfId="28365"/>
    <cellStyle name="Procentowy 3 22 5 5" xfId="28366"/>
    <cellStyle name="Procentowy 3 22 5 6" xfId="28367"/>
    <cellStyle name="Procentowy 3 22 5 7" xfId="28368"/>
    <cellStyle name="Procentowy 3 22 50" xfId="28369"/>
    <cellStyle name="Procentowy 3 22 51" xfId="28370"/>
    <cellStyle name="Procentowy 3 22 52" xfId="28371"/>
    <cellStyle name="Procentowy 3 22 53" xfId="28372"/>
    <cellStyle name="Procentowy 3 22 54" xfId="28373"/>
    <cellStyle name="Procentowy 3 22 55" xfId="28374"/>
    <cellStyle name="Procentowy 3 22 56" xfId="28375"/>
    <cellStyle name="Procentowy 3 22 57" xfId="28376"/>
    <cellStyle name="Procentowy 3 22 58" xfId="28377"/>
    <cellStyle name="Procentowy 3 22 59" xfId="28378"/>
    <cellStyle name="Procentowy 3 22 6" xfId="28379"/>
    <cellStyle name="Procentowy 3 22 6 2" xfId="28380"/>
    <cellStyle name="Procentowy 3 22 60" xfId="28381"/>
    <cellStyle name="Procentowy 3 22 61" xfId="28382"/>
    <cellStyle name="Procentowy 3 22 62" xfId="28383"/>
    <cellStyle name="Procentowy 3 22 63" xfId="28384"/>
    <cellStyle name="Procentowy 3 22 64" xfId="28385"/>
    <cellStyle name="Procentowy 3 22 65" xfId="28386"/>
    <cellStyle name="Procentowy 3 22 66" xfId="28387"/>
    <cellStyle name="Procentowy 3 22 67" xfId="28388"/>
    <cellStyle name="Procentowy 3 22 68" xfId="28389"/>
    <cellStyle name="Procentowy 3 22 69" xfId="28390"/>
    <cellStyle name="Procentowy 3 22 7" xfId="28391"/>
    <cellStyle name="Procentowy 3 22 7 2" xfId="28392"/>
    <cellStyle name="Procentowy 3 22 70" xfId="28393"/>
    <cellStyle name="Procentowy 3 22 71" xfId="28394"/>
    <cellStyle name="Procentowy 3 22 72" xfId="28395"/>
    <cellStyle name="Procentowy 3 22 73" xfId="28396"/>
    <cellStyle name="Procentowy 3 22 74" xfId="28397"/>
    <cellStyle name="Procentowy 3 22 8" xfId="28398"/>
    <cellStyle name="Procentowy 3 22 8 2" xfId="28399"/>
    <cellStyle name="Procentowy 3 22 9" xfId="28400"/>
    <cellStyle name="Procentowy 3 22 9 2" xfId="28401"/>
    <cellStyle name="Procentowy 3 23" xfId="28402"/>
    <cellStyle name="Procentowy 3 23 10" xfId="28403"/>
    <cellStyle name="Procentowy 3 23 10 2" xfId="28404"/>
    <cellStyle name="Procentowy 3 23 11" xfId="28405"/>
    <cellStyle name="Procentowy 3 23 11 2" xfId="28406"/>
    <cellStyle name="Procentowy 3 23 12" xfId="28407"/>
    <cellStyle name="Procentowy 3 23 12 2" xfId="28408"/>
    <cellStyle name="Procentowy 3 23 13" xfId="28409"/>
    <cellStyle name="Procentowy 3 23 13 2" xfId="28410"/>
    <cellStyle name="Procentowy 3 23 14" xfId="28411"/>
    <cellStyle name="Procentowy 3 23 14 2" xfId="28412"/>
    <cellStyle name="Procentowy 3 23 15" xfId="28413"/>
    <cellStyle name="Procentowy 3 23 15 2" xfId="28414"/>
    <cellStyle name="Procentowy 3 23 16" xfId="28415"/>
    <cellStyle name="Procentowy 3 23 16 2" xfId="28416"/>
    <cellStyle name="Procentowy 3 23 17" xfId="28417"/>
    <cellStyle name="Procentowy 3 23 17 2" xfId="28418"/>
    <cellStyle name="Procentowy 3 23 18" xfId="28419"/>
    <cellStyle name="Procentowy 3 23 18 2" xfId="28420"/>
    <cellStyle name="Procentowy 3 23 19" xfId="28421"/>
    <cellStyle name="Procentowy 3 23 19 2" xfId="28422"/>
    <cellStyle name="Procentowy 3 23 2" xfId="28423"/>
    <cellStyle name="Procentowy 3 23 2 2" xfId="28424"/>
    <cellStyle name="Procentowy 3 23 2 3" xfId="28425"/>
    <cellStyle name="Procentowy 3 23 2 4" xfId="28426"/>
    <cellStyle name="Procentowy 3 23 2 5" xfId="28427"/>
    <cellStyle name="Procentowy 3 23 2 6" xfId="28428"/>
    <cellStyle name="Procentowy 3 23 2 7" xfId="28429"/>
    <cellStyle name="Procentowy 3 23 20" xfId="28430"/>
    <cellStyle name="Procentowy 3 23 20 2" xfId="28431"/>
    <cellStyle name="Procentowy 3 23 21" xfId="28432"/>
    <cellStyle name="Procentowy 3 23 21 2" xfId="28433"/>
    <cellStyle name="Procentowy 3 23 22" xfId="28434"/>
    <cellStyle name="Procentowy 3 23 22 2" xfId="28435"/>
    <cellStyle name="Procentowy 3 23 23" xfId="28436"/>
    <cellStyle name="Procentowy 3 23 23 2" xfId="28437"/>
    <cellStyle name="Procentowy 3 23 24" xfId="28438"/>
    <cellStyle name="Procentowy 3 23 24 2" xfId="28439"/>
    <cellStyle name="Procentowy 3 23 25" xfId="28440"/>
    <cellStyle name="Procentowy 3 23 25 2" xfId="28441"/>
    <cellStyle name="Procentowy 3 23 26" xfId="28442"/>
    <cellStyle name="Procentowy 3 23 26 2" xfId="28443"/>
    <cellStyle name="Procentowy 3 23 27" xfId="28444"/>
    <cellStyle name="Procentowy 3 23 27 2" xfId="28445"/>
    <cellStyle name="Procentowy 3 23 28" xfId="28446"/>
    <cellStyle name="Procentowy 3 23 28 2" xfId="28447"/>
    <cellStyle name="Procentowy 3 23 29" xfId="28448"/>
    <cellStyle name="Procentowy 3 23 29 2" xfId="28449"/>
    <cellStyle name="Procentowy 3 23 3" xfId="28450"/>
    <cellStyle name="Procentowy 3 23 3 2" xfId="28451"/>
    <cellStyle name="Procentowy 3 23 3 3" xfId="28452"/>
    <cellStyle name="Procentowy 3 23 3 4" xfId="28453"/>
    <cellStyle name="Procentowy 3 23 3 5" xfId="28454"/>
    <cellStyle name="Procentowy 3 23 3 6" xfId="28455"/>
    <cellStyle name="Procentowy 3 23 3 7" xfId="28456"/>
    <cellStyle name="Procentowy 3 23 30" xfId="28457"/>
    <cellStyle name="Procentowy 3 23 30 2" xfId="28458"/>
    <cellStyle name="Procentowy 3 23 31" xfId="28459"/>
    <cellStyle name="Procentowy 3 23 31 2" xfId="28460"/>
    <cellStyle name="Procentowy 3 23 32" xfId="28461"/>
    <cellStyle name="Procentowy 3 23 33" xfId="28462"/>
    <cellStyle name="Procentowy 3 23 34" xfId="28463"/>
    <cellStyle name="Procentowy 3 23 35" xfId="28464"/>
    <cellStyle name="Procentowy 3 23 36" xfId="28465"/>
    <cellStyle name="Procentowy 3 23 37" xfId="28466"/>
    <cellStyle name="Procentowy 3 23 38" xfId="28467"/>
    <cellStyle name="Procentowy 3 23 39" xfId="28468"/>
    <cellStyle name="Procentowy 3 23 4" xfId="28469"/>
    <cellStyle name="Procentowy 3 23 4 2" xfId="28470"/>
    <cellStyle name="Procentowy 3 23 4 3" xfId="28471"/>
    <cellStyle name="Procentowy 3 23 4 4" xfId="28472"/>
    <cellStyle name="Procentowy 3 23 4 5" xfId="28473"/>
    <cellStyle name="Procentowy 3 23 4 6" xfId="28474"/>
    <cellStyle name="Procentowy 3 23 4 7" xfId="28475"/>
    <cellStyle name="Procentowy 3 23 40" xfId="28476"/>
    <cellStyle name="Procentowy 3 23 41" xfId="28477"/>
    <cellStyle name="Procentowy 3 23 42" xfId="28478"/>
    <cellStyle name="Procentowy 3 23 43" xfId="28479"/>
    <cellStyle name="Procentowy 3 23 44" xfId="28480"/>
    <cellStyle name="Procentowy 3 23 45" xfId="28481"/>
    <cellStyle name="Procentowy 3 23 46" xfId="28482"/>
    <cellStyle name="Procentowy 3 23 47" xfId="28483"/>
    <cellStyle name="Procentowy 3 23 48" xfId="28484"/>
    <cellStyle name="Procentowy 3 23 49" xfId="28485"/>
    <cellStyle name="Procentowy 3 23 5" xfId="28486"/>
    <cellStyle name="Procentowy 3 23 5 2" xfId="28487"/>
    <cellStyle name="Procentowy 3 23 5 3" xfId="28488"/>
    <cellStyle name="Procentowy 3 23 5 4" xfId="28489"/>
    <cellStyle name="Procentowy 3 23 5 5" xfId="28490"/>
    <cellStyle name="Procentowy 3 23 5 6" xfId="28491"/>
    <cellStyle name="Procentowy 3 23 5 7" xfId="28492"/>
    <cellStyle name="Procentowy 3 23 50" xfId="28493"/>
    <cellStyle name="Procentowy 3 23 51" xfId="28494"/>
    <cellStyle name="Procentowy 3 23 52" xfId="28495"/>
    <cellStyle name="Procentowy 3 23 53" xfId="28496"/>
    <cellStyle name="Procentowy 3 23 54" xfId="28497"/>
    <cellStyle name="Procentowy 3 23 55" xfId="28498"/>
    <cellStyle name="Procentowy 3 23 56" xfId="28499"/>
    <cellStyle name="Procentowy 3 23 57" xfId="28500"/>
    <cellStyle name="Procentowy 3 23 58" xfId="28501"/>
    <cellStyle name="Procentowy 3 23 59" xfId="28502"/>
    <cellStyle name="Procentowy 3 23 6" xfId="28503"/>
    <cellStyle name="Procentowy 3 23 6 2" xfId="28504"/>
    <cellStyle name="Procentowy 3 23 60" xfId="28505"/>
    <cellStyle name="Procentowy 3 23 61" xfId="28506"/>
    <cellStyle name="Procentowy 3 23 62" xfId="28507"/>
    <cellStyle name="Procentowy 3 23 63" xfId="28508"/>
    <cellStyle name="Procentowy 3 23 64" xfId="28509"/>
    <cellStyle name="Procentowy 3 23 65" xfId="28510"/>
    <cellStyle name="Procentowy 3 23 66" xfId="28511"/>
    <cellStyle name="Procentowy 3 23 67" xfId="28512"/>
    <cellStyle name="Procentowy 3 23 68" xfId="28513"/>
    <cellStyle name="Procentowy 3 23 69" xfId="28514"/>
    <cellStyle name="Procentowy 3 23 7" xfId="28515"/>
    <cellStyle name="Procentowy 3 23 7 2" xfId="28516"/>
    <cellStyle name="Procentowy 3 23 70" xfId="28517"/>
    <cellStyle name="Procentowy 3 23 71" xfId="28518"/>
    <cellStyle name="Procentowy 3 23 72" xfId="28519"/>
    <cellStyle name="Procentowy 3 23 73" xfId="28520"/>
    <cellStyle name="Procentowy 3 23 74" xfId="28521"/>
    <cellStyle name="Procentowy 3 23 8" xfId="28522"/>
    <cellStyle name="Procentowy 3 23 8 2" xfId="28523"/>
    <cellStyle name="Procentowy 3 23 9" xfId="28524"/>
    <cellStyle name="Procentowy 3 23 9 2" xfId="28525"/>
    <cellStyle name="Procentowy 3 24" xfId="28526"/>
    <cellStyle name="Procentowy 3 24 10" xfId="28527"/>
    <cellStyle name="Procentowy 3 24 10 2" xfId="28528"/>
    <cellStyle name="Procentowy 3 24 11" xfId="28529"/>
    <cellStyle name="Procentowy 3 24 11 2" xfId="28530"/>
    <cellStyle name="Procentowy 3 24 12" xfId="28531"/>
    <cellStyle name="Procentowy 3 24 12 2" xfId="28532"/>
    <cellStyle name="Procentowy 3 24 13" xfId="28533"/>
    <cellStyle name="Procentowy 3 24 13 2" xfId="28534"/>
    <cellStyle name="Procentowy 3 24 14" xfId="28535"/>
    <cellStyle name="Procentowy 3 24 14 2" xfId="28536"/>
    <cellStyle name="Procentowy 3 24 15" xfId="28537"/>
    <cellStyle name="Procentowy 3 24 15 2" xfId="28538"/>
    <cellStyle name="Procentowy 3 24 16" xfId="28539"/>
    <cellStyle name="Procentowy 3 24 16 2" xfId="28540"/>
    <cellStyle name="Procentowy 3 24 17" xfId="28541"/>
    <cellStyle name="Procentowy 3 24 17 2" xfId="28542"/>
    <cellStyle name="Procentowy 3 24 18" xfId="28543"/>
    <cellStyle name="Procentowy 3 24 18 2" xfId="28544"/>
    <cellStyle name="Procentowy 3 24 19" xfId="28545"/>
    <cellStyle name="Procentowy 3 24 19 2" xfId="28546"/>
    <cellStyle name="Procentowy 3 24 2" xfId="28547"/>
    <cellStyle name="Procentowy 3 24 2 2" xfId="28548"/>
    <cellStyle name="Procentowy 3 24 2 3" xfId="28549"/>
    <cellStyle name="Procentowy 3 24 2 4" xfId="28550"/>
    <cellStyle name="Procentowy 3 24 2 5" xfId="28551"/>
    <cellStyle name="Procentowy 3 24 2 6" xfId="28552"/>
    <cellStyle name="Procentowy 3 24 2 7" xfId="28553"/>
    <cellStyle name="Procentowy 3 24 20" xfId="28554"/>
    <cellStyle name="Procentowy 3 24 20 2" xfId="28555"/>
    <cellStyle name="Procentowy 3 24 21" xfId="28556"/>
    <cellStyle name="Procentowy 3 24 21 2" xfId="28557"/>
    <cellStyle name="Procentowy 3 24 22" xfId="28558"/>
    <cellStyle name="Procentowy 3 24 22 2" xfId="28559"/>
    <cellStyle name="Procentowy 3 24 23" xfId="28560"/>
    <cellStyle name="Procentowy 3 24 23 2" xfId="28561"/>
    <cellStyle name="Procentowy 3 24 24" xfId="28562"/>
    <cellStyle name="Procentowy 3 24 24 2" xfId="28563"/>
    <cellStyle name="Procentowy 3 24 25" xfId="28564"/>
    <cellStyle name="Procentowy 3 24 25 2" xfId="28565"/>
    <cellStyle name="Procentowy 3 24 26" xfId="28566"/>
    <cellStyle name="Procentowy 3 24 26 2" xfId="28567"/>
    <cellStyle name="Procentowy 3 24 27" xfId="28568"/>
    <cellStyle name="Procentowy 3 24 27 2" xfId="28569"/>
    <cellStyle name="Procentowy 3 24 28" xfId="28570"/>
    <cellStyle name="Procentowy 3 24 28 2" xfId="28571"/>
    <cellStyle name="Procentowy 3 24 29" xfId="28572"/>
    <cellStyle name="Procentowy 3 24 29 2" xfId="28573"/>
    <cellStyle name="Procentowy 3 24 3" xfId="28574"/>
    <cellStyle name="Procentowy 3 24 3 2" xfId="28575"/>
    <cellStyle name="Procentowy 3 24 3 3" xfId="28576"/>
    <cellStyle name="Procentowy 3 24 3 4" xfId="28577"/>
    <cellStyle name="Procentowy 3 24 3 5" xfId="28578"/>
    <cellStyle name="Procentowy 3 24 3 6" xfId="28579"/>
    <cellStyle name="Procentowy 3 24 3 7" xfId="28580"/>
    <cellStyle name="Procentowy 3 24 30" xfId="28581"/>
    <cellStyle name="Procentowy 3 24 30 2" xfId="28582"/>
    <cellStyle name="Procentowy 3 24 31" xfId="28583"/>
    <cellStyle name="Procentowy 3 24 31 2" xfId="28584"/>
    <cellStyle name="Procentowy 3 24 32" xfId="28585"/>
    <cellStyle name="Procentowy 3 24 33" xfId="28586"/>
    <cellStyle name="Procentowy 3 24 34" xfId="28587"/>
    <cellStyle name="Procentowy 3 24 35" xfId="28588"/>
    <cellStyle name="Procentowy 3 24 36" xfId="28589"/>
    <cellStyle name="Procentowy 3 24 37" xfId="28590"/>
    <cellStyle name="Procentowy 3 24 38" xfId="28591"/>
    <cellStyle name="Procentowy 3 24 39" xfId="28592"/>
    <cellStyle name="Procentowy 3 24 4" xfId="28593"/>
    <cellStyle name="Procentowy 3 24 4 2" xfId="28594"/>
    <cellStyle name="Procentowy 3 24 4 3" xfId="28595"/>
    <cellStyle name="Procentowy 3 24 4 4" xfId="28596"/>
    <cellStyle name="Procentowy 3 24 4 5" xfId="28597"/>
    <cellStyle name="Procentowy 3 24 4 6" xfId="28598"/>
    <cellStyle name="Procentowy 3 24 4 7" xfId="28599"/>
    <cellStyle name="Procentowy 3 24 40" xfId="28600"/>
    <cellStyle name="Procentowy 3 24 41" xfId="28601"/>
    <cellStyle name="Procentowy 3 24 42" xfId="28602"/>
    <cellStyle name="Procentowy 3 24 43" xfId="28603"/>
    <cellStyle name="Procentowy 3 24 44" xfId="28604"/>
    <cellStyle name="Procentowy 3 24 45" xfId="28605"/>
    <cellStyle name="Procentowy 3 24 46" xfId="28606"/>
    <cellStyle name="Procentowy 3 24 47" xfId="28607"/>
    <cellStyle name="Procentowy 3 24 48" xfId="28608"/>
    <cellStyle name="Procentowy 3 24 49" xfId="28609"/>
    <cellStyle name="Procentowy 3 24 5" xfId="28610"/>
    <cellStyle name="Procentowy 3 24 5 2" xfId="28611"/>
    <cellStyle name="Procentowy 3 24 5 3" xfId="28612"/>
    <cellStyle name="Procentowy 3 24 5 4" xfId="28613"/>
    <cellStyle name="Procentowy 3 24 5 5" xfId="28614"/>
    <cellStyle name="Procentowy 3 24 5 6" xfId="28615"/>
    <cellStyle name="Procentowy 3 24 5 7" xfId="28616"/>
    <cellStyle name="Procentowy 3 24 50" xfId="28617"/>
    <cellStyle name="Procentowy 3 24 51" xfId="28618"/>
    <cellStyle name="Procentowy 3 24 52" xfId="28619"/>
    <cellStyle name="Procentowy 3 24 53" xfId="28620"/>
    <cellStyle name="Procentowy 3 24 54" xfId="28621"/>
    <cellStyle name="Procentowy 3 24 55" xfId="28622"/>
    <cellStyle name="Procentowy 3 24 56" xfId="28623"/>
    <cellStyle name="Procentowy 3 24 57" xfId="28624"/>
    <cellStyle name="Procentowy 3 24 58" xfId="28625"/>
    <cellStyle name="Procentowy 3 24 59" xfId="28626"/>
    <cellStyle name="Procentowy 3 24 6" xfId="28627"/>
    <cellStyle name="Procentowy 3 24 6 2" xfId="28628"/>
    <cellStyle name="Procentowy 3 24 60" xfId="28629"/>
    <cellStyle name="Procentowy 3 24 61" xfId="28630"/>
    <cellStyle name="Procentowy 3 24 62" xfId="28631"/>
    <cellStyle name="Procentowy 3 24 63" xfId="28632"/>
    <cellStyle name="Procentowy 3 24 64" xfId="28633"/>
    <cellStyle name="Procentowy 3 24 65" xfId="28634"/>
    <cellStyle name="Procentowy 3 24 66" xfId="28635"/>
    <cellStyle name="Procentowy 3 24 67" xfId="28636"/>
    <cellStyle name="Procentowy 3 24 68" xfId="28637"/>
    <cellStyle name="Procentowy 3 24 69" xfId="28638"/>
    <cellStyle name="Procentowy 3 24 7" xfId="28639"/>
    <cellStyle name="Procentowy 3 24 7 2" xfId="28640"/>
    <cellStyle name="Procentowy 3 24 70" xfId="28641"/>
    <cellStyle name="Procentowy 3 24 71" xfId="28642"/>
    <cellStyle name="Procentowy 3 24 72" xfId="28643"/>
    <cellStyle name="Procentowy 3 24 73" xfId="28644"/>
    <cellStyle name="Procentowy 3 24 74" xfId="28645"/>
    <cellStyle name="Procentowy 3 24 8" xfId="28646"/>
    <cellStyle name="Procentowy 3 24 8 2" xfId="28647"/>
    <cellStyle name="Procentowy 3 24 9" xfId="28648"/>
    <cellStyle name="Procentowy 3 24 9 2" xfId="28649"/>
    <cellStyle name="Procentowy 3 25" xfId="28650"/>
    <cellStyle name="Procentowy 3 25 2" xfId="28651"/>
    <cellStyle name="Procentowy 3 25 3" xfId="28652"/>
    <cellStyle name="Procentowy 3 25 4" xfId="28653"/>
    <cellStyle name="Procentowy 3 25 5" xfId="28654"/>
    <cellStyle name="Procentowy 3 25 6" xfId="28655"/>
    <cellStyle name="Procentowy 3 25 7" xfId="28656"/>
    <cellStyle name="Procentowy 3 26" xfId="28657"/>
    <cellStyle name="Procentowy 3 26 2" xfId="28658"/>
    <cellStyle name="Procentowy 3 26 3" xfId="28659"/>
    <cellStyle name="Procentowy 3 26 4" xfId="28660"/>
    <cellStyle name="Procentowy 3 26 5" xfId="28661"/>
    <cellStyle name="Procentowy 3 26 6" xfId="28662"/>
    <cellStyle name="Procentowy 3 26 7" xfId="28663"/>
    <cellStyle name="Procentowy 3 27" xfId="28664"/>
    <cellStyle name="Procentowy 3 27 2" xfId="28665"/>
    <cellStyle name="Procentowy 3 27 3" xfId="28666"/>
    <cellStyle name="Procentowy 3 27 4" xfId="28667"/>
    <cellStyle name="Procentowy 3 27 5" xfId="28668"/>
    <cellStyle name="Procentowy 3 27 6" xfId="28669"/>
    <cellStyle name="Procentowy 3 27 7" xfId="28670"/>
    <cellStyle name="Procentowy 3 28" xfId="28671"/>
    <cellStyle name="Procentowy 3 28 2" xfId="28672"/>
    <cellStyle name="Procentowy 3 28 3" xfId="28673"/>
    <cellStyle name="Procentowy 3 28 4" xfId="28674"/>
    <cellStyle name="Procentowy 3 28 5" xfId="28675"/>
    <cellStyle name="Procentowy 3 28 6" xfId="28676"/>
    <cellStyle name="Procentowy 3 28 7" xfId="28677"/>
    <cellStyle name="Procentowy 3 29" xfId="28678"/>
    <cellStyle name="Procentowy 3 29 2" xfId="28679"/>
    <cellStyle name="Procentowy 3 3" xfId="28680"/>
    <cellStyle name="Procentowy 3 3 10" xfId="28681"/>
    <cellStyle name="Procentowy 3 3 10 2" xfId="28682"/>
    <cellStyle name="Procentowy 3 3 11" xfId="28683"/>
    <cellStyle name="Procentowy 3 3 11 2" xfId="28684"/>
    <cellStyle name="Procentowy 3 3 12" xfId="28685"/>
    <cellStyle name="Procentowy 3 3 12 2" xfId="28686"/>
    <cellStyle name="Procentowy 3 3 13" xfId="28687"/>
    <cellStyle name="Procentowy 3 3 13 2" xfId="28688"/>
    <cellStyle name="Procentowy 3 3 14" xfId="28689"/>
    <cellStyle name="Procentowy 3 3 14 2" xfId="28690"/>
    <cellStyle name="Procentowy 3 3 15" xfId="28691"/>
    <cellStyle name="Procentowy 3 3 15 2" xfId="28692"/>
    <cellStyle name="Procentowy 3 3 16" xfId="28693"/>
    <cellStyle name="Procentowy 3 3 16 2" xfId="28694"/>
    <cellStyle name="Procentowy 3 3 17" xfId="28695"/>
    <cellStyle name="Procentowy 3 3 17 2" xfId="28696"/>
    <cellStyle name="Procentowy 3 3 18" xfId="28697"/>
    <cellStyle name="Procentowy 3 3 18 2" xfId="28698"/>
    <cellStyle name="Procentowy 3 3 19" xfId="28699"/>
    <cellStyle name="Procentowy 3 3 19 2" xfId="28700"/>
    <cellStyle name="Procentowy 3 3 2" xfId="28701"/>
    <cellStyle name="Procentowy 3 3 2 2" xfId="28702"/>
    <cellStyle name="Procentowy 3 3 2 3" xfId="28703"/>
    <cellStyle name="Procentowy 3 3 2 4" xfId="28704"/>
    <cellStyle name="Procentowy 3 3 2 5" xfId="28705"/>
    <cellStyle name="Procentowy 3 3 2 6" xfId="28706"/>
    <cellStyle name="Procentowy 3 3 2 7" xfId="28707"/>
    <cellStyle name="Procentowy 3 3 20" xfId="28708"/>
    <cellStyle name="Procentowy 3 3 20 2" xfId="28709"/>
    <cellStyle name="Procentowy 3 3 21" xfId="28710"/>
    <cellStyle name="Procentowy 3 3 21 2" xfId="28711"/>
    <cellStyle name="Procentowy 3 3 22" xfId="28712"/>
    <cellStyle name="Procentowy 3 3 22 2" xfId="28713"/>
    <cellStyle name="Procentowy 3 3 23" xfId="28714"/>
    <cellStyle name="Procentowy 3 3 23 2" xfId="28715"/>
    <cellStyle name="Procentowy 3 3 24" xfId="28716"/>
    <cellStyle name="Procentowy 3 3 24 2" xfId="28717"/>
    <cellStyle name="Procentowy 3 3 25" xfId="28718"/>
    <cellStyle name="Procentowy 3 3 25 2" xfId="28719"/>
    <cellStyle name="Procentowy 3 3 26" xfId="28720"/>
    <cellStyle name="Procentowy 3 3 26 2" xfId="28721"/>
    <cellStyle name="Procentowy 3 3 27" xfId="28722"/>
    <cellStyle name="Procentowy 3 3 27 2" xfId="28723"/>
    <cellStyle name="Procentowy 3 3 28" xfId="28724"/>
    <cellStyle name="Procentowy 3 3 28 2" xfId="28725"/>
    <cellStyle name="Procentowy 3 3 29" xfId="28726"/>
    <cellStyle name="Procentowy 3 3 29 2" xfId="28727"/>
    <cellStyle name="Procentowy 3 3 3" xfId="28728"/>
    <cellStyle name="Procentowy 3 3 3 2" xfId="28729"/>
    <cellStyle name="Procentowy 3 3 3 3" xfId="28730"/>
    <cellStyle name="Procentowy 3 3 3 4" xfId="28731"/>
    <cellStyle name="Procentowy 3 3 3 5" xfId="28732"/>
    <cellStyle name="Procentowy 3 3 3 6" xfId="28733"/>
    <cellStyle name="Procentowy 3 3 3 7" xfId="28734"/>
    <cellStyle name="Procentowy 3 3 30" xfId="28735"/>
    <cellStyle name="Procentowy 3 3 30 2" xfId="28736"/>
    <cellStyle name="Procentowy 3 3 31" xfId="28737"/>
    <cellStyle name="Procentowy 3 3 31 2" xfId="28738"/>
    <cellStyle name="Procentowy 3 3 32" xfId="28739"/>
    <cellStyle name="Procentowy 3 3 33" xfId="28740"/>
    <cellStyle name="Procentowy 3 3 34" xfId="28741"/>
    <cellStyle name="Procentowy 3 3 35" xfId="28742"/>
    <cellStyle name="Procentowy 3 3 36" xfId="28743"/>
    <cellStyle name="Procentowy 3 3 37" xfId="28744"/>
    <cellStyle name="Procentowy 3 3 38" xfId="28745"/>
    <cellStyle name="Procentowy 3 3 39" xfId="28746"/>
    <cellStyle name="Procentowy 3 3 4" xfId="28747"/>
    <cellStyle name="Procentowy 3 3 4 2" xfId="28748"/>
    <cellStyle name="Procentowy 3 3 4 3" xfId="28749"/>
    <cellStyle name="Procentowy 3 3 4 4" xfId="28750"/>
    <cellStyle name="Procentowy 3 3 4 5" xfId="28751"/>
    <cellStyle name="Procentowy 3 3 4 6" xfId="28752"/>
    <cellStyle name="Procentowy 3 3 4 7" xfId="28753"/>
    <cellStyle name="Procentowy 3 3 40" xfId="28754"/>
    <cellStyle name="Procentowy 3 3 41" xfId="28755"/>
    <cellStyle name="Procentowy 3 3 42" xfId="28756"/>
    <cellStyle name="Procentowy 3 3 43" xfId="28757"/>
    <cellStyle name="Procentowy 3 3 44" xfId="28758"/>
    <cellStyle name="Procentowy 3 3 45" xfId="28759"/>
    <cellStyle name="Procentowy 3 3 46" xfId="28760"/>
    <cellStyle name="Procentowy 3 3 47" xfId="28761"/>
    <cellStyle name="Procentowy 3 3 48" xfId="28762"/>
    <cellStyle name="Procentowy 3 3 49" xfId="28763"/>
    <cellStyle name="Procentowy 3 3 5" xfId="28764"/>
    <cellStyle name="Procentowy 3 3 5 2" xfId="28765"/>
    <cellStyle name="Procentowy 3 3 5 3" xfId="28766"/>
    <cellStyle name="Procentowy 3 3 5 4" xfId="28767"/>
    <cellStyle name="Procentowy 3 3 5 5" xfId="28768"/>
    <cellStyle name="Procentowy 3 3 5 6" xfId="28769"/>
    <cellStyle name="Procentowy 3 3 5 7" xfId="28770"/>
    <cellStyle name="Procentowy 3 3 50" xfId="28771"/>
    <cellStyle name="Procentowy 3 3 51" xfId="28772"/>
    <cellStyle name="Procentowy 3 3 52" xfId="28773"/>
    <cellStyle name="Procentowy 3 3 53" xfId="28774"/>
    <cellStyle name="Procentowy 3 3 54" xfId="28775"/>
    <cellStyle name="Procentowy 3 3 55" xfId="28776"/>
    <cellStyle name="Procentowy 3 3 56" xfId="28777"/>
    <cellStyle name="Procentowy 3 3 57" xfId="28778"/>
    <cellStyle name="Procentowy 3 3 58" xfId="28779"/>
    <cellStyle name="Procentowy 3 3 59" xfId="28780"/>
    <cellStyle name="Procentowy 3 3 6" xfId="28781"/>
    <cellStyle name="Procentowy 3 3 6 2" xfId="28782"/>
    <cellStyle name="Procentowy 3 3 60" xfId="28783"/>
    <cellStyle name="Procentowy 3 3 61" xfId="28784"/>
    <cellStyle name="Procentowy 3 3 62" xfId="28785"/>
    <cellStyle name="Procentowy 3 3 63" xfId="28786"/>
    <cellStyle name="Procentowy 3 3 64" xfId="28787"/>
    <cellStyle name="Procentowy 3 3 65" xfId="28788"/>
    <cellStyle name="Procentowy 3 3 66" xfId="28789"/>
    <cellStyle name="Procentowy 3 3 67" xfId="28790"/>
    <cellStyle name="Procentowy 3 3 68" xfId="28791"/>
    <cellStyle name="Procentowy 3 3 69" xfId="28792"/>
    <cellStyle name="Procentowy 3 3 7" xfId="28793"/>
    <cellStyle name="Procentowy 3 3 7 2" xfId="28794"/>
    <cellStyle name="Procentowy 3 3 70" xfId="28795"/>
    <cellStyle name="Procentowy 3 3 71" xfId="28796"/>
    <cellStyle name="Procentowy 3 3 72" xfId="28797"/>
    <cellStyle name="Procentowy 3 3 73" xfId="28798"/>
    <cellStyle name="Procentowy 3 3 74" xfId="28799"/>
    <cellStyle name="Procentowy 3 3 75" xfId="28800"/>
    <cellStyle name="Procentowy 3 3 8" xfId="28801"/>
    <cellStyle name="Procentowy 3 3 8 2" xfId="28802"/>
    <cellStyle name="Procentowy 3 3 9" xfId="28803"/>
    <cellStyle name="Procentowy 3 3 9 2" xfId="28804"/>
    <cellStyle name="Procentowy 3 30" xfId="28805"/>
    <cellStyle name="Procentowy 3 30 2" xfId="28806"/>
    <cellStyle name="Procentowy 3 31" xfId="28807"/>
    <cellStyle name="Procentowy 3 31 2" xfId="28808"/>
    <cellStyle name="Procentowy 3 32" xfId="28809"/>
    <cellStyle name="Procentowy 3 32 2" xfId="28810"/>
    <cellStyle name="Procentowy 3 33" xfId="28811"/>
    <cellStyle name="Procentowy 3 33 2" xfId="28812"/>
    <cellStyle name="Procentowy 3 34" xfId="28813"/>
    <cellStyle name="Procentowy 3 34 2" xfId="28814"/>
    <cellStyle name="Procentowy 3 35" xfId="28815"/>
    <cellStyle name="Procentowy 3 35 2" xfId="28816"/>
    <cellStyle name="Procentowy 3 36" xfId="28817"/>
    <cellStyle name="Procentowy 3 36 2" xfId="28818"/>
    <cellStyle name="Procentowy 3 37" xfId="28819"/>
    <cellStyle name="Procentowy 3 37 2" xfId="28820"/>
    <cellStyle name="Procentowy 3 38" xfId="28821"/>
    <cellStyle name="Procentowy 3 38 2" xfId="28822"/>
    <cellStyle name="Procentowy 3 39" xfId="28823"/>
    <cellStyle name="Procentowy 3 39 2" xfId="28824"/>
    <cellStyle name="Procentowy 3 4" xfId="28825"/>
    <cellStyle name="Procentowy 3 4 10" xfId="28826"/>
    <cellStyle name="Procentowy 3 4 10 2" xfId="28827"/>
    <cellStyle name="Procentowy 3 4 11" xfId="28828"/>
    <cellStyle name="Procentowy 3 4 11 2" xfId="28829"/>
    <cellStyle name="Procentowy 3 4 12" xfId="28830"/>
    <cellStyle name="Procentowy 3 4 12 2" xfId="28831"/>
    <cellStyle name="Procentowy 3 4 13" xfId="28832"/>
    <cellStyle name="Procentowy 3 4 13 2" xfId="28833"/>
    <cellStyle name="Procentowy 3 4 14" xfId="28834"/>
    <cellStyle name="Procentowy 3 4 14 2" xfId="28835"/>
    <cellStyle name="Procentowy 3 4 15" xfId="28836"/>
    <cellStyle name="Procentowy 3 4 15 2" xfId="28837"/>
    <cellStyle name="Procentowy 3 4 16" xfId="28838"/>
    <cellStyle name="Procentowy 3 4 16 2" xfId="28839"/>
    <cellStyle name="Procentowy 3 4 17" xfId="28840"/>
    <cellStyle name="Procentowy 3 4 17 2" xfId="28841"/>
    <cellStyle name="Procentowy 3 4 18" xfId="28842"/>
    <cellStyle name="Procentowy 3 4 18 2" xfId="28843"/>
    <cellStyle name="Procentowy 3 4 19" xfId="28844"/>
    <cellStyle name="Procentowy 3 4 19 2" xfId="28845"/>
    <cellStyle name="Procentowy 3 4 2" xfId="28846"/>
    <cellStyle name="Procentowy 3 4 2 2" xfId="28847"/>
    <cellStyle name="Procentowy 3 4 2 3" xfId="28848"/>
    <cellStyle name="Procentowy 3 4 2 4" xfId="28849"/>
    <cellStyle name="Procentowy 3 4 2 5" xfId="28850"/>
    <cellStyle name="Procentowy 3 4 2 6" xfId="28851"/>
    <cellStyle name="Procentowy 3 4 2 7" xfId="28852"/>
    <cellStyle name="Procentowy 3 4 20" xfId="28853"/>
    <cellStyle name="Procentowy 3 4 20 2" xfId="28854"/>
    <cellStyle name="Procentowy 3 4 21" xfId="28855"/>
    <cellStyle name="Procentowy 3 4 21 2" xfId="28856"/>
    <cellStyle name="Procentowy 3 4 22" xfId="28857"/>
    <cellStyle name="Procentowy 3 4 22 2" xfId="28858"/>
    <cellStyle name="Procentowy 3 4 23" xfId="28859"/>
    <cellStyle name="Procentowy 3 4 23 2" xfId="28860"/>
    <cellStyle name="Procentowy 3 4 24" xfId="28861"/>
    <cellStyle name="Procentowy 3 4 24 2" xfId="28862"/>
    <cellStyle name="Procentowy 3 4 25" xfId="28863"/>
    <cellStyle name="Procentowy 3 4 25 2" xfId="28864"/>
    <cellStyle name="Procentowy 3 4 26" xfId="28865"/>
    <cellStyle name="Procentowy 3 4 26 2" xfId="28866"/>
    <cellStyle name="Procentowy 3 4 27" xfId="28867"/>
    <cellStyle name="Procentowy 3 4 27 2" xfId="28868"/>
    <cellStyle name="Procentowy 3 4 28" xfId="28869"/>
    <cellStyle name="Procentowy 3 4 28 2" xfId="28870"/>
    <cellStyle name="Procentowy 3 4 29" xfId="28871"/>
    <cellStyle name="Procentowy 3 4 29 2" xfId="28872"/>
    <cellStyle name="Procentowy 3 4 3" xfId="28873"/>
    <cellStyle name="Procentowy 3 4 3 2" xfId="28874"/>
    <cellStyle name="Procentowy 3 4 3 3" xfId="28875"/>
    <cellStyle name="Procentowy 3 4 3 4" xfId="28876"/>
    <cellStyle name="Procentowy 3 4 3 5" xfId="28877"/>
    <cellStyle name="Procentowy 3 4 3 6" xfId="28878"/>
    <cellStyle name="Procentowy 3 4 3 7" xfId="28879"/>
    <cellStyle name="Procentowy 3 4 30" xfId="28880"/>
    <cellStyle name="Procentowy 3 4 30 2" xfId="28881"/>
    <cellStyle name="Procentowy 3 4 31" xfId="28882"/>
    <cellStyle name="Procentowy 3 4 31 2" xfId="28883"/>
    <cellStyle name="Procentowy 3 4 32" xfId="28884"/>
    <cellStyle name="Procentowy 3 4 33" xfId="28885"/>
    <cellStyle name="Procentowy 3 4 34" xfId="28886"/>
    <cellStyle name="Procentowy 3 4 35" xfId="28887"/>
    <cellStyle name="Procentowy 3 4 36" xfId="28888"/>
    <cellStyle name="Procentowy 3 4 37" xfId="28889"/>
    <cellStyle name="Procentowy 3 4 38" xfId="28890"/>
    <cellStyle name="Procentowy 3 4 39" xfId="28891"/>
    <cellStyle name="Procentowy 3 4 4" xfId="28892"/>
    <cellStyle name="Procentowy 3 4 4 2" xfId="28893"/>
    <cellStyle name="Procentowy 3 4 4 3" xfId="28894"/>
    <cellStyle name="Procentowy 3 4 4 4" xfId="28895"/>
    <cellStyle name="Procentowy 3 4 4 5" xfId="28896"/>
    <cellStyle name="Procentowy 3 4 4 6" xfId="28897"/>
    <cellStyle name="Procentowy 3 4 4 7" xfId="28898"/>
    <cellStyle name="Procentowy 3 4 40" xfId="28899"/>
    <cellStyle name="Procentowy 3 4 41" xfId="28900"/>
    <cellStyle name="Procentowy 3 4 42" xfId="28901"/>
    <cellStyle name="Procentowy 3 4 43" xfId="28902"/>
    <cellStyle name="Procentowy 3 4 44" xfId="28903"/>
    <cellStyle name="Procentowy 3 4 45" xfId="28904"/>
    <cellStyle name="Procentowy 3 4 46" xfId="28905"/>
    <cellStyle name="Procentowy 3 4 47" xfId="28906"/>
    <cellStyle name="Procentowy 3 4 48" xfId="28907"/>
    <cellStyle name="Procentowy 3 4 49" xfId="28908"/>
    <cellStyle name="Procentowy 3 4 5" xfId="28909"/>
    <cellStyle name="Procentowy 3 4 5 2" xfId="28910"/>
    <cellStyle name="Procentowy 3 4 5 3" xfId="28911"/>
    <cellStyle name="Procentowy 3 4 5 4" xfId="28912"/>
    <cellStyle name="Procentowy 3 4 5 5" xfId="28913"/>
    <cellStyle name="Procentowy 3 4 5 6" xfId="28914"/>
    <cellStyle name="Procentowy 3 4 5 7" xfId="28915"/>
    <cellStyle name="Procentowy 3 4 50" xfId="28916"/>
    <cellStyle name="Procentowy 3 4 51" xfId="28917"/>
    <cellStyle name="Procentowy 3 4 52" xfId="28918"/>
    <cellStyle name="Procentowy 3 4 53" xfId="28919"/>
    <cellStyle name="Procentowy 3 4 54" xfId="28920"/>
    <cellStyle name="Procentowy 3 4 55" xfId="28921"/>
    <cellStyle name="Procentowy 3 4 56" xfId="28922"/>
    <cellStyle name="Procentowy 3 4 57" xfId="28923"/>
    <cellStyle name="Procentowy 3 4 58" xfId="28924"/>
    <cellStyle name="Procentowy 3 4 59" xfId="28925"/>
    <cellStyle name="Procentowy 3 4 6" xfId="28926"/>
    <cellStyle name="Procentowy 3 4 6 2" xfId="28927"/>
    <cellStyle name="Procentowy 3 4 60" xfId="28928"/>
    <cellStyle name="Procentowy 3 4 61" xfId="28929"/>
    <cellStyle name="Procentowy 3 4 62" xfId="28930"/>
    <cellStyle name="Procentowy 3 4 63" xfId="28931"/>
    <cellStyle name="Procentowy 3 4 64" xfId="28932"/>
    <cellStyle name="Procentowy 3 4 65" xfId="28933"/>
    <cellStyle name="Procentowy 3 4 66" xfId="28934"/>
    <cellStyle name="Procentowy 3 4 67" xfId="28935"/>
    <cellStyle name="Procentowy 3 4 68" xfId="28936"/>
    <cellStyle name="Procentowy 3 4 69" xfId="28937"/>
    <cellStyle name="Procentowy 3 4 7" xfId="28938"/>
    <cellStyle name="Procentowy 3 4 7 2" xfId="28939"/>
    <cellStyle name="Procentowy 3 4 70" xfId="28940"/>
    <cellStyle name="Procentowy 3 4 71" xfId="28941"/>
    <cellStyle name="Procentowy 3 4 72" xfId="28942"/>
    <cellStyle name="Procentowy 3 4 73" xfId="28943"/>
    <cellStyle name="Procentowy 3 4 74" xfId="28944"/>
    <cellStyle name="Procentowy 3 4 75" xfId="28945"/>
    <cellStyle name="Procentowy 3 4 76" xfId="28946"/>
    <cellStyle name="Procentowy 3 4 8" xfId="28947"/>
    <cellStyle name="Procentowy 3 4 8 2" xfId="28948"/>
    <cellStyle name="Procentowy 3 4 9" xfId="28949"/>
    <cellStyle name="Procentowy 3 4 9 2" xfId="28950"/>
    <cellStyle name="Procentowy 3 40" xfId="28951"/>
    <cellStyle name="Procentowy 3 40 2" xfId="28952"/>
    <cellStyle name="Procentowy 3 41" xfId="28953"/>
    <cellStyle name="Procentowy 3 41 2" xfId="28954"/>
    <cellStyle name="Procentowy 3 42" xfId="28955"/>
    <cellStyle name="Procentowy 3 42 2" xfId="28956"/>
    <cellStyle name="Procentowy 3 43" xfId="28957"/>
    <cellStyle name="Procentowy 3 43 2" xfId="28958"/>
    <cellStyle name="Procentowy 3 44" xfId="28959"/>
    <cellStyle name="Procentowy 3 44 2" xfId="28960"/>
    <cellStyle name="Procentowy 3 45" xfId="28961"/>
    <cellStyle name="Procentowy 3 45 2" xfId="28962"/>
    <cellStyle name="Procentowy 3 46" xfId="28963"/>
    <cellStyle name="Procentowy 3 46 2" xfId="28964"/>
    <cellStyle name="Procentowy 3 47" xfId="28965"/>
    <cellStyle name="Procentowy 3 47 2" xfId="28966"/>
    <cellStyle name="Procentowy 3 48" xfId="28967"/>
    <cellStyle name="Procentowy 3 48 2" xfId="28968"/>
    <cellStyle name="Procentowy 3 49" xfId="28969"/>
    <cellStyle name="Procentowy 3 49 2" xfId="28970"/>
    <cellStyle name="Procentowy 3 5" xfId="28971"/>
    <cellStyle name="Procentowy 3 5 10" xfId="28972"/>
    <cellStyle name="Procentowy 3 5 10 2" xfId="28973"/>
    <cellStyle name="Procentowy 3 5 11" xfId="28974"/>
    <cellStyle name="Procentowy 3 5 11 2" xfId="28975"/>
    <cellStyle name="Procentowy 3 5 12" xfId="28976"/>
    <cellStyle name="Procentowy 3 5 12 2" xfId="28977"/>
    <cellStyle name="Procentowy 3 5 13" xfId="28978"/>
    <cellStyle name="Procentowy 3 5 13 2" xfId="28979"/>
    <cellStyle name="Procentowy 3 5 14" xfId="28980"/>
    <cellStyle name="Procentowy 3 5 14 2" xfId="28981"/>
    <cellStyle name="Procentowy 3 5 15" xfId="28982"/>
    <cellStyle name="Procentowy 3 5 15 2" xfId="28983"/>
    <cellStyle name="Procentowy 3 5 16" xfId="28984"/>
    <cellStyle name="Procentowy 3 5 16 2" xfId="28985"/>
    <cellStyle name="Procentowy 3 5 17" xfId="28986"/>
    <cellStyle name="Procentowy 3 5 17 2" xfId="28987"/>
    <cellStyle name="Procentowy 3 5 18" xfId="28988"/>
    <cellStyle name="Procentowy 3 5 18 2" xfId="28989"/>
    <cellStyle name="Procentowy 3 5 19" xfId="28990"/>
    <cellStyle name="Procentowy 3 5 19 2" xfId="28991"/>
    <cellStyle name="Procentowy 3 5 2" xfId="28992"/>
    <cellStyle name="Procentowy 3 5 2 2" xfId="28993"/>
    <cellStyle name="Procentowy 3 5 2 3" xfId="28994"/>
    <cellStyle name="Procentowy 3 5 2 4" xfId="28995"/>
    <cellStyle name="Procentowy 3 5 2 5" xfId="28996"/>
    <cellStyle name="Procentowy 3 5 2 6" xfId="28997"/>
    <cellStyle name="Procentowy 3 5 2 7" xfId="28998"/>
    <cellStyle name="Procentowy 3 5 20" xfId="28999"/>
    <cellStyle name="Procentowy 3 5 20 2" xfId="29000"/>
    <cellStyle name="Procentowy 3 5 21" xfId="29001"/>
    <cellStyle name="Procentowy 3 5 21 2" xfId="29002"/>
    <cellStyle name="Procentowy 3 5 22" xfId="29003"/>
    <cellStyle name="Procentowy 3 5 22 2" xfId="29004"/>
    <cellStyle name="Procentowy 3 5 23" xfId="29005"/>
    <cellStyle name="Procentowy 3 5 23 2" xfId="29006"/>
    <cellStyle name="Procentowy 3 5 24" xfId="29007"/>
    <cellStyle name="Procentowy 3 5 24 2" xfId="29008"/>
    <cellStyle name="Procentowy 3 5 25" xfId="29009"/>
    <cellStyle name="Procentowy 3 5 25 2" xfId="29010"/>
    <cellStyle name="Procentowy 3 5 26" xfId="29011"/>
    <cellStyle name="Procentowy 3 5 26 2" xfId="29012"/>
    <cellStyle name="Procentowy 3 5 27" xfId="29013"/>
    <cellStyle name="Procentowy 3 5 27 2" xfId="29014"/>
    <cellStyle name="Procentowy 3 5 28" xfId="29015"/>
    <cellStyle name="Procentowy 3 5 28 2" xfId="29016"/>
    <cellStyle name="Procentowy 3 5 29" xfId="29017"/>
    <cellStyle name="Procentowy 3 5 29 2" xfId="29018"/>
    <cellStyle name="Procentowy 3 5 3" xfId="29019"/>
    <cellStyle name="Procentowy 3 5 3 2" xfId="29020"/>
    <cellStyle name="Procentowy 3 5 3 3" xfId="29021"/>
    <cellStyle name="Procentowy 3 5 3 4" xfId="29022"/>
    <cellStyle name="Procentowy 3 5 3 5" xfId="29023"/>
    <cellStyle name="Procentowy 3 5 3 6" xfId="29024"/>
    <cellStyle name="Procentowy 3 5 3 7" xfId="29025"/>
    <cellStyle name="Procentowy 3 5 30" xfId="29026"/>
    <cellStyle name="Procentowy 3 5 30 2" xfId="29027"/>
    <cellStyle name="Procentowy 3 5 31" xfId="29028"/>
    <cellStyle name="Procentowy 3 5 31 2" xfId="29029"/>
    <cellStyle name="Procentowy 3 5 32" xfId="29030"/>
    <cellStyle name="Procentowy 3 5 33" xfId="29031"/>
    <cellStyle name="Procentowy 3 5 34" xfId="29032"/>
    <cellStyle name="Procentowy 3 5 35" xfId="29033"/>
    <cellStyle name="Procentowy 3 5 36" xfId="29034"/>
    <cellStyle name="Procentowy 3 5 37" xfId="29035"/>
    <cellStyle name="Procentowy 3 5 38" xfId="29036"/>
    <cellStyle name="Procentowy 3 5 39" xfId="29037"/>
    <cellStyle name="Procentowy 3 5 4" xfId="29038"/>
    <cellStyle name="Procentowy 3 5 4 2" xfId="29039"/>
    <cellStyle name="Procentowy 3 5 4 3" xfId="29040"/>
    <cellStyle name="Procentowy 3 5 4 4" xfId="29041"/>
    <cellStyle name="Procentowy 3 5 4 5" xfId="29042"/>
    <cellStyle name="Procentowy 3 5 4 6" xfId="29043"/>
    <cellStyle name="Procentowy 3 5 4 7" xfId="29044"/>
    <cellStyle name="Procentowy 3 5 40" xfId="29045"/>
    <cellStyle name="Procentowy 3 5 41" xfId="29046"/>
    <cellStyle name="Procentowy 3 5 42" xfId="29047"/>
    <cellStyle name="Procentowy 3 5 43" xfId="29048"/>
    <cellStyle name="Procentowy 3 5 44" xfId="29049"/>
    <cellStyle name="Procentowy 3 5 45" xfId="29050"/>
    <cellStyle name="Procentowy 3 5 46" xfId="29051"/>
    <cellStyle name="Procentowy 3 5 47" xfId="29052"/>
    <cellStyle name="Procentowy 3 5 48" xfId="29053"/>
    <cellStyle name="Procentowy 3 5 49" xfId="29054"/>
    <cellStyle name="Procentowy 3 5 5" xfId="29055"/>
    <cellStyle name="Procentowy 3 5 5 2" xfId="29056"/>
    <cellStyle name="Procentowy 3 5 5 3" xfId="29057"/>
    <cellStyle name="Procentowy 3 5 5 4" xfId="29058"/>
    <cellStyle name="Procentowy 3 5 5 5" xfId="29059"/>
    <cellStyle name="Procentowy 3 5 5 6" xfId="29060"/>
    <cellStyle name="Procentowy 3 5 5 7" xfId="29061"/>
    <cellStyle name="Procentowy 3 5 50" xfId="29062"/>
    <cellStyle name="Procentowy 3 5 51" xfId="29063"/>
    <cellStyle name="Procentowy 3 5 52" xfId="29064"/>
    <cellStyle name="Procentowy 3 5 53" xfId="29065"/>
    <cellStyle name="Procentowy 3 5 54" xfId="29066"/>
    <cellStyle name="Procentowy 3 5 55" xfId="29067"/>
    <cellStyle name="Procentowy 3 5 56" xfId="29068"/>
    <cellStyle name="Procentowy 3 5 57" xfId="29069"/>
    <cellStyle name="Procentowy 3 5 58" xfId="29070"/>
    <cellStyle name="Procentowy 3 5 59" xfId="29071"/>
    <cellStyle name="Procentowy 3 5 6" xfId="29072"/>
    <cellStyle name="Procentowy 3 5 6 2" xfId="29073"/>
    <cellStyle name="Procentowy 3 5 60" xfId="29074"/>
    <cellStyle name="Procentowy 3 5 61" xfId="29075"/>
    <cellStyle name="Procentowy 3 5 62" xfId="29076"/>
    <cellStyle name="Procentowy 3 5 63" xfId="29077"/>
    <cellStyle name="Procentowy 3 5 64" xfId="29078"/>
    <cellStyle name="Procentowy 3 5 65" xfId="29079"/>
    <cellStyle name="Procentowy 3 5 66" xfId="29080"/>
    <cellStyle name="Procentowy 3 5 67" xfId="29081"/>
    <cellStyle name="Procentowy 3 5 68" xfId="29082"/>
    <cellStyle name="Procentowy 3 5 69" xfId="29083"/>
    <cellStyle name="Procentowy 3 5 7" xfId="29084"/>
    <cellStyle name="Procentowy 3 5 7 2" xfId="29085"/>
    <cellStyle name="Procentowy 3 5 70" xfId="29086"/>
    <cellStyle name="Procentowy 3 5 71" xfId="29087"/>
    <cellStyle name="Procentowy 3 5 72" xfId="29088"/>
    <cellStyle name="Procentowy 3 5 73" xfId="29089"/>
    <cellStyle name="Procentowy 3 5 74" xfId="29090"/>
    <cellStyle name="Procentowy 3 5 8" xfId="29091"/>
    <cellStyle name="Procentowy 3 5 8 2" xfId="29092"/>
    <cellStyle name="Procentowy 3 5 9" xfId="29093"/>
    <cellStyle name="Procentowy 3 5 9 2" xfId="29094"/>
    <cellStyle name="Procentowy 3 50" xfId="29095"/>
    <cellStyle name="Procentowy 3 50 2" xfId="29096"/>
    <cellStyle name="Procentowy 3 51" xfId="29097"/>
    <cellStyle name="Procentowy 3 51 2" xfId="29098"/>
    <cellStyle name="Procentowy 3 52" xfId="29099"/>
    <cellStyle name="Procentowy 3 52 2" xfId="29100"/>
    <cellStyle name="Procentowy 3 53" xfId="29101"/>
    <cellStyle name="Procentowy 3 53 2" xfId="29102"/>
    <cellStyle name="Procentowy 3 54" xfId="29103"/>
    <cellStyle name="Procentowy 3 54 2" xfId="29104"/>
    <cellStyle name="Procentowy 3 55" xfId="29105"/>
    <cellStyle name="Procentowy 3 55 2" xfId="29106"/>
    <cellStyle name="Procentowy 3 56" xfId="29107"/>
    <cellStyle name="Procentowy 3 56 2" xfId="29108"/>
    <cellStyle name="Procentowy 3 57" xfId="29109"/>
    <cellStyle name="Procentowy 3 57 2" xfId="29110"/>
    <cellStyle name="Procentowy 3 58" xfId="29111"/>
    <cellStyle name="Procentowy 3 58 2" xfId="29112"/>
    <cellStyle name="Procentowy 3 59" xfId="29113"/>
    <cellStyle name="Procentowy 3 59 2" xfId="29114"/>
    <cellStyle name="Procentowy 3 6" xfId="29115"/>
    <cellStyle name="Procentowy 3 6 10" xfId="29116"/>
    <cellStyle name="Procentowy 3 6 10 2" xfId="29117"/>
    <cellStyle name="Procentowy 3 6 11" xfId="29118"/>
    <cellStyle name="Procentowy 3 6 11 2" xfId="29119"/>
    <cellStyle name="Procentowy 3 6 12" xfId="29120"/>
    <cellStyle name="Procentowy 3 6 12 2" xfId="29121"/>
    <cellStyle name="Procentowy 3 6 13" xfId="29122"/>
    <cellStyle name="Procentowy 3 6 13 2" xfId="29123"/>
    <cellStyle name="Procentowy 3 6 14" xfId="29124"/>
    <cellStyle name="Procentowy 3 6 14 2" xfId="29125"/>
    <cellStyle name="Procentowy 3 6 15" xfId="29126"/>
    <cellStyle name="Procentowy 3 6 15 2" xfId="29127"/>
    <cellStyle name="Procentowy 3 6 16" xfId="29128"/>
    <cellStyle name="Procentowy 3 6 16 2" xfId="29129"/>
    <cellStyle name="Procentowy 3 6 17" xfId="29130"/>
    <cellStyle name="Procentowy 3 6 17 2" xfId="29131"/>
    <cellStyle name="Procentowy 3 6 18" xfId="29132"/>
    <cellStyle name="Procentowy 3 6 18 2" xfId="29133"/>
    <cellStyle name="Procentowy 3 6 19" xfId="29134"/>
    <cellStyle name="Procentowy 3 6 19 2" xfId="29135"/>
    <cellStyle name="Procentowy 3 6 2" xfId="29136"/>
    <cellStyle name="Procentowy 3 6 2 2" xfId="29137"/>
    <cellStyle name="Procentowy 3 6 2 3" xfId="29138"/>
    <cellStyle name="Procentowy 3 6 2 4" xfId="29139"/>
    <cellStyle name="Procentowy 3 6 2 5" xfId="29140"/>
    <cellStyle name="Procentowy 3 6 2 6" xfId="29141"/>
    <cellStyle name="Procentowy 3 6 2 7" xfId="29142"/>
    <cellStyle name="Procentowy 3 6 20" xfId="29143"/>
    <cellStyle name="Procentowy 3 6 20 2" xfId="29144"/>
    <cellStyle name="Procentowy 3 6 21" xfId="29145"/>
    <cellStyle name="Procentowy 3 6 21 2" xfId="29146"/>
    <cellStyle name="Procentowy 3 6 22" xfId="29147"/>
    <cellStyle name="Procentowy 3 6 22 2" xfId="29148"/>
    <cellStyle name="Procentowy 3 6 23" xfId="29149"/>
    <cellStyle name="Procentowy 3 6 23 2" xfId="29150"/>
    <cellStyle name="Procentowy 3 6 24" xfId="29151"/>
    <cellStyle name="Procentowy 3 6 24 2" xfId="29152"/>
    <cellStyle name="Procentowy 3 6 25" xfId="29153"/>
    <cellStyle name="Procentowy 3 6 25 2" xfId="29154"/>
    <cellStyle name="Procentowy 3 6 26" xfId="29155"/>
    <cellStyle name="Procentowy 3 6 26 2" xfId="29156"/>
    <cellStyle name="Procentowy 3 6 27" xfId="29157"/>
    <cellStyle name="Procentowy 3 6 27 2" xfId="29158"/>
    <cellStyle name="Procentowy 3 6 28" xfId="29159"/>
    <cellStyle name="Procentowy 3 6 28 2" xfId="29160"/>
    <cellStyle name="Procentowy 3 6 29" xfId="29161"/>
    <cellStyle name="Procentowy 3 6 29 2" xfId="29162"/>
    <cellStyle name="Procentowy 3 6 3" xfId="29163"/>
    <cellStyle name="Procentowy 3 6 3 2" xfId="29164"/>
    <cellStyle name="Procentowy 3 6 3 3" xfId="29165"/>
    <cellStyle name="Procentowy 3 6 3 4" xfId="29166"/>
    <cellStyle name="Procentowy 3 6 3 5" xfId="29167"/>
    <cellStyle name="Procentowy 3 6 3 6" xfId="29168"/>
    <cellStyle name="Procentowy 3 6 3 7" xfId="29169"/>
    <cellStyle name="Procentowy 3 6 30" xfId="29170"/>
    <cellStyle name="Procentowy 3 6 30 2" xfId="29171"/>
    <cellStyle name="Procentowy 3 6 31" xfId="29172"/>
    <cellStyle name="Procentowy 3 6 31 2" xfId="29173"/>
    <cellStyle name="Procentowy 3 6 32" xfId="29174"/>
    <cellStyle name="Procentowy 3 6 33" xfId="29175"/>
    <cellStyle name="Procentowy 3 6 34" xfId="29176"/>
    <cellStyle name="Procentowy 3 6 35" xfId="29177"/>
    <cellStyle name="Procentowy 3 6 36" xfId="29178"/>
    <cellStyle name="Procentowy 3 6 37" xfId="29179"/>
    <cellStyle name="Procentowy 3 6 38" xfId="29180"/>
    <cellStyle name="Procentowy 3 6 39" xfId="29181"/>
    <cellStyle name="Procentowy 3 6 4" xfId="29182"/>
    <cellStyle name="Procentowy 3 6 4 2" xfId="29183"/>
    <cellStyle name="Procentowy 3 6 4 3" xfId="29184"/>
    <cellStyle name="Procentowy 3 6 4 4" xfId="29185"/>
    <cellStyle name="Procentowy 3 6 4 5" xfId="29186"/>
    <cellStyle name="Procentowy 3 6 4 6" xfId="29187"/>
    <cellStyle name="Procentowy 3 6 4 7" xfId="29188"/>
    <cellStyle name="Procentowy 3 6 40" xfId="29189"/>
    <cellStyle name="Procentowy 3 6 41" xfId="29190"/>
    <cellStyle name="Procentowy 3 6 42" xfId="29191"/>
    <cellStyle name="Procentowy 3 6 43" xfId="29192"/>
    <cellStyle name="Procentowy 3 6 44" xfId="29193"/>
    <cellStyle name="Procentowy 3 6 45" xfId="29194"/>
    <cellStyle name="Procentowy 3 6 46" xfId="29195"/>
    <cellStyle name="Procentowy 3 6 47" xfId="29196"/>
    <cellStyle name="Procentowy 3 6 48" xfId="29197"/>
    <cellStyle name="Procentowy 3 6 49" xfId="29198"/>
    <cellStyle name="Procentowy 3 6 5" xfId="29199"/>
    <cellStyle name="Procentowy 3 6 5 2" xfId="29200"/>
    <cellStyle name="Procentowy 3 6 5 3" xfId="29201"/>
    <cellStyle name="Procentowy 3 6 5 4" xfId="29202"/>
    <cellStyle name="Procentowy 3 6 5 5" xfId="29203"/>
    <cellStyle name="Procentowy 3 6 5 6" xfId="29204"/>
    <cellStyle name="Procentowy 3 6 5 7" xfId="29205"/>
    <cellStyle name="Procentowy 3 6 50" xfId="29206"/>
    <cellStyle name="Procentowy 3 6 51" xfId="29207"/>
    <cellStyle name="Procentowy 3 6 52" xfId="29208"/>
    <cellStyle name="Procentowy 3 6 53" xfId="29209"/>
    <cellStyle name="Procentowy 3 6 54" xfId="29210"/>
    <cellStyle name="Procentowy 3 6 55" xfId="29211"/>
    <cellStyle name="Procentowy 3 6 56" xfId="29212"/>
    <cellStyle name="Procentowy 3 6 57" xfId="29213"/>
    <cellStyle name="Procentowy 3 6 58" xfId="29214"/>
    <cellStyle name="Procentowy 3 6 59" xfId="29215"/>
    <cellStyle name="Procentowy 3 6 6" xfId="29216"/>
    <cellStyle name="Procentowy 3 6 6 2" xfId="29217"/>
    <cellStyle name="Procentowy 3 6 60" xfId="29218"/>
    <cellStyle name="Procentowy 3 6 61" xfId="29219"/>
    <cellStyle name="Procentowy 3 6 62" xfId="29220"/>
    <cellStyle name="Procentowy 3 6 63" xfId="29221"/>
    <cellStyle name="Procentowy 3 6 64" xfId="29222"/>
    <cellStyle name="Procentowy 3 6 65" xfId="29223"/>
    <cellStyle name="Procentowy 3 6 66" xfId="29224"/>
    <cellStyle name="Procentowy 3 6 67" xfId="29225"/>
    <cellStyle name="Procentowy 3 6 68" xfId="29226"/>
    <cellStyle name="Procentowy 3 6 69" xfId="29227"/>
    <cellStyle name="Procentowy 3 6 7" xfId="29228"/>
    <cellStyle name="Procentowy 3 6 7 2" xfId="29229"/>
    <cellStyle name="Procentowy 3 6 70" xfId="29230"/>
    <cellStyle name="Procentowy 3 6 71" xfId="29231"/>
    <cellStyle name="Procentowy 3 6 72" xfId="29232"/>
    <cellStyle name="Procentowy 3 6 73" xfId="29233"/>
    <cellStyle name="Procentowy 3 6 74" xfId="29234"/>
    <cellStyle name="Procentowy 3 6 8" xfId="29235"/>
    <cellStyle name="Procentowy 3 6 8 2" xfId="29236"/>
    <cellStyle name="Procentowy 3 6 9" xfId="29237"/>
    <cellStyle name="Procentowy 3 6 9 2" xfId="29238"/>
    <cellStyle name="Procentowy 3 60" xfId="29239"/>
    <cellStyle name="Procentowy 3 60 2" xfId="29240"/>
    <cellStyle name="Procentowy 3 61" xfId="29241"/>
    <cellStyle name="Procentowy 3 61 2" xfId="29242"/>
    <cellStyle name="Procentowy 3 62" xfId="29243"/>
    <cellStyle name="Procentowy 3 62 2" xfId="29244"/>
    <cellStyle name="Procentowy 3 63" xfId="29245"/>
    <cellStyle name="Procentowy 3 63 2" xfId="29246"/>
    <cellStyle name="Procentowy 3 64" xfId="29247"/>
    <cellStyle name="Procentowy 3 64 2" xfId="29248"/>
    <cellStyle name="Procentowy 3 65" xfId="29249"/>
    <cellStyle name="Procentowy 3 65 2" xfId="29250"/>
    <cellStyle name="Procentowy 3 66" xfId="29251"/>
    <cellStyle name="Procentowy 3 66 2" xfId="29252"/>
    <cellStyle name="Procentowy 3 67" xfId="29253"/>
    <cellStyle name="Procentowy 3 67 2" xfId="29254"/>
    <cellStyle name="Procentowy 3 68" xfId="29255"/>
    <cellStyle name="Procentowy 3 68 2" xfId="29256"/>
    <cellStyle name="Procentowy 3 69" xfId="29257"/>
    <cellStyle name="Procentowy 3 69 2" xfId="29258"/>
    <cellStyle name="Procentowy 3 7" xfId="29259"/>
    <cellStyle name="Procentowy 3 7 10" xfId="29260"/>
    <cellStyle name="Procentowy 3 7 10 2" xfId="29261"/>
    <cellStyle name="Procentowy 3 7 11" xfId="29262"/>
    <cellStyle name="Procentowy 3 7 11 2" xfId="29263"/>
    <cellStyle name="Procentowy 3 7 12" xfId="29264"/>
    <cellStyle name="Procentowy 3 7 12 2" xfId="29265"/>
    <cellStyle name="Procentowy 3 7 13" xfId="29266"/>
    <cellStyle name="Procentowy 3 7 13 2" xfId="29267"/>
    <cellStyle name="Procentowy 3 7 14" xfId="29268"/>
    <cellStyle name="Procentowy 3 7 14 2" xfId="29269"/>
    <cellStyle name="Procentowy 3 7 15" xfId="29270"/>
    <cellStyle name="Procentowy 3 7 15 2" xfId="29271"/>
    <cellStyle name="Procentowy 3 7 16" xfId="29272"/>
    <cellStyle name="Procentowy 3 7 16 2" xfId="29273"/>
    <cellStyle name="Procentowy 3 7 17" xfId="29274"/>
    <cellStyle name="Procentowy 3 7 17 2" xfId="29275"/>
    <cellStyle name="Procentowy 3 7 18" xfId="29276"/>
    <cellStyle name="Procentowy 3 7 18 2" xfId="29277"/>
    <cellStyle name="Procentowy 3 7 19" xfId="29278"/>
    <cellStyle name="Procentowy 3 7 19 2" xfId="29279"/>
    <cellStyle name="Procentowy 3 7 2" xfId="29280"/>
    <cellStyle name="Procentowy 3 7 2 2" xfId="29281"/>
    <cellStyle name="Procentowy 3 7 2 3" xfId="29282"/>
    <cellStyle name="Procentowy 3 7 2 4" xfId="29283"/>
    <cellStyle name="Procentowy 3 7 2 5" xfId="29284"/>
    <cellStyle name="Procentowy 3 7 2 6" xfId="29285"/>
    <cellStyle name="Procentowy 3 7 2 7" xfId="29286"/>
    <cellStyle name="Procentowy 3 7 20" xfId="29287"/>
    <cellStyle name="Procentowy 3 7 20 2" xfId="29288"/>
    <cellStyle name="Procentowy 3 7 21" xfId="29289"/>
    <cellStyle name="Procentowy 3 7 21 2" xfId="29290"/>
    <cellStyle name="Procentowy 3 7 22" xfId="29291"/>
    <cellStyle name="Procentowy 3 7 22 2" xfId="29292"/>
    <cellStyle name="Procentowy 3 7 23" xfId="29293"/>
    <cellStyle name="Procentowy 3 7 23 2" xfId="29294"/>
    <cellStyle name="Procentowy 3 7 24" xfId="29295"/>
    <cellStyle name="Procentowy 3 7 24 2" xfId="29296"/>
    <cellStyle name="Procentowy 3 7 25" xfId="29297"/>
    <cellStyle name="Procentowy 3 7 25 2" xfId="29298"/>
    <cellStyle name="Procentowy 3 7 26" xfId="29299"/>
    <cellStyle name="Procentowy 3 7 26 2" xfId="29300"/>
    <cellStyle name="Procentowy 3 7 27" xfId="29301"/>
    <cellStyle name="Procentowy 3 7 27 2" xfId="29302"/>
    <cellStyle name="Procentowy 3 7 28" xfId="29303"/>
    <cellStyle name="Procentowy 3 7 28 2" xfId="29304"/>
    <cellStyle name="Procentowy 3 7 29" xfId="29305"/>
    <cellStyle name="Procentowy 3 7 29 2" xfId="29306"/>
    <cellStyle name="Procentowy 3 7 3" xfId="29307"/>
    <cellStyle name="Procentowy 3 7 3 2" xfId="29308"/>
    <cellStyle name="Procentowy 3 7 3 3" xfId="29309"/>
    <cellStyle name="Procentowy 3 7 3 4" xfId="29310"/>
    <cellStyle name="Procentowy 3 7 3 5" xfId="29311"/>
    <cellStyle name="Procentowy 3 7 3 6" xfId="29312"/>
    <cellStyle name="Procentowy 3 7 3 7" xfId="29313"/>
    <cellStyle name="Procentowy 3 7 30" xfId="29314"/>
    <cellStyle name="Procentowy 3 7 30 2" xfId="29315"/>
    <cellStyle name="Procentowy 3 7 31" xfId="29316"/>
    <cellStyle name="Procentowy 3 7 31 2" xfId="29317"/>
    <cellStyle name="Procentowy 3 7 32" xfId="29318"/>
    <cellStyle name="Procentowy 3 7 33" xfId="29319"/>
    <cellStyle name="Procentowy 3 7 34" xfId="29320"/>
    <cellStyle name="Procentowy 3 7 35" xfId="29321"/>
    <cellStyle name="Procentowy 3 7 36" xfId="29322"/>
    <cellStyle name="Procentowy 3 7 37" xfId="29323"/>
    <cellStyle name="Procentowy 3 7 38" xfId="29324"/>
    <cellStyle name="Procentowy 3 7 39" xfId="29325"/>
    <cellStyle name="Procentowy 3 7 4" xfId="29326"/>
    <cellStyle name="Procentowy 3 7 4 2" xfId="29327"/>
    <cellStyle name="Procentowy 3 7 4 3" xfId="29328"/>
    <cellStyle name="Procentowy 3 7 4 4" xfId="29329"/>
    <cellStyle name="Procentowy 3 7 4 5" xfId="29330"/>
    <cellStyle name="Procentowy 3 7 4 6" xfId="29331"/>
    <cellStyle name="Procentowy 3 7 4 7" xfId="29332"/>
    <cellStyle name="Procentowy 3 7 40" xfId="29333"/>
    <cellStyle name="Procentowy 3 7 41" xfId="29334"/>
    <cellStyle name="Procentowy 3 7 42" xfId="29335"/>
    <cellStyle name="Procentowy 3 7 43" xfId="29336"/>
    <cellStyle name="Procentowy 3 7 44" xfId="29337"/>
    <cellStyle name="Procentowy 3 7 45" xfId="29338"/>
    <cellStyle name="Procentowy 3 7 46" xfId="29339"/>
    <cellStyle name="Procentowy 3 7 47" xfId="29340"/>
    <cellStyle name="Procentowy 3 7 48" xfId="29341"/>
    <cellStyle name="Procentowy 3 7 49" xfId="29342"/>
    <cellStyle name="Procentowy 3 7 5" xfId="29343"/>
    <cellStyle name="Procentowy 3 7 5 2" xfId="29344"/>
    <cellStyle name="Procentowy 3 7 5 3" xfId="29345"/>
    <cellStyle name="Procentowy 3 7 5 4" xfId="29346"/>
    <cellStyle name="Procentowy 3 7 5 5" xfId="29347"/>
    <cellStyle name="Procentowy 3 7 5 6" xfId="29348"/>
    <cellStyle name="Procentowy 3 7 5 7" xfId="29349"/>
    <cellStyle name="Procentowy 3 7 50" xfId="29350"/>
    <cellStyle name="Procentowy 3 7 51" xfId="29351"/>
    <cellStyle name="Procentowy 3 7 52" xfId="29352"/>
    <cellStyle name="Procentowy 3 7 53" xfId="29353"/>
    <cellStyle name="Procentowy 3 7 54" xfId="29354"/>
    <cellStyle name="Procentowy 3 7 55" xfId="29355"/>
    <cellStyle name="Procentowy 3 7 56" xfId="29356"/>
    <cellStyle name="Procentowy 3 7 57" xfId="29357"/>
    <cellStyle name="Procentowy 3 7 58" xfId="29358"/>
    <cellStyle name="Procentowy 3 7 59" xfId="29359"/>
    <cellStyle name="Procentowy 3 7 6" xfId="29360"/>
    <cellStyle name="Procentowy 3 7 6 2" xfId="29361"/>
    <cellStyle name="Procentowy 3 7 60" xfId="29362"/>
    <cellStyle name="Procentowy 3 7 61" xfId="29363"/>
    <cellStyle name="Procentowy 3 7 62" xfId="29364"/>
    <cellStyle name="Procentowy 3 7 63" xfId="29365"/>
    <cellStyle name="Procentowy 3 7 64" xfId="29366"/>
    <cellStyle name="Procentowy 3 7 65" xfId="29367"/>
    <cellStyle name="Procentowy 3 7 66" xfId="29368"/>
    <cellStyle name="Procentowy 3 7 67" xfId="29369"/>
    <cellStyle name="Procentowy 3 7 68" xfId="29370"/>
    <cellStyle name="Procentowy 3 7 69" xfId="29371"/>
    <cellStyle name="Procentowy 3 7 7" xfId="29372"/>
    <cellStyle name="Procentowy 3 7 7 2" xfId="29373"/>
    <cellStyle name="Procentowy 3 7 70" xfId="29374"/>
    <cellStyle name="Procentowy 3 7 71" xfId="29375"/>
    <cellStyle name="Procentowy 3 7 72" xfId="29376"/>
    <cellStyle name="Procentowy 3 7 73" xfId="29377"/>
    <cellStyle name="Procentowy 3 7 74" xfId="29378"/>
    <cellStyle name="Procentowy 3 7 8" xfId="29379"/>
    <cellStyle name="Procentowy 3 7 8 2" xfId="29380"/>
    <cellStyle name="Procentowy 3 7 9" xfId="29381"/>
    <cellStyle name="Procentowy 3 7 9 2" xfId="29382"/>
    <cellStyle name="Procentowy 3 70" xfId="29383"/>
    <cellStyle name="Procentowy 3 71" xfId="29384"/>
    <cellStyle name="Procentowy 3 72" xfId="29385"/>
    <cellStyle name="Procentowy 3 73" xfId="29386"/>
    <cellStyle name="Procentowy 3 74" xfId="29387"/>
    <cellStyle name="Procentowy 3 75" xfId="29388"/>
    <cellStyle name="Procentowy 3 76" xfId="29389"/>
    <cellStyle name="Procentowy 3 77" xfId="29390"/>
    <cellStyle name="Procentowy 3 78" xfId="29391"/>
    <cellStyle name="Procentowy 3 79" xfId="29392"/>
    <cellStyle name="Procentowy 3 8" xfId="29393"/>
    <cellStyle name="Procentowy 3 8 10" xfId="29394"/>
    <cellStyle name="Procentowy 3 8 10 2" xfId="29395"/>
    <cellStyle name="Procentowy 3 8 11" xfId="29396"/>
    <cellStyle name="Procentowy 3 8 11 2" xfId="29397"/>
    <cellStyle name="Procentowy 3 8 12" xfId="29398"/>
    <cellStyle name="Procentowy 3 8 12 2" xfId="29399"/>
    <cellStyle name="Procentowy 3 8 13" xfId="29400"/>
    <cellStyle name="Procentowy 3 8 13 2" xfId="29401"/>
    <cellStyle name="Procentowy 3 8 14" xfId="29402"/>
    <cellStyle name="Procentowy 3 8 14 2" xfId="29403"/>
    <cellStyle name="Procentowy 3 8 15" xfId="29404"/>
    <cellStyle name="Procentowy 3 8 15 2" xfId="29405"/>
    <cellStyle name="Procentowy 3 8 16" xfId="29406"/>
    <cellStyle name="Procentowy 3 8 16 2" xfId="29407"/>
    <cellStyle name="Procentowy 3 8 17" xfId="29408"/>
    <cellStyle name="Procentowy 3 8 17 2" xfId="29409"/>
    <cellStyle name="Procentowy 3 8 18" xfId="29410"/>
    <cellStyle name="Procentowy 3 8 18 2" xfId="29411"/>
    <cellStyle name="Procentowy 3 8 19" xfId="29412"/>
    <cellStyle name="Procentowy 3 8 19 2" xfId="29413"/>
    <cellStyle name="Procentowy 3 8 2" xfId="29414"/>
    <cellStyle name="Procentowy 3 8 2 2" xfId="29415"/>
    <cellStyle name="Procentowy 3 8 2 3" xfId="29416"/>
    <cellStyle name="Procentowy 3 8 2 4" xfId="29417"/>
    <cellStyle name="Procentowy 3 8 2 5" xfId="29418"/>
    <cellStyle name="Procentowy 3 8 2 6" xfId="29419"/>
    <cellStyle name="Procentowy 3 8 2 7" xfId="29420"/>
    <cellStyle name="Procentowy 3 8 20" xfId="29421"/>
    <cellStyle name="Procentowy 3 8 20 2" xfId="29422"/>
    <cellStyle name="Procentowy 3 8 21" xfId="29423"/>
    <cellStyle name="Procentowy 3 8 21 2" xfId="29424"/>
    <cellStyle name="Procentowy 3 8 22" xfId="29425"/>
    <cellStyle name="Procentowy 3 8 22 2" xfId="29426"/>
    <cellStyle name="Procentowy 3 8 23" xfId="29427"/>
    <cellStyle name="Procentowy 3 8 23 2" xfId="29428"/>
    <cellStyle name="Procentowy 3 8 24" xfId="29429"/>
    <cellStyle name="Procentowy 3 8 24 2" xfId="29430"/>
    <cellStyle name="Procentowy 3 8 25" xfId="29431"/>
    <cellStyle name="Procentowy 3 8 25 2" xfId="29432"/>
    <cellStyle name="Procentowy 3 8 26" xfId="29433"/>
    <cellStyle name="Procentowy 3 8 26 2" xfId="29434"/>
    <cellStyle name="Procentowy 3 8 27" xfId="29435"/>
    <cellStyle name="Procentowy 3 8 27 2" xfId="29436"/>
    <cellStyle name="Procentowy 3 8 28" xfId="29437"/>
    <cellStyle name="Procentowy 3 8 28 2" xfId="29438"/>
    <cellStyle name="Procentowy 3 8 29" xfId="29439"/>
    <cellStyle name="Procentowy 3 8 29 2" xfId="29440"/>
    <cellStyle name="Procentowy 3 8 3" xfId="29441"/>
    <cellStyle name="Procentowy 3 8 3 2" xfId="29442"/>
    <cellStyle name="Procentowy 3 8 3 3" xfId="29443"/>
    <cellStyle name="Procentowy 3 8 3 4" xfId="29444"/>
    <cellStyle name="Procentowy 3 8 3 5" xfId="29445"/>
    <cellStyle name="Procentowy 3 8 3 6" xfId="29446"/>
    <cellStyle name="Procentowy 3 8 3 7" xfId="29447"/>
    <cellStyle name="Procentowy 3 8 30" xfId="29448"/>
    <cellStyle name="Procentowy 3 8 30 2" xfId="29449"/>
    <cellStyle name="Procentowy 3 8 31" xfId="29450"/>
    <cellStyle name="Procentowy 3 8 31 2" xfId="29451"/>
    <cellStyle name="Procentowy 3 8 32" xfId="29452"/>
    <cellStyle name="Procentowy 3 8 33" xfId="29453"/>
    <cellStyle name="Procentowy 3 8 34" xfId="29454"/>
    <cellStyle name="Procentowy 3 8 35" xfId="29455"/>
    <cellStyle name="Procentowy 3 8 36" xfId="29456"/>
    <cellStyle name="Procentowy 3 8 37" xfId="29457"/>
    <cellStyle name="Procentowy 3 8 38" xfId="29458"/>
    <cellStyle name="Procentowy 3 8 39" xfId="29459"/>
    <cellStyle name="Procentowy 3 8 4" xfId="29460"/>
    <cellStyle name="Procentowy 3 8 4 2" xfId="29461"/>
    <cellStyle name="Procentowy 3 8 4 3" xfId="29462"/>
    <cellStyle name="Procentowy 3 8 4 4" xfId="29463"/>
    <cellStyle name="Procentowy 3 8 4 5" xfId="29464"/>
    <cellStyle name="Procentowy 3 8 4 6" xfId="29465"/>
    <cellStyle name="Procentowy 3 8 4 7" xfId="29466"/>
    <cellStyle name="Procentowy 3 8 40" xfId="29467"/>
    <cellStyle name="Procentowy 3 8 41" xfId="29468"/>
    <cellStyle name="Procentowy 3 8 42" xfId="29469"/>
    <cellStyle name="Procentowy 3 8 43" xfId="29470"/>
    <cellStyle name="Procentowy 3 8 44" xfId="29471"/>
    <cellStyle name="Procentowy 3 8 45" xfId="29472"/>
    <cellStyle name="Procentowy 3 8 46" xfId="29473"/>
    <cellStyle name="Procentowy 3 8 47" xfId="29474"/>
    <cellStyle name="Procentowy 3 8 48" xfId="29475"/>
    <cellStyle name="Procentowy 3 8 49" xfId="29476"/>
    <cellStyle name="Procentowy 3 8 5" xfId="29477"/>
    <cellStyle name="Procentowy 3 8 5 2" xfId="29478"/>
    <cellStyle name="Procentowy 3 8 5 3" xfId="29479"/>
    <cellStyle name="Procentowy 3 8 5 4" xfId="29480"/>
    <cellStyle name="Procentowy 3 8 5 5" xfId="29481"/>
    <cellStyle name="Procentowy 3 8 5 6" xfId="29482"/>
    <cellStyle name="Procentowy 3 8 5 7" xfId="29483"/>
    <cellStyle name="Procentowy 3 8 50" xfId="29484"/>
    <cellStyle name="Procentowy 3 8 51" xfId="29485"/>
    <cellStyle name="Procentowy 3 8 52" xfId="29486"/>
    <cellStyle name="Procentowy 3 8 53" xfId="29487"/>
    <cellStyle name="Procentowy 3 8 54" xfId="29488"/>
    <cellStyle name="Procentowy 3 8 55" xfId="29489"/>
    <cellStyle name="Procentowy 3 8 56" xfId="29490"/>
    <cellStyle name="Procentowy 3 8 57" xfId="29491"/>
    <cellStyle name="Procentowy 3 8 58" xfId="29492"/>
    <cellStyle name="Procentowy 3 8 59" xfId="29493"/>
    <cellStyle name="Procentowy 3 8 6" xfId="29494"/>
    <cellStyle name="Procentowy 3 8 6 2" xfId="29495"/>
    <cellStyle name="Procentowy 3 8 60" xfId="29496"/>
    <cellStyle name="Procentowy 3 8 61" xfId="29497"/>
    <cellStyle name="Procentowy 3 8 62" xfId="29498"/>
    <cellStyle name="Procentowy 3 8 63" xfId="29499"/>
    <cellStyle name="Procentowy 3 8 64" xfId="29500"/>
    <cellStyle name="Procentowy 3 8 65" xfId="29501"/>
    <cellStyle name="Procentowy 3 8 66" xfId="29502"/>
    <cellStyle name="Procentowy 3 8 67" xfId="29503"/>
    <cellStyle name="Procentowy 3 8 68" xfId="29504"/>
    <cellStyle name="Procentowy 3 8 69" xfId="29505"/>
    <cellStyle name="Procentowy 3 8 7" xfId="29506"/>
    <cellStyle name="Procentowy 3 8 7 2" xfId="29507"/>
    <cellStyle name="Procentowy 3 8 70" xfId="29508"/>
    <cellStyle name="Procentowy 3 8 71" xfId="29509"/>
    <cellStyle name="Procentowy 3 8 72" xfId="29510"/>
    <cellStyle name="Procentowy 3 8 73" xfId="29511"/>
    <cellStyle name="Procentowy 3 8 74" xfId="29512"/>
    <cellStyle name="Procentowy 3 8 8" xfId="29513"/>
    <cellStyle name="Procentowy 3 8 8 2" xfId="29514"/>
    <cellStyle name="Procentowy 3 8 9" xfId="29515"/>
    <cellStyle name="Procentowy 3 8 9 2" xfId="29516"/>
    <cellStyle name="Procentowy 3 80" xfId="29517"/>
    <cellStyle name="Procentowy 3 81" xfId="29518"/>
    <cellStyle name="Procentowy 3 82" xfId="29519"/>
    <cellStyle name="Procentowy 3 83" xfId="29520"/>
    <cellStyle name="Procentowy 3 84" xfId="29521"/>
    <cellStyle name="Procentowy 3 85" xfId="29522"/>
    <cellStyle name="Procentowy 3 86" xfId="29523"/>
    <cellStyle name="Procentowy 3 87" xfId="29524"/>
    <cellStyle name="Procentowy 3 88" xfId="29525"/>
    <cellStyle name="Procentowy 3 89" xfId="29526"/>
    <cellStyle name="Procentowy 3 9" xfId="29527"/>
    <cellStyle name="Procentowy 3 9 10" xfId="29528"/>
    <cellStyle name="Procentowy 3 9 10 2" xfId="29529"/>
    <cellStyle name="Procentowy 3 9 11" xfId="29530"/>
    <cellStyle name="Procentowy 3 9 11 2" xfId="29531"/>
    <cellStyle name="Procentowy 3 9 12" xfId="29532"/>
    <cellStyle name="Procentowy 3 9 12 2" xfId="29533"/>
    <cellStyle name="Procentowy 3 9 13" xfId="29534"/>
    <cellStyle name="Procentowy 3 9 13 2" xfId="29535"/>
    <cellStyle name="Procentowy 3 9 14" xfId="29536"/>
    <cellStyle name="Procentowy 3 9 14 2" xfId="29537"/>
    <cellStyle name="Procentowy 3 9 15" xfId="29538"/>
    <cellStyle name="Procentowy 3 9 15 2" xfId="29539"/>
    <cellStyle name="Procentowy 3 9 16" xfId="29540"/>
    <cellStyle name="Procentowy 3 9 16 2" xfId="29541"/>
    <cellStyle name="Procentowy 3 9 17" xfId="29542"/>
    <cellStyle name="Procentowy 3 9 17 2" xfId="29543"/>
    <cellStyle name="Procentowy 3 9 18" xfId="29544"/>
    <cellStyle name="Procentowy 3 9 18 2" xfId="29545"/>
    <cellStyle name="Procentowy 3 9 19" xfId="29546"/>
    <cellStyle name="Procentowy 3 9 19 2" xfId="29547"/>
    <cellStyle name="Procentowy 3 9 2" xfId="29548"/>
    <cellStyle name="Procentowy 3 9 2 2" xfId="29549"/>
    <cellStyle name="Procentowy 3 9 2 3" xfId="29550"/>
    <cellStyle name="Procentowy 3 9 2 4" xfId="29551"/>
    <cellStyle name="Procentowy 3 9 2 5" xfId="29552"/>
    <cellStyle name="Procentowy 3 9 2 6" xfId="29553"/>
    <cellStyle name="Procentowy 3 9 2 7" xfId="29554"/>
    <cellStyle name="Procentowy 3 9 20" xfId="29555"/>
    <cellStyle name="Procentowy 3 9 20 2" xfId="29556"/>
    <cellStyle name="Procentowy 3 9 21" xfId="29557"/>
    <cellStyle name="Procentowy 3 9 21 2" xfId="29558"/>
    <cellStyle name="Procentowy 3 9 22" xfId="29559"/>
    <cellStyle name="Procentowy 3 9 22 2" xfId="29560"/>
    <cellStyle name="Procentowy 3 9 23" xfId="29561"/>
    <cellStyle name="Procentowy 3 9 23 2" xfId="29562"/>
    <cellStyle name="Procentowy 3 9 24" xfId="29563"/>
    <cellStyle name="Procentowy 3 9 24 2" xfId="29564"/>
    <cellStyle name="Procentowy 3 9 25" xfId="29565"/>
    <cellStyle name="Procentowy 3 9 25 2" xfId="29566"/>
    <cellStyle name="Procentowy 3 9 26" xfId="29567"/>
    <cellStyle name="Procentowy 3 9 26 2" xfId="29568"/>
    <cellStyle name="Procentowy 3 9 27" xfId="29569"/>
    <cellStyle name="Procentowy 3 9 27 2" xfId="29570"/>
    <cellStyle name="Procentowy 3 9 28" xfId="29571"/>
    <cellStyle name="Procentowy 3 9 28 2" xfId="29572"/>
    <cellStyle name="Procentowy 3 9 29" xfId="29573"/>
    <cellStyle name="Procentowy 3 9 29 2" xfId="29574"/>
    <cellStyle name="Procentowy 3 9 3" xfId="29575"/>
    <cellStyle name="Procentowy 3 9 3 2" xfId="29576"/>
    <cellStyle name="Procentowy 3 9 3 3" xfId="29577"/>
    <cellStyle name="Procentowy 3 9 3 4" xfId="29578"/>
    <cellStyle name="Procentowy 3 9 3 5" xfId="29579"/>
    <cellStyle name="Procentowy 3 9 3 6" xfId="29580"/>
    <cellStyle name="Procentowy 3 9 3 7" xfId="29581"/>
    <cellStyle name="Procentowy 3 9 30" xfId="29582"/>
    <cellStyle name="Procentowy 3 9 30 2" xfId="29583"/>
    <cellStyle name="Procentowy 3 9 31" xfId="29584"/>
    <cellStyle name="Procentowy 3 9 31 2" xfId="29585"/>
    <cellStyle name="Procentowy 3 9 32" xfId="29586"/>
    <cellStyle name="Procentowy 3 9 33" xfId="29587"/>
    <cellStyle name="Procentowy 3 9 34" xfId="29588"/>
    <cellStyle name="Procentowy 3 9 35" xfId="29589"/>
    <cellStyle name="Procentowy 3 9 36" xfId="29590"/>
    <cellStyle name="Procentowy 3 9 37" xfId="29591"/>
    <cellStyle name="Procentowy 3 9 38" xfId="29592"/>
    <cellStyle name="Procentowy 3 9 39" xfId="29593"/>
    <cellStyle name="Procentowy 3 9 4" xfId="29594"/>
    <cellStyle name="Procentowy 3 9 4 2" xfId="29595"/>
    <cellStyle name="Procentowy 3 9 4 3" xfId="29596"/>
    <cellStyle name="Procentowy 3 9 4 4" xfId="29597"/>
    <cellStyle name="Procentowy 3 9 4 5" xfId="29598"/>
    <cellStyle name="Procentowy 3 9 4 6" xfId="29599"/>
    <cellStyle name="Procentowy 3 9 4 7" xfId="29600"/>
    <cellStyle name="Procentowy 3 9 40" xfId="29601"/>
    <cellStyle name="Procentowy 3 9 41" xfId="29602"/>
    <cellStyle name="Procentowy 3 9 42" xfId="29603"/>
    <cellStyle name="Procentowy 3 9 43" xfId="29604"/>
    <cellStyle name="Procentowy 3 9 44" xfId="29605"/>
    <cellStyle name="Procentowy 3 9 45" xfId="29606"/>
    <cellStyle name="Procentowy 3 9 46" xfId="29607"/>
    <cellStyle name="Procentowy 3 9 47" xfId="29608"/>
    <cellStyle name="Procentowy 3 9 48" xfId="29609"/>
    <cellStyle name="Procentowy 3 9 49" xfId="29610"/>
    <cellStyle name="Procentowy 3 9 5" xfId="29611"/>
    <cellStyle name="Procentowy 3 9 5 2" xfId="29612"/>
    <cellStyle name="Procentowy 3 9 5 3" xfId="29613"/>
    <cellStyle name="Procentowy 3 9 5 4" xfId="29614"/>
    <cellStyle name="Procentowy 3 9 5 5" xfId="29615"/>
    <cellStyle name="Procentowy 3 9 5 6" xfId="29616"/>
    <cellStyle name="Procentowy 3 9 5 7" xfId="29617"/>
    <cellStyle name="Procentowy 3 9 50" xfId="29618"/>
    <cellStyle name="Procentowy 3 9 51" xfId="29619"/>
    <cellStyle name="Procentowy 3 9 52" xfId="29620"/>
    <cellStyle name="Procentowy 3 9 53" xfId="29621"/>
    <cellStyle name="Procentowy 3 9 54" xfId="29622"/>
    <cellStyle name="Procentowy 3 9 55" xfId="29623"/>
    <cellStyle name="Procentowy 3 9 56" xfId="29624"/>
    <cellStyle name="Procentowy 3 9 57" xfId="29625"/>
    <cellStyle name="Procentowy 3 9 58" xfId="29626"/>
    <cellStyle name="Procentowy 3 9 59" xfId="29627"/>
    <cellStyle name="Procentowy 3 9 6" xfId="29628"/>
    <cellStyle name="Procentowy 3 9 6 2" xfId="29629"/>
    <cellStyle name="Procentowy 3 9 60" xfId="29630"/>
    <cellStyle name="Procentowy 3 9 61" xfId="29631"/>
    <cellStyle name="Procentowy 3 9 62" xfId="29632"/>
    <cellStyle name="Procentowy 3 9 63" xfId="29633"/>
    <cellStyle name="Procentowy 3 9 64" xfId="29634"/>
    <cellStyle name="Procentowy 3 9 65" xfId="29635"/>
    <cellStyle name="Procentowy 3 9 66" xfId="29636"/>
    <cellStyle name="Procentowy 3 9 67" xfId="29637"/>
    <cellStyle name="Procentowy 3 9 68" xfId="29638"/>
    <cellStyle name="Procentowy 3 9 69" xfId="29639"/>
    <cellStyle name="Procentowy 3 9 7" xfId="29640"/>
    <cellStyle name="Procentowy 3 9 7 2" xfId="29641"/>
    <cellStyle name="Procentowy 3 9 70" xfId="29642"/>
    <cellStyle name="Procentowy 3 9 71" xfId="29643"/>
    <cellStyle name="Procentowy 3 9 72" xfId="29644"/>
    <cellStyle name="Procentowy 3 9 73" xfId="29645"/>
    <cellStyle name="Procentowy 3 9 74" xfId="29646"/>
    <cellStyle name="Procentowy 3 9 8" xfId="29647"/>
    <cellStyle name="Procentowy 3 9 8 2" xfId="29648"/>
    <cellStyle name="Procentowy 3 9 9" xfId="29649"/>
    <cellStyle name="Procentowy 3 9 9 2" xfId="29650"/>
    <cellStyle name="Procentowy 3 90" xfId="29651"/>
    <cellStyle name="Procentowy 3 91" xfId="29652"/>
    <cellStyle name="Procentowy 3 92" xfId="29653"/>
    <cellStyle name="Procentowy 3 93" xfId="29654"/>
    <cellStyle name="Procentowy 3 94" xfId="29655"/>
    <cellStyle name="Procentowy 3 95" xfId="29656"/>
    <cellStyle name="Procentowy 3 96" xfId="29657"/>
    <cellStyle name="Procentowy 3 97" xfId="29658"/>
    <cellStyle name="Procentowy 3 98" xfId="29659"/>
    <cellStyle name="Procentowy 3 99" xfId="26655"/>
    <cellStyle name="Procentowy 4" xfId="29660"/>
    <cellStyle name="Procentowy 4 10" xfId="29661"/>
    <cellStyle name="Procentowy 4 11" xfId="29662"/>
    <cellStyle name="Procentowy 4 12" xfId="29663"/>
    <cellStyle name="Procentowy 4 13" xfId="29664"/>
    <cellStyle name="Procentowy 4 14" xfId="29665"/>
    <cellStyle name="Procentowy 4 15" xfId="29666"/>
    <cellStyle name="Procentowy 4 16" xfId="29667"/>
    <cellStyle name="Procentowy 4 17" xfId="29668"/>
    <cellStyle name="Procentowy 4 18" xfId="29669"/>
    <cellStyle name="Procentowy 4 2" xfId="29670"/>
    <cellStyle name="Procentowy 4 2 2" xfId="29671"/>
    <cellStyle name="Procentowy 4 3" xfId="29672"/>
    <cellStyle name="Procentowy 4 3 2" xfId="29673"/>
    <cellStyle name="Procentowy 4 4" xfId="29674"/>
    <cellStyle name="Procentowy 4 4 2" xfId="29675"/>
    <cellStyle name="Procentowy 4 4 3" xfId="29676"/>
    <cellStyle name="Procentowy 4 5" xfId="29677"/>
    <cellStyle name="Procentowy 4 6" xfId="29678"/>
    <cellStyle name="Procentowy 4 7" xfId="29679"/>
    <cellStyle name="Procentowy 4 8" xfId="29680"/>
    <cellStyle name="Procentowy 4 9" xfId="29681"/>
    <cellStyle name="Procentowy 5" xfId="29682"/>
    <cellStyle name="Procentowy 5 2" xfId="29683"/>
    <cellStyle name="Procentowy 5 2 2" xfId="29684"/>
    <cellStyle name="Procentowy 5 2 3" xfId="29685"/>
    <cellStyle name="Procentowy 5 3" xfId="29686"/>
    <cellStyle name="Procentowy 5 4" xfId="29687"/>
    <cellStyle name="Procentowy 5 5" xfId="29688"/>
    <cellStyle name="Procentowy 5 6" xfId="29689"/>
    <cellStyle name="Procentowy 5 7" xfId="29690"/>
    <cellStyle name="Procentowy 5 8" xfId="29691"/>
    <cellStyle name="Procentowy 6" xfId="29692"/>
    <cellStyle name="Procentowy 6 2" xfId="29693"/>
    <cellStyle name="Procentowy 6 3" xfId="29694"/>
    <cellStyle name="Procentowy 7" xfId="29695"/>
    <cellStyle name="Procentowy 7 2" xfId="29696"/>
    <cellStyle name="Procentowy 7 2 2" xfId="29697"/>
    <cellStyle name="Procentowy 7 3" xfId="29698"/>
    <cellStyle name="Procentowy 8" xfId="29699"/>
    <cellStyle name="Procentowy 8 2" xfId="29700"/>
    <cellStyle name="Procentowy 9" xfId="29701"/>
    <cellStyle name="Procentowy 9 2" xfId="29702"/>
    <cellStyle name="SAPBEXaggData" xfId="29703"/>
    <cellStyle name="SAPBEXaggDataEmph" xfId="29704"/>
    <cellStyle name="SAPBEXaggItem" xfId="29705"/>
    <cellStyle name="SAPBEXaggItemX" xfId="29706"/>
    <cellStyle name="SAPBEXchaText" xfId="29707"/>
    <cellStyle name="SAPBEXexcBad7" xfId="29708"/>
    <cellStyle name="SAPBEXexcBad8" xfId="29709"/>
    <cellStyle name="SAPBEXexcBad9" xfId="29710"/>
    <cellStyle name="SAPBEXexcCritical4" xfId="29711"/>
    <cellStyle name="SAPBEXexcCritical5" xfId="29712"/>
    <cellStyle name="SAPBEXexcCritical6" xfId="29713"/>
    <cellStyle name="SAPBEXexcGood1" xfId="29714"/>
    <cellStyle name="SAPBEXexcGood2" xfId="29715"/>
    <cellStyle name="SAPBEXexcGood3" xfId="29716"/>
    <cellStyle name="SAPBEXfilterDrill" xfId="29717"/>
    <cellStyle name="SAPBEXfilterItem" xfId="29718"/>
    <cellStyle name="SAPBEXfilterText" xfId="29719"/>
    <cellStyle name="SAPBEXformats" xfId="29720"/>
    <cellStyle name="SAPBEXheaderItem" xfId="29721"/>
    <cellStyle name="SAPBEXheaderText" xfId="29722"/>
    <cellStyle name="SAPBEXHLevel0" xfId="29723"/>
    <cellStyle name="SAPBEXHLevel0 2" xfId="29724"/>
    <cellStyle name="SAPBEXHLevel0 3" xfId="29725"/>
    <cellStyle name="SAPBEXHLevel0X" xfId="29726"/>
    <cellStyle name="SAPBEXHLevel0X 2" xfId="29727"/>
    <cellStyle name="SAPBEXHLevel0X 3" xfId="29728"/>
    <cellStyle name="SAPBEXHLevel1" xfId="29729"/>
    <cellStyle name="SAPBEXHLevel1 2" xfId="29730"/>
    <cellStyle name="SAPBEXHLevel1 3" xfId="29731"/>
    <cellStyle name="SAPBEXHLevel1X" xfId="29732"/>
    <cellStyle name="SAPBEXHLevel1X 2" xfId="29733"/>
    <cellStyle name="SAPBEXHLevel1X 3" xfId="29734"/>
    <cellStyle name="SAPBEXHLevel2" xfId="29735"/>
    <cellStyle name="SAPBEXHLevel2 2" xfId="29736"/>
    <cellStyle name="SAPBEXHLevel2 3" xfId="29737"/>
    <cellStyle name="SAPBEXHLevel2X" xfId="29738"/>
    <cellStyle name="SAPBEXHLevel2X 2" xfId="29739"/>
    <cellStyle name="SAPBEXHLevel2X 3" xfId="29740"/>
    <cellStyle name="SAPBEXHLevel3" xfId="29741"/>
    <cellStyle name="SAPBEXHLevel3 2" xfId="29742"/>
    <cellStyle name="SAPBEXHLevel3 3" xfId="29743"/>
    <cellStyle name="SAPBEXHLevel3X" xfId="29744"/>
    <cellStyle name="SAPBEXHLevel3X 2" xfId="29745"/>
    <cellStyle name="SAPBEXHLevel3X 3" xfId="29746"/>
    <cellStyle name="SAPBEXresData" xfId="29747"/>
    <cellStyle name="SAPBEXresDataEmph" xfId="29748"/>
    <cellStyle name="SAPBEXresItem" xfId="29749"/>
    <cellStyle name="SAPBEXresItemX" xfId="29750"/>
    <cellStyle name="SAPBEXstdData" xfId="29751"/>
    <cellStyle name="SAPBEXstdData 2" xfId="29752"/>
    <cellStyle name="SAPBEXstdDataEmph" xfId="29753"/>
    <cellStyle name="SAPBEXstdItem" xfId="29754"/>
    <cellStyle name="SAPBEXstdItemX" xfId="29755"/>
    <cellStyle name="SAPBEXtitle" xfId="29756"/>
    <cellStyle name="SAPBEXundefined" xfId="29757"/>
    <cellStyle name="Standard_internet1997" xfId="29758"/>
    <cellStyle name="Styl 1" xfId="29759"/>
    <cellStyle name="Style 1" xfId="29760"/>
    <cellStyle name="Sum" xfId="29761"/>
    <cellStyle name="Suma 2" xfId="29762"/>
    <cellStyle name="Suma 2 10" xfId="29763"/>
    <cellStyle name="Suma 2 10 10" xfId="29764"/>
    <cellStyle name="Suma 2 10 10 2" xfId="29765"/>
    <cellStyle name="Suma 2 10 10 3" xfId="29766"/>
    <cellStyle name="Suma 2 10 10 4" xfId="29767"/>
    <cellStyle name="Suma 2 10 11" xfId="29768"/>
    <cellStyle name="Suma 2 10 11 2" xfId="29769"/>
    <cellStyle name="Suma 2 10 11 3" xfId="29770"/>
    <cellStyle name="Suma 2 10 11 4" xfId="29771"/>
    <cellStyle name="Suma 2 10 12" xfId="29772"/>
    <cellStyle name="Suma 2 10 12 2" xfId="29773"/>
    <cellStyle name="Suma 2 10 12 3" xfId="29774"/>
    <cellStyle name="Suma 2 10 12 4" xfId="29775"/>
    <cellStyle name="Suma 2 10 13" xfId="29776"/>
    <cellStyle name="Suma 2 10 13 2" xfId="29777"/>
    <cellStyle name="Suma 2 10 13 3" xfId="29778"/>
    <cellStyle name="Suma 2 10 13 4" xfId="29779"/>
    <cellStyle name="Suma 2 10 14" xfId="29780"/>
    <cellStyle name="Suma 2 10 14 2" xfId="29781"/>
    <cellStyle name="Suma 2 10 14 3" xfId="29782"/>
    <cellStyle name="Suma 2 10 14 4" xfId="29783"/>
    <cellStyle name="Suma 2 10 15" xfId="29784"/>
    <cellStyle name="Suma 2 10 15 2" xfId="29785"/>
    <cellStyle name="Suma 2 10 15 3" xfId="29786"/>
    <cellStyle name="Suma 2 10 15 4" xfId="29787"/>
    <cellStyle name="Suma 2 10 16" xfId="29788"/>
    <cellStyle name="Suma 2 10 16 2" xfId="29789"/>
    <cellStyle name="Suma 2 10 16 3" xfId="29790"/>
    <cellStyle name="Suma 2 10 16 4" xfId="29791"/>
    <cellStyle name="Suma 2 10 17" xfId="29792"/>
    <cellStyle name="Suma 2 10 17 2" xfId="29793"/>
    <cellStyle name="Suma 2 10 17 3" xfId="29794"/>
    <cellStyle name="Suma 2 10 17 4" xfId="29795"/>
    <cellStyle name="Suma 2 10 18" xfId="29796"/>
    <cellStyle name="Suma 2 10 18 2" xfId="29797"/>
    <cellStyle name="Suma 2 10 18 3" xfId="29798"/>
    <cellStyle name="Suma 2 10 18 4" xfId="29799"/>
    <cellStyle name="Suma 2 10 19" xfId="29800"/>
    <cellStyle name="Suma 2 10 19 2" xfId="29801"/>
    <cellStyle name="Suma 2 10 19 3" xfId="29802"/>
    <cellStyle name="Suma 2 10 19 4" xfId="29803"/>
    <cellStyle name="Suma 2 10 2" xfId="29804"/>
    <cellStyle name="Suma 2 10 2 2" xfId="29805"/>
    <cellStyle name="Suma 2 10 2 3" xfId="29806"/>
    <cellStyle name="Suma 2 10 2 4" xfId="29807"/>
    <cellStyle name="Suma 2 10 20" xfId="29808"/>
    <cellStyle name="Suma 2 10 20 2" xfId="29809"/>
    <cellStyle name="Suma 2 10 20 3" xfId="29810"/>
    <cellStyle name="Suma 2 10 20 4" xfId="29811"/>
    <cellStyle name="Suma 2 10 21" xfId="29812"/>
    <cellStyle name="Suma 2 10 21 2" xfId="29813"/>
    <cellStyle name="Suma 2 10 21 3" xfId="29814"/>
    <cellStyle name="Suma 2 10 22" xfId="29815"/>
    <cellStyle name="Suma 2 10 22 2" xfId="29816"/>
    <cellStyle name="Suma 2 10 22 3" xfId="29817"/>
    <cellStyle name="Suma 2 10 23" xfId="29818"/>
    <cellStyle name="Suma 2 10 23 2" xfId="29819"/>
    <cellStyle name="Suma 2 10 23 3" xfId="29820"/>
    <cellStyle name="Suma 2 10 24" xfId="29821"/>
    <cellStyle name="Suma 2 10 24 2" xfId="29822"/>
    <cellStyle name="Suma 2 10 24 3" xfId="29823"/>
    <cellStyle name="Suma 2 10 25" xfId="29824"/>
    <cellStyle name="Suma 2 10 25 2" xfId="29825"/>
    <cellStyle name="Suma 2 10 25 3" xfId="29826"/>
    <cellStyle name="Suma 2 10 26" xfId="29827"/>
    <cellStyle name="Suma 2 10 26 2" xfId="29828"/>
    <cellStyle name="Suma 2 10 26 3" xfId="29829"/>
    <cellStyle name="Suma 2 10 27" xfId="29830"/>
    <cellStyle name="Suma 2 10 27 2" xfId="29831"/>
    <cellStyle name="Suma 2 10 27 3" xfId="29832"/>
    <cellStyle name="Suma 2 10 28" xfId="29833"/>
    <cellStyle name="Suma 2 10 28 2" xfId="29834"/>
    <cellStyle name="Suma 2 10 28 3" xfId="29835"/>
    <cellStyle name="Suma 2 10 29" xfId="29836"/>
    <cellStyle name="Suma 2 10 29 2" xfId="29837"/>
    <cellStyle name="Suma 2 10 29 3" xfId="29838"/>
    <cellStyle name="Suma 2 10 3" xfId="29839"/>
    <cellStyle name="Suma 2 10 3 2" xfId="29840"/>
    <cellStyle name="Suma 2 10 3 3" xfId="29841"/>
    <cellStyle name="Suma 2 10 3 4" xfId="29842"/>
    <cellStyle name="Suma 2 10 30" xfId="29843"/>
    <cellStyle name="Suma 2 10 30 2" xfId="29844"/>
    <cellStyle name="Suma 2 10 30 3" xfId="29845"/>
    <cellStyle name="Suma 2 10 31" xfId="29846"/>
    <cellStyle name="Suma 2 10 31 2" xfId="29847"/>
    <cellStyle name="Suma 2 10 31 3" xfId="29848"/>
    <cellStyle name="Suma 2 10 32" xfId="29849"/>
    <cellStyle name="Suma 2 10 32 2" xfId="29850"/>
    <cellStyle name="Suma 2 10 32 3" xfId="29851"/>
    <cellStyle name="Suma 2 10 33" xfId="29852"/>
    <cellStyle name="Suma 2 10 33 2" xfId="29853"/>
    <cellStyle name="Suma 2 10 33 3" xfId="29854"/>
    <cellStyle name="Suma 2 10 34" xfId="29855"/>
    <cellStyle name="Suma 2 10 34 2" xfId="29856"/>
    <cellStyle name="Suma 2 10 34 3" xfId="29857"/>
    <cellStyle name="Suma 2 10 35" xfId="29858"/>
    <cellStyle name="Suma 2 10 35 2" xfId="29859"/>
    <cellStyle name="Suma 2 10 35 3" xfId="29860"/>
    <cellStyle name="Suma 2 10 36" xfId="29861"/>
    <cellStyle name="Suma 2 10 36 2" xfId="29862"/>
    <cellStyle name="Suma 2 10 36 3" xfId="29863"/>
    <cellStyle name="Suma 2 10 37" xfId="29864"/>
    <cellStyle name="Suma 2 10 37 2" xfId="29865"/>
    <cellStyle name="Suma 2 10 37 3" xfId="29866"/>
    <cellStyle name="Suma 2 10 38" xfId="29867"/>
    <cellStyle name="Suma 2 10 38 2" xfId="29868"/>
    <cellStyle name="Suma 2 10 38 3" xfId="29869"/>
    <cellStyle name="Suma 2 10 39" xfId="29870"/>
    <cellStyle name="Suma 2 10 39 2" xfId="29871"/>
    <cellStyle name="Suma 2 10 39 3" xfId="29872"/>
    <cellStyle name="Suma 2 10 4" xfId="29873"/>
    <cellStyle name="Suma 2 10 4 2" xfId="29874"/>
    <cellStyle name="Suma 2 10 4 3" xfId="29875"/>
    <cellStyle name="Suma 2 10 4 4" xfId="29876"/>
    <cellStyle name="Suma 2 10 40" xfId="29877"/>
    <cellStyle name="Suma 2 10 40 2" xfId="29878"/>
    <cellStyle name="Suma 2 10 40 3" xfId="29879"/>
    <cellStyle name="Suma 2 10 41" xfId="29880"/>
    <cellStyle name="Suma 2 10 41 2" xfId="29881"/>
    <cellStyle name="Suma 2 10 41 3" xfId="29882"/>
    <cellStyle name="Suma 2 10 42" xfId="29883"/>
    <cellStyle name="Suma 2 10 42 2" xfId="29884"/>
    <cellStyle name="Suma 2 10 42 3" xfId="29885"/>
    <cellStyle name="Suma 2 10 43" xfId="29886"/>
    <cellStyle name="Suma 2 10 43 2" xfId="29887"/>
    <cellStyle name="Suma 2 10 43 3" xfId="29888"/>
    <cellStyle name="Suma 2 10 44" xfId="29889"/>
    <cellStyle name="Suma 2 10 44 2" xfId="29890"/>
    <cellStyle name="Suma 2 10 44 3" xfId="29891"/>
    <cellStyle name="Suma 2 10 45" xfId="29892"/>
    <cellStyle name="Suma 2 10 45 2" xfId="29893"/>
    <cellStyle name="Suma 2 10 45 3" xfId="29894"/>
    <cellStyle name="Suma 2 10 46" xfId="29895"/>
    <cellStyle name="Suma 2 10 46 2" xfId="29896"/>
    <cellStyle name="Suma 2 10 46 3" xfId="29897"/>
    <cellStyle name="Suma 2 10 47" xfId="29898"/>
    <cellStyle name="Suma 2 10 47 2" xfId="29899"/>
    <cellStyle name="Suma 2 10 47 3" xfId="29900"/>
    <cellStyle name="Suma 2 10 48" xfId="29901"/>
    <cellStyle name="Suma 2 10 48 2" xfId="29902"/>
    <cellStyle name="Suma 2 10 48 3" xfId="29903"/>
    <cellStyle name="Suma 2 10 49" xfId="29904"/>
    <cellStyle name="Suma 2 10 49 2" xfId="29905"/>
    <cellStyle name="Suma 2 10 49 3" xfId="29906"/>
    <cellStyle name="Suma 2 10 5" xfId="29907"/>
    <cellStyle name="Suma 2 10 5 2" xfId="29908"/>
    <cellStyle name="Suma 2 10 5 3" xfId="29909"/>
    <cellStyle name="Suma 2 10 5 4" xfId="29910"/>
    <cellStyle name="Suma 2 10 50" xfId="29911"/>
    <cellStyle name="Suma 2 10 50 2" xfId="29912"/>
    <cellStyle name="Suma 2 10 50 3" xfId="29913"/>
    <cellStyle name="Suma 2 10 51" xfId="29914"/>
    <cellStyle name="Suma 2 10 51 2" xfId="29915"/>
    <cellStyle name="Suma 2 10 51 3" xfId="29916"/>
    <cellStyle name="Suma 2 10 52" xfId="29917"/>
    <cellStyle name="Suma 2 10 52 2" xfId="29918"/>
    <cellStyle name="Suma 2 10 52 3" xfId="29919"/>
    <cellStyle name="Suma 2 10 53" xfId="29920"/>
    <cellStyle name="Suma 2 10 53 2" xfId="29921"/>
    <cellStyle name="Suma 2 10 53 3" xfId="29922"/>
    <cellStyle name="Suma 2 10 54" xfId="29923"/>
    <cellStyle name="Suma 2 10 54 2" xfId="29924"/>
    <cellStyle name="Suma 2 10 54 3" xfId="29925"/>
    <cellStyle name="Suma 2 10 55" xfId="29926"/>
    <cellStyle name="Suma 2 10 55 2" xfId="29927"/>
    <cellStyle name="Suma 2 10 55 3" xfId="29928"/>
    <cellStyle name="Suma 2 10 56" xfId="29929"/>
    <cellStyle name="Suma 2 10 56 2" xfId="29930"/>
    <cellStyle name="Suma 2 10 56 3" xfId="29931"/>
    <cellStyle name="Suma 2 10 57" xfId="29932"/>
    <cellStyle name="Suma 2 10 58" xfId="29933"/>
    <cellStyle name="Suma 2 10 6" xfId="29934"/>
    <cellStyle name="Suma 2 10 6 2" xfId="29935"/>
    <cellStyle name="Suma 2 10 6 3" xfId="29936"/>
    <cellStyle name="Suma 2 10 6 4" xfId="29937"/>
    <cellStyle name="Suma 2 10 7" xfId="29938"/>
    <cellStyle name="Suma 2 10 7 2" xfId="29939"/>
    <cellStyle name="Suma 2 10 7 3" xfId="29940"/>
    <cellStyle name="Suma 2 10 7 4" xfId="29941"/>
    <cellStyle name="Suma 2 10 8" xfId="29942"/>
    <cellStyle name="Suma 2 10 8 2" xfId="29943"/>
    <cellStyle name="Suma 2 10 8 3" xfId="29944"/>
    <cellStyle name="Suma 2 10 8 4" xfId="29945"/>
    <cellStyle name="Suma 2 10 9" xfId="29946"/>
    <cellStyle name="Suma 2 10 9 2" xfId="29947"/>
    <cellStyle name="Suma 2 10 9 3" xfId="29948"/>
    <cellStyle name="Suma 2 10 9 4" xfId="29949"/>
    <cellStyle name="Suma 2 11" xfId="29950"/>
    <cellStyle name="Suma 2 11 10" xfId="29951"/>
    <cellStyle name="Suma 2 11 10 2" xfId="29952"/>
    <cellStyle name="Suma 2 11 10 3" xfId="29953"/>
    <cellStyle name="Suma 2 11 10 4" xfId="29954"/>
    <cellStyle name="Suma 2 11 11" xfId="29955"/>
    <cellStyle name="Suma 2 11 11 2" xfId="29956"/>
    <cellStyle name="Suma 2 11 11 3" xfId="29957"/>
    <cellStyle name="Suma 2 11 11 4" xfId="29958"/>
    <cellStyle name="Suma 2 11 12" xfId="29959"/>
    <cellStyle name="Suma 2 11 12 2" xfId="29960"/>
    <cellStyle name="Suma 2 11 12 3" xfId="29961"/>
    <cellStyle name="Suma 2 11 12 4" xfId="29962"/>
    <cellStyle name="Suma 2 11 13" xfId="29963"/>
    <cellStyle name="Suma 2 11 13 2" xfId="29964"/>
    <cellStyle name="Suma 2 11 13 3" xfId="29965"/>
    <cellStyle name="Suma 2 11 13 4" xfId="29966"/>
    <cellStyle name="Suma 2 11 14" xfId="29967"/>
    <cellStyle name="Suma 2 11 14 2" xfId="29968"/>
    <cellStyle name="Suma 2 11 14 3" xfId="29969"/>
    <cellStyle name="Suma 2 11 14 4" xfId="29970"/>
    <cellStyle name="Suma 2 11 15" xfId="29971"/>
    <cellStyle name="Suma 2 11 15 2" xfId="29972"/>
    <cellStyle name="Suma 2 11 15 3" xfId="29973"/>
    <cellStyle name="Suma 2 11 15 4" xfId="29974"/>
    <cellStyle name="Suma 2 11 16" xfId="29975"/>
    <cellStyle name="Suma 2 11 16 2" xfId="29976"/>
    <cellStyle name="Suma 2 11 16 3" xfId="29977"/>
    <cellStyle name="Suma 2 11 16 4" xfId="29978"/>
    <cellStyle name="Suma 2 11 17" xfId="29979"/>
    <cellStyle name="Suma 2 11 17 2" xfId="29980"/>
    <cellStyle name="Suma 2 11 17 3" xfId="29981"/>
    <cellStyle name="Suma 2 11 17 4" xfId="29982"/>
    <cellStyle name="Suma 2 11 18" xfId="29983"/>
    <cellStyle name="Suma 2 11 18 2" xfId="29984"/>
    <cellStyle name="Suma 2 11 18 3" xfId="29985"/>
    <cellStyle name="Suma 2 11 18 4" xfId="29986"/>
    <cellStyle name="Suma 2 11 19" xfId="29987"/>
    <cellStyle name="Suma 2 11 19 2" xfId="29988"/>
    <cellStyle name="Suma 2 11 19 3" xfId="29989"/>
    <cellStyle name="Suma 2 11 19 4" xfId="29990"/>
    <cellStyle name="Suma 2 11 2" xfId="29991"/>
    <cellStyle name="Suma 2 11 2 2" xfId="29992"/>
    <cellStyle name="Suma 2 11 2 3" xfId="29993"/>
    <cellStyle name="Suma 2 11 2 4" xfId="29994"/>
    <cellStyle name="Suma 2 11 20" xfId="29995"/>
    <cellStyle name="Suma 2 11 20 2" xfId="29996"/>
    <cellStyle name="Suma 2 11 20 3" xfId="29997"/>
    <cellStyle name="Suma 2 11 20 4" xfId="29998"/>
    <cellStyle name="Suma 2 11 21" xfId="29999"/>
    <cellStyle name="Suma 2 11 21 2" xfId="30000"/>
    <cellStyle name="Suma 2 11 21 3" xfId="30001"/>
    <cellStyle name="Suma 2 11 22" xfId="30002"/>
    <cellStyle name="Suma 2 11 22 2" xfId="30003"/>
    <cellStyle name="Suma 2 11 22 3" xfId="30004"/>
    <cellStyle name="Suma 2 11 23" xfId="30005"/>
    <cellStyle name="Suma 2 11 23 2" xfId="30006"/>
    <cellStyle name="Suma 2 11 23 3" xfId="30007"/>
    <cellStyle name="Suma 2 11 24" xfId="30008"/>
    <cellStyle name="Suma 2 11 24 2" xfId="30009"/>
    <cellStyle name="Suma 2 11 24 3" xfId="30010"/>
    <cellStyle name="Suma 2 11 25" xfId="30011"/>
    <cellStyle name="Suma 2 11 25 2" xfId="30012"/>
    <cellStyle name="Suma 2 11 25 3" xfId="30013"/>
    <cellStyle name="Suma 2 11 26" xfId="30014"/>
    <cellStyle name="Suma 2 11 26 2" xfId="30015"/>
    <cellStyle name="Suma 2 11 26 3" xfId="30016"/>
    <cellStyle name="Suma 2 11 27" xfId="30017"/>
    <cellStyle name="Suma 2 11 27 2" xfId="30018"/>
    <cellStyle name="Suma 2 11 27 3" xfId="30019"/>
    <cellStyle name="Suma 2 11 28" xfId="30020"/>
    <cellStyle name="Suma 2 11 28 2" xfId="30021"/>
    <cellStyle name="Suma 2 11 28 3" xfId="30022"/>
    <cellStyle name="Suma 2 11 29" xfId="30023"/>
    <cellStyle name="Suma 2 11 29 2" xfId="30024"/>
    <cellStyle name="Suma 2 11 29 3" xfId="30025"/>
    <cellStyle name="Suma 2 11 3" xfId="30026"/>
    <cellStyle name="Suma 2 11 3 2" xfId="30027"/>
    <cellStyle name="Suma 2 11 3 3" xfId="30028"/>
    <cellStyle name="Suma 2 11 3 4" xfId="30029"/>
    <cellStyle name="Suma 2 11 30" xfId="30030"/>
    <cellStyle name="Suma 2 11 30 2" xfId="30031"/>
    <cellStyle name="Suma 2 11 30 3" xfId="30032"/>
    <cellStyle name="Suma 2 11 31" xfId="30033"/>
    <cellStyle name="Suma 2 11 31 2" xfId="30034"/>
    <cellStyle name="Suma 2 11 31 3" xfId="30035"/>
    <cellStyle name="Suma 2 11 32" xfId="30036"/>
    <cellStyle name="Suma 2 11 32 2" xfId="30037"/>
    <cellStyle name="Suma 2 11 32 3" xfId="30038"/>
    <cellStyle name="Suma 2 11 33" xfId="30039"/>
    <cellStyle name="Suma 2 11 33 2" xfId="30040"/>
    <cellStyle name="Suma 2 11 33 3" xfId="30041"/>
    <cellStyle name="Suma 2 11 34" xfId="30042"/>
    <cellStyle name="Suma 2 11 34 2" xfId="30043"/>
    <cellStyle name="Suma 2 11 34 3" xfId="30044"/>
    <cellStyle name="Suma 2 11 35" xfId="30045"/>
    <cellStyle name="Suma 2 11 35 2" xfId="30046"/>
    <cellStyle name="Suma 2 11 35 3" xfId="30047"/>
    <cellStyle name="Suma 2 11 36" xfId="30048"/>
    <cellStyle name="Suma 2 11 36 2" xfId="30049"/>
    <cellStyle name="Suma 2 11 36 3" xfId="30050"/>
    <cellStyle name="Suma 2 11 37" xfId="30051"/>
    <cellStyle name="Suma 2 11 37 2" xfId="30052"/>
    <cellStyle name="Suma 2 11 37 3" xfId="30053"/>
    <cellStyle name="Suma 2 11 38" xfId="30054"/>
    <cellStyle name="Suma 2 11 38 2" xfId="30055"/>
    <cellStyle name="Suma 2 11 38 3" xfId="30056"/>
    <cellStyle name="Suma 2 11 39" xfId="30057"/>
    <cellStyle name="Suma 2 11 39 2" xfId="30058"/>
    <cellStyle name="Suma 2 11 39 3" xfId="30059"/>
    <cellStyle name="Suma 2 11 4" xfId="30060"/>
    <cellStyle name="Suma 2 11 4 2" xfId="30061"/>
    <cellStyle name="Suma 2 11 4 3" xfId="30062"/>
    <cellStyle name="Suma 2 11 4 4" xfId="30063"/>
    <cellStyle name="Suma 2 11 40" xfId="30064"/>
    <cellStyle name="Suma 2 11 40 2" xfId="30065"/>
    <cellStyle name="Suma 2 11 40 3" xfId="30066"/>
    <cellStyle name="Suma 2 11 41" xfId="30067"/>
    <cellStyle name="Suma 2 11 41 2" xfId="30068"/>
    <cellStyle name="Suma 2 11 41 3" xfId="30069"/>
    <cellStyle name="Suma 2 11 42" xfId="30070"/>
    <cellStyle name="Suma 2 11 42 2" xfId="30071"/>
    <cellStyle name="Suma 2 11 42 3" xfId="30072"/>
    <cellStyle name="Suma 2 11 43" xfId="30073"/>
    <cellStyle name="Suma 2 11 43 2" xfId="30074"/>
    <cellStyle name="Suma 2 11 43 3" xfId="30075"/>
    <cellStyle name="Suma 2 11 44" xfId="30076"/>
    <cellStyle name="Suma 2 11 44 2" xfId="30077"/>
    <cellStyle name="Suma 2 11 44 3" xfId="30078"/>
    <cellStyle name="Suma 2 11 45" xfId="30079"/>
    <cellStyle name="Suma 2 11 45 2" xfId="30080"/>
    <cellStyle name="Suma 2 11 45 3" xfId="30081"/>
    <cellStyle name="Suma 2 11 46" xfId="30082"/>
    <cellStyle name="Suma 2 11 46 2" xfId="30083"/>
    <cellStyle name="Suma 2 11 46 3" xfId="30084"/>
    <cellStyle name="Suma 2 11 47" xfId="30085"/>
    <cellStyle name="Suma 2 11 47 2" xfId="30086"/>
    <cellStyle name="Suma 2 11 47 3" xfId="30087"/>
    <cellStyle name="Suma 2 11 48" xfId="30088"/>
    <cellStyle name="Suma 2 11 48 2" xfId="30089"/>
    <cellStyle name="Suma 2 11 48 3" xfId="30090"/>
    <cellStyle name="Suma 2 11 49" xfId="30091"/>
    <cellStyle name="Suma 2 11 49 2" xfId="30092"/>
    <cellStyle name="Suma 2 11 49 3" xfId="30093"/>
    <cellStyle name="Suma 2 11 5" xfId="30094"/>
    <cellStyle name="Suma 2 11 5 2" xfId="30095"/>
    <cellStyle name="Suma 2 11 5 3" xfId="30096"/>
    <cellStyle name="Suma 2 11 5 4" xfId="30097"/>
    <cellStyle name="Suma 2 11 50" xfId="30098"/>
    <cellStyle name="Suma 2 11 50 2" xfId="30099"/>
    <cellStyle name="Suma 2 11 50 3" xfId="30100"/>
    <cellStyle name="Suma 2 11 51" xfId="30101"/>
    <cellStyle name="Suma 2 11 51 2" xfId="30102"/>
    <cellStyle name="Suma 2 11 51 3" xfId="30103"/>
    <cellStyle name="Suma 2 11 52" xfId="30104"/>
    <cellStyle name="Suma 2 11 52 2" xfId="30105"/>
    <cellStyle name="Suma 2 11 52 3" xfId="30106"/>
    <cellStyle name="Suma 2 11 53" xfId="30107"/>
    <cellStyle name="Suma 2 11 53 2" xfId="30108"/>
    <cellStyle name="Suma 2 11 53 3" xfId="30109"/>
    <cellStyle name="Suma 2 11 54" xfId="30110"/>
    <cellStyle name="Suma 2 11 54 2" xfId="30111"/>
    <cellStyle name="Suma 2 11 54 3" xfId="30112"/>
    <cellStyle name="Suma 2 11 55" xfId="30113"/>
    <cellStyle name="Suma 2 11 55 2" xfId="30114"/>
    <cellStyle name="Suma 2 11 55 3" xfId="30115"/>
    <cellStyle name="Suma 2 11 56" xfId="30116"/>
    <cellStyle name="Suma 2 11 56 2" xfId="30117"/>
    <cellStyle name="Suma 2 11 56 3" xfId="30118"/>
    <cellStyle name="Suma 2 11 57" xfId="30119"/>
    <cellStyle name="Suma 2 11 58" xfId="30120"/>
    <cellStyle name="Suma 2 11 6" xfId="30121"/>
    <cellStyle name="Suma 2 11 6 2" xfId="30122"/>
    <cellStyle name="Suma 2 11 6 3" xfId="30123"/>
    <cellStyle name="Suma 2 11 6 4" xfId="30124"/>
    <cellStyle name="Suma 2 11 7" xfId="30125"/>
    <cellStyle name="Suma 2 11 7 2" xfId="30126"/>
    <cellStyle name="Suma 2 11 7 3" xfId="30127"/>
    <cellStyle name="Suma 2 11 7 4" xfId="30128"/>
    <cellStyle name="Suma 2 11 8" xfId="30129"/>
    <cellStyle name="Suma 2 11 8 2" xfId="30130"/>
    <cellStyle name="Suma 2 11 8 3" xfId="30131"/>
    <cellStyle name="Suma 2 11 8 4" xfId="30132"/>
    <cellStyle name="Suma 2 11 9" xfId="30133"/>
    <cellStyle name="Suma 2 11 9 2" xfId="30134"/>
    <cellStyle name="Suma 2 11 9 3" xfId="30135"/>
    <cellStyle name="Suma 2 11 9 4" xfId="30136"/>
    <cellStyle name="Suma 2 12" xfId="30137"/>
    <cellStyle name="Suma 2 12 10" xfId="30138"/>
    <cellStyle name="Suma 2 12 10 2" xfId="30139"/>
    <cellStyle name="Suma 2 12 10 3" xfId="30140"/>
    <cellStyle name="Suma 2 12 10 4" xfId="30141"/>
    <cellStyle name="Suma 2 12 11" xfId="30142"/>
    <cellStyle name="Suma 2 12 11 2" xfId="30143"/>
    <cellStyle name="Suma 2 12 11 3" xfId="30144"/>
    <cellStyle name="Suma 2 12 11 4" xfId="30145"/>
    <cellStyle name="Suma 2 12 12" xfId="30146"/>
    <cellStyle name="Suma 2 12 12 2" xfId="30147"/>
    <cellStyle name="Suma 2 12 12 3" xfId="30148"/>
    <cellStyle name="Suma 2 12 12 4" xfId="30149"/>
    <cellStyle name="Suma 2 12 13" xfId="30150"/>
    <cellStyle name="Suma 2 12 13 2" xfId="30151"/>
    <cellStyle name="Suma 2 12 13 3" xfId="30152"/>
    <cellStyle name="Suma 2 12 13 4" xfId="30153"/>
    <cellStyle name="Suma 2 12 14" xfId="30154"/>
    <cellStyle name="Suma 2 12 14 2" xfId="30155"/>
    <cellStyle name="Suma 2 12 14 3" xfId="30156"/>
    <cellStyle name="Suma 2 12 14 4" xfId="30157"/>
    <cellStyle name="Suma 2 12 15" xfId="30158"/>
    <cellStyle name="Suma 2 12 15 2" xfId="30159"/>
    <cellStyle name="Suma 2 12 15 3" xfId="30160"/>
    <cellStyle name="Suma 2 12 15 4" xfId="30161"/>
    <cellStyle name="Suma 2 12 16" xfId="30162"/>
    <cellStyle name="Suma 2 12 16 2" xfId="30163"/>
    <cellStyle name="Suma 2 12 16 3" xfId="30164"/>
    <cellStyle name="Suma 2 12 16 4" xfId="30165"/>
    <cellStyle name="Suma 2 12 17" xfId="30166"/>
    <cellStyle name="Suma 2 12 17 2" xfId="30167"/>
    <cellStyle name="Suma 2 12 17 3" xfId="30168"/>
    <cellStyle name="Suma 2 12 17 4" xfId="30169"/>
    <cellStyle name="Suma 2 12 18" xfId="30170"/>
    <cellStyle name="Suma 2 12 18 2" xfId="30171"/>
    <cellStyle name="Suma 2 12 18 3" xfId="30172"/>
    <cellStyle name="Suma 2 12 18 4" xfId="30173"/>
    <cellStyle name="Suma 2 12 19" xfId="30174"/>
    <cellStyle name="Suma 2 12 19 2" xfId="30175"/>
    <cellStyle name="Suma 2 12 19 3" xfId="30176"/>
    <cellStyle name="Suma 2 12 19 4" xfId="30177"/>
    <cellStyle name="Suma 2 12 2" xfId="30178"/>
    <cellStyle name="Suma 2 12 2 2" xfId="30179"/>
    <cellStyle name="Suma 2 12 2 3" xfId="30180"/>
    <cellStyle name="Suma 2 12 2 4" xfId="30181"/>
    <cellStyle name="Suma 2 12 20" xfId="30182"/>
    <cellStyle name="Suma 2 12 20 2" xfId="30183"/>
    <cellStyle name="Suma 2 12 20 3" xfId="30184"/>
    <cellStyle name="Suma 2 12 20 4" xfId="30185"/>
    <cellStyle name="Suma 2 12 21" xfId="30186"/>
    <cellStyle name="Suma 2 12 21 2" xfId="30187"/>
    <cellStyle name="Suma 2 12 21 3" xfId="30188"/>
    <cellStyle name="Suma 2 12 22" xfId="30189"/>
    <cellStyle name="Suma 2 12 22 2" xfId="30190"/>
    <cellStyle name="Suma 2 12 22 3" xfId="30191"/>
    <cellStyle name="Suma 2 12 23" xfId="30192"/>
    <cellStyle name="Suma 2 12 23 2" xfId="30193"/>
    <cellStyle name="Suma 2 12 23 3" xfId="30194"/>
    <cellStyle name="Suma 2 12 24" xfId="30195"/>
    <cellStyle name="Suma 2 12 24 2" xfId="30196"/>
    <cellStyle name="Suma 2 12 24 3" xfId="30197"/>
    <cellStyle name="Suma 2 12 25" xfId="30198"/>
    <cellStyle name="Suma 2 12 25 2" xfId="30199"/>
    <cellStyle name="Suma 2 12 25 3" xfId="30200"/>
    <cellStyle name="Suma 2 12 26" xfId="30201"/>
    <cellStyle name="Suma 2 12 26 2" xfId="30202"/>
    <cellStyle name="Suma 2 12 26 3" xfId="30203"/>
    <cellStyle name="Suma 2 12 27" xfId="30204"/>
    <cellStyle name="Suma 2 12 27 2" xfId="30205"/>
    <cellStyle name="Suma 2 12 27 3" xfId="30206"/>
    <cellStyle name="Suma 2 12 28" xfId="30207"/>
    <cellStyle name="Suma 2 12 28 2" xfId="30208"/>
    <cellStyle name="Suma 2 12 28 3" xfId="30209"/>
    <cellStyle name="Suma 2 12 29" xfId="30210"/>
    <cellStyle name="Suma 2 12 29 2" xfId="30211"/>
    <cellStyle name="Suma 2 12 29 3" xfId="30212"/>
    <cellStyle name="Suma 2 12 3" xfId="30213"/>
    <cellStyle name="Suma 2 12 3 2" xfId="30214"/>
    <cellStyle name="Suma 2 12 3 3" xfId="30215"/>
    <cellStyle name="Suma 2 12 3 4" xfId="30216"/>
    <cellStyle name="Suma 2 12 30" xfId="30217"/>
    <cellStyle name="Suma 2 12 30 2" xfId="30218"/>
    <cellStyle name="Suma 2 12 30 3" xfId="30219"/>
    <cellStyle name="Suma 2 12 31" xfId="30220"/>
    <cellStyle name="Suma 2 12 31 2" xfId="30221"/>
    <cellStyle name="Suma 2 12 31 3" xfId="30222"/>
    <cellStyle name="Suma 2 12 32" xfId="30223"/>
    <cellStyle name="Suma 2 12 32 2" xfId="30224"/>
    <cellStyle name="Suma 2 12 32 3" xfId="30225"/>
    <cellStyle name="Suma 2 12 33" xfId="30226"/>
    <cellStyle name="Suma 2 12 33 2" xfId="30227"/>
    <cellStyle name="Suma 2 12 33 3" xfId="30228"/>
    <cellStyle name="Suma 2 12 34" xfId="30229"/>
    <cellStyle name="Suma 2 12 34 2" xfId="30230"/>
    <cellStyle name="Suma 2 12 34 3" xfId="30231"/>
    <cellStyle name="Suma 2 12 35" xfId="30232"/>
    <cellStyle name="Suma 2 12 35 2" xfId="30233"/>
    <cellStyle name="Suma 2 12 35 3" xfId="30234"/>
    <cellStyle name="Suma 2 12 36" xfId="30235"/>
    <cellStyle name="Suma 2 12 36 2" xfId="30236"/>
    <cellStyle name="Suma 2 12 36 3" xfId="30237"/>
    <cellStyle name="Suma 2 12 37" xfId="30238"/>
    <cellStyle name="Suma 2 12 37 2" xfId="30239"/>
    <cellStyle name="Suma 2 12 37 3" xfId="30240"/>
    <cellStyle name="Suma 2 12 38" xfId="30241"/>
    <cellStyle name="Suma 2 12 38 2" xfId="30242"/>
    <cellStyle name="Suma 2 12 38 3" xfId="30243"/>
    <cellStyle name="Suma 2 12 39" xfId="30244"/>
    <cellStyle name="Suma 2 12 39 2" xfId="30245"/>
    <cellStyle name="Suma 2 12 39 3" xfId="30246"/>
    <cellStyle name="Suma 2 12 4" xfId="30247"/>
    <cellStyle name="Suma 2 12 4 2" xfId="30248"/>
    <cellStyle name="Suma 2 12 4 3" xfId="30249"/>
    <cellStyle name="Suma 2 12 4 4" xfId="30250"/>
    <cellStyle name="Suma 2 12 40" xfId="30251"/>
    <cellStyle name="Suma 2 12 40 2" xfId="30252"/>
    <cellStyle name="Suma 2 12 40 3" xfId="30253"/>
    <cellStyle name="Suma 2 12 41" xfId="30254"/>
    <cellStyle name="Suma 2 12 41 2" xfId="30255"/>
    <cellStyle name="Suma 2 12 41 3" xfId="30256"/>
    <cellStyle name="Suma 2 12 42" xfId="30257"/>
    <cellStyle name="Suma 2 12 42 2" xfId="30258"/>
    <cellStyle name="Suma 2 12 42 3" xfId="30259"/>
    <cellStyle name="Suma 2 12 43" xfId="30260"/>
    <cellStyle name="Suma 2 12 43 2" xfId="30261"/>
    <cellStyle name="Suma 2 12 43 3" xfId="30262"/>
    <cellStyle name="Suma 2 12 44" xfId="30263"/>
    <cellStyle name="Suma 2 12 44 2" xfId="30264"/>
    <cellStyle name="Suma 2 12 44 3" xfId="30265"/>
    <cellStyle name="Suma 2 12 45" xfId="30266"/>
    <cellStyle name="Suma 2 12 45 2" xfId="30267"/>
    <cellStyle name="Suma 2 12 45 3" xfId="30268"/>
    <cellStyle name="Suma 2 12 46" xfId="30269"/>
    <cellStyle name="Suma 2 12 46 2" xfId="30270"/>
    <cellStyle name="Suma 2 12 46 3" xfId="30271"/>
    <cellStyle name="Suma 2 12 47" xfId="30272"/>
    <cellStyle name="Suma 2 12 47 2" xfId="30273"/>
    <cellStyle name="Suma 2 12 47 3" xfId="30274"/>
    <cellStyle name="Suma 2 12 48" xfId="30275"/>
    <cellStyle name="Suma 2 12 48 2" xfId="30276"/>
    <cellStyle name="Suma 2 12 48 3" xfId="30277"/>
    <cellStyle name="Suma 2 12 49" xfId="30278"/>
    <cellStyle name="Suma 2 12 49 2" xfId="30279"/>
    <cellStyle name="Suma 2 12 49 3" xfId="30280"/>
    <cellStyle name="Suma 2 12 5" xfId="30281"/>
    <cellStyle name="Suma 2 12 5 2" xfId="30282"/>
    <cellStyle name="Suma 2 12 5 3" xfId="30283"/>
    <cellStyle name="Suma 2 12 5 4" xfId="30284"/>
    <cellStyle name="Suma 2 12 50" xfId="30285"/>
    <cellStyle name="Suma 2 12 50 2" xfId="30286"/>
    <cellStyle name="Suma 2 12 50 3" xfId="30287"/>
    <cellStyle name="Suma 2 12 51" xfId="30288"/>
    <cellStyle name="Suma 2 12 51 2" xfId="30289"/>
    <cellStyle name="Suma 2 12 51 3" xfId="30290"/>
    <cellStyle name="Suma 2 12 52" xfId="30291"/>
    <cellStyle name="Suma 2 12 52 2" xfId="30292"/>
    <cellStyle name="Suma 2 12 52 3" xfId="30293"/>
    <cellStyle name="Suma 2 12 53" xfId="30294"/>
    <cellStyle name="Suma 2 12 53 2" xfId="30295"/>
    <cellStyle name="Suma 2 12 53 3" xfId="30296"/>
    <cellStyle name="Suma 2 12 54" xfId="30297"/>
    <cellStyle name="Suma 2 12 54 2" xfId="30298"/>
    <cellStyle name="Suma 2 12 54 3" xfId="30299"/>
    <cellStyle name="Suma 2 12 55" xfId="30300"/>
    <cellStyle name="Suma 2 12 55 2" xfId="30301"/>
    <cellStyle name="Suma 2 12 55 3" xfId="30302"/>
    <cellStyle name="Suma 2 12 56" xfId="30303"/>
    <cellStyle name="Suma 2 12 56 2" xfId="30304"/>
    <cellStyle name="Suma 2 12 56 3" xfId="30305"/>
    <cellStyle name="Suma 2 12 57" xfId="30306"/>
    <cellStyle name="Suma 2 12 58" xfId="30307"/>
    <cellStyle name="Suma 2 12 6" xfId="30308"/>
    <cellStyle name="Suma 2 12 6 2" xfId="30309"/>
    <cellStyle name="Suma 2 12 6 3" xfId="30310"/>
    <cellStyle name="Suma 2 12 6 4" xfId="30311"/>
    <cellStyle name="Suma 2 12 7" xfId="30312"/>
    <cellStyle name="Suma 2 12 7 2" xfId="30313"/>
    <cellStyle name="Suma 2 12 7 3" xfId="30314"/>
    <cellStyle name="Suma 2 12 7 4" xfId="30315"/>
    <cellStyle name="Suma 2 12 8" xfId="30316"/>
    <cellStyle name="Suma 2 12 8 2" xfId="30317"/>
    <cellStyle name="Suma 2 12 8 3" xfId="30318"/>
    <cellStyle name="Suma 2 12 8 4" xfId="30319"/>
    <cellStyle name="Suma 2 12 9" xfId="30320"/>
    <cellStyle name="Suma 2 12 9 2" xfId="30321"/>
    <cellStyle name="Suma 2 12 9 3" xfId="30322"/>
    <cellStyle name="Suma 2 12 9 4" xfId="30323"/>
    <cellStyle name="Suma 2 13" xfId="30324"/>
    <cellStyle name="Suma 2 13 10" xfId="30325"/>
    <cellStyle name="Suma 2 13 10 2" xfId="30326"/>
    <cellStyle name="Suma 2 13 10 3" xfId="30327"/>
    <cellStyle name="Suma 2 13 10 4" xfId="30328"/>
    <cellStyle name="Suma 2 13 11" xfId="30329"/>
    <cellStyle name="Suma 2 13 11 2" xfId="30330"/>
    <cellStyle name="Suma 2 13 11 3" xfId="30331"/>
    <cellStyle name="Suma 2 13 11 4" xfId="30332"/>
    <cellStyle name="Suma 2 13 12" xfId="30333"/>
    <cellStyle name="Suma 2 13 12 2" xfId="30334"/>
    <cellStyle name="Suma 2 13 12 3" xfId="30335"/>
    <cellStyle name="Suma 2 13 12 4" xfId="30336"/>
    <cellStyle name="Suma 2 13 13" xfId="30337"/>
    <cellStyle name="Suma 2 13 13 2" xfId="30338"/>
    <cellStyle name="Suma 2 13 13 3" xfId="30339"/>
    <cellStyle name="Suma 2 13 13 4" xfId="30340"/>
    <cellStyle name="Suma 2 13 14" xfId="30341"/>
    <cellStyle name="Suma 2 13 14 2" xfId="30342"/>
    <cellStyle name="Suma 2 13 14 3" xfId="30343"/>
    <cellStyle name="Suma 2 13 14 4" xfId="30344"/>
    <cellStyle name="Suma 2 13 15" xfId="30345"/>
    <cellStyle name="Suma 2 13 15 2" xfId="30346"/>
    <cellStyle name="Suma 2 13 15 3" xfId="30347"/>
    <cellStyle name="Suma 2 13 15 4" xfId="30348"/>
    <cellStyle name="Suma 2 13 16" xfId="30349"/>
    <cellStyle name="Suma 2 13 16 2" xfId="30350"/>
    <cellStyle name="Suma 2 13 16 3" xfId="30351"/>
    <cellStyle name="Suma 2 13 16 4" xfId="30352"/>
    <cellStyle name="Suma 2 13 17" xfId="30353"/>
    <cellStyle name="Suma 2 13 17 2" xfId="30354"/>
    <cellStyle name="Suma 2 13 17 3" xfId="30355"/>
    <cellStyle name="Suma 2 13 17 4" xfId="30356"/>
    <cellStyle name="Suma 2 13 18" xfId="30357"/>
    <cellStyle name="Suma 2 13 18 2" xfId="30358"/>
    <cellStyle name="Suma 2 13 18 3" xfId="30359"/>
    <cellStyle name="Suma 2 13 18 4" xfId="30360"/>
    <cellStyle name="Suma 2 13 19" xfId="30361"/>
    <cellStyle name="Suma 2 13 19 2" xfId="30362"/>
    <cellStyle name="Suma 2 13 19 3" xfId="30363"/>
    <cellStyle name="Suma 2 13 19 4" xfId="30364"/>
    <cellStyle name="Suma 2 13 2" xfId="30365"/>
    <cellStyle name="Suma 2 13 2 2" xfId="30366"/>
    <cellStyle name="Suma 2 13 2 3" xfId="30367"/>
    <cellStyle name="Suma 2 13 2 4" xfId="30368"/>
    <cellStyle name="Suma 2 13 20" xfId="30369"/>
    <cellStyle name="Suma 2 13 20 2" xfId="30370"/>
    <cellStyle name="Suma 2 13 20 3" xfId="30371"/>
    <cellStyle name="Suma 2 13 20 4" xfId="30372"/>
    <cellStyle name="Suma 2 13 21" xfId="30373"/>
    <cellStyle name="Suma 2 13 21 2" xfId="30374"/>
    <cellStyle name="Suma 2 13 21 3" xfId="30375"/>
    <cellStyle name="Suma 2 13 22" xfId="30376"/>
    <cellStyle name="Suma 2 13 22 2" xfId="30377"/>
    <cellStyle name="Suma 2 13 22 3" xfId="30378"/>
    <cellStyle name="Suma 2 13 23" xfId="30379"/>
    <cellStyle name="Suma 2 13 23 2" xfId="30380"/>
    <cellStyle name="Suma 2 13 23 3" xfId="30381"/>
    <cellStyle name="Suma 2 13 24" xfId="30382"/>
    <cellStyle name="Suma 2 13 24 2" xfId="30383"/>
    <cellStyle name="Suma 2 13 24 3" xfId="30384"/>
    <cellStyle name="Suma 2 13 25" xfId="30385"/>
    <cellStyle name="Suma 2 13 25 2" xfId="30386"/>
    <cellStyle name="Suma 2 13 25 3" xfId="30387"/>
    <cellStyle name="Suma 2 13 26" xfId="30388"/>
    <cellStyle name="Suma 2 13 26 2" xfId="30389"/>
    <cellStyle name="Suma 2 13 26 3" xfId="30390"/>
    <cellStyle name="Suma 2 13 27" xfId="30391"/>
    <cellStyle name="Suma 2 13 27 2" xfId="30392"/>
    <cellStyle name="Suma 2 13 27 3" xfId="30393"/>
    <cellStyle name="Suma 2 13 28" xfId="30394"/>
    <cellStyle name="Suma 2 13 28 2" xfId="30395"/>
    <cellStyle name="Suma 2 13 28 3" xfId="30396"/>
    <cellStyle name="Suma 2 13 29" xfId="30397"/>
    <cellStyle name="Suma 2 13 29 2" xfId="30398"/>
    <cellStyle name="Suma 2 13 29 3" xfId="30399"/>
    <cellStyle name="Suma 2 13 3" xfId="30400"/>
    <cellStyle name="Suma 2 13 3 2" xfId="30401"/>
    <cellStyle name="Suma 2 13 3 3" xfId="30402"/>
    <cellStyle name="Suma 2 13 3 4" xfId="30403"/>
    <cellStyle name="Suma 2 13 30" xfId="30404"/>
    <cellStyle name="Suma 2 13 30 2" xfId="30405"/>
    <cellStyle name="Suma 2 13 30 3" xfId="30406"/>
    <cellStyle name="Suma 2 13 31" xfId="30407"/>
    <cellStyle name="Suma 2 13 31 2" xfId="30408"/>
    <cellStyle name="Suma 2 13 31 3" xfId="30409"/>
    <cellStyle name="Suma 2 13 32" xfId="30410"/>
    <cellStyle name="Suma 2 13 32 2" xfId="30411"/>
    <cellStyle name="Suma 2 13 32 3" xfId="30412"/>
    <cellStyle name="Suma 2 13 33" xfId="30413"/>
    <cellStyle name="Suma 2 13 33 2" xfId="30414"/>
    <cellStyle name="Suma 2 13 33 3" xfId="30415"/>
    <cellStyle name="Suma 2 13 34" xfId="30416"/>
    <cellStyle name="Suma 2 13 34 2" xfId="30417"/>
    <cellStyle name="Suma 2 13 34 3" xfId="30418"/>
    <cellStyle name="Suma 2 13 35" xfId="30419"/>
    <cellStyle name="Suma 2 13 35 2" xfId="30420"/>
    <cellStyle name="Suma 2 13 35 3" xfId="30421"/>
    <cellStyle name="Suma 2 13 36" xfId="30422"/>
    <cellStyle name="Suma 2 13 36 2" xfId="30423"/>
    <cellStyle name="Suma 2 13 36 3" xfId="30424"/>
    <cellStyle name="Suma 2 13 37" xfId="30425"/>
    <cellStyle name="Suma 2 13 37 2" xfId="30426"/>
    <cellStyle name="Suma 2 13 37 3" xfId="30427"/>
    <cellStyle name="Suma 2 13 38" xfId="30428"/>
    <cellStyle name="Suma 2 13 38 2" xfId="30429"/>
    <cellStyle name="Suma 2 13 38 3" xfId="30430"/>
    <cellStyle name="Suma 2 13 39" xfId="30431"/>
    <cellStyle name="Suma 2 13 39 2" xfId="30432"/>
    <cellStyle name="Suma 2 13 39 3" xfId="30433"/>
    <cellStyle name="Suma 2 13 4" xfId="30434"/>
    <cellStyle name="Suma 2 13 4 2" xfId="30435"/>
    <cellStyle name="Suma 2 13 4 3" xfId="30436"/>
    <cellStyle name="Suma 2 13 4 4" xfId="30437"/>
    <cellStyle name="Suma 2 13 40" xfId="30438"/>
    <cellStyle name="Suma 2 13 40 2" xfId="30439"/>
    <cellStyle name="Suma 2 13 40 3" xfId="30440"/>
    <cellStyle name="Suma 2 13 41" xfId="30441"/>
    <cellStyle name="Suma 2 13 41 2" xfId="30442"/>
    <cellStyle name="Suma 2 13 41 3" xfId="30443"/>
    <cellStyle name="Suma 2 13 42" xfId="30444"/>
    <cellStyle name="Suma 2 13 42 2" xfId="30445"/>
    <cellStyle name="Suma 2 13 42 3" xfId="30446"/>
    <cellStyle name="Suma 2 13 43" xfId="30447"/>
    <cellStyle name="Suma 2 13 43 2" xfId="30448"/>
    <cellStyle name="Suma 2 13 43 3" xfId="30449"/>
    <cellStyle name="Suma 2 13 44" xfId="30450"/>
    <cellStyle name="Suma 2 13 44 2" xfId="30451"/>
    <cellStyle name="Suma 2 13 44 3" xfId="30452"/>
    <cellStyle name="Suma 2 13 45" xfId="30453"/>
    <cellStyle name="Suma 2 13 45 2" xfId="30454"/>
    <cellStyle name="Suma 2 13 45 3" xfId="30455"/>
    <cellStyle name="Suma 2 13 46" xfId="30456"/>
    <cellStyle name="Suma 2 13 46 2" xfId="30457"/>
    <cellStyle name="Suma 2 13 46 3" xfId="30458"/>
    <cellStyle name="Suma 2 13 47" xfId="30459"/>
    <cellStyle name="Suma 2 13 47 2" xfId="30460"/>
    <cellStyle name="Suma 2 13 47 3" xfId="30461"/>
    <cellStyle name="Suma 2 13 48" xfId="30462"/>
    <cellStyle name="Suma 2 13 48 2" xfId="30463"/>
    <cellStyle name="Suma 2 13 48 3" xfId="30464"/>
    <cellStyle name="Suma 2 13 49" xfId="30465"/>
    <cellStyle name="Suma 2 13 49 2" xfId="30466"/>
    <cellStyle name="Suma 2 13 49 3" xfId="30467"/>
    <cellStyle name="Suma 2 13 5" xfId="30468"/>
    <cellStyle name="Suma 2 13 5 2" xfId="30469"/>
    <cellStyle name="Suma 2 13 5 3" xfId="30470"/>
    <cellStyle name="Suma 2 13 5 4" xfId="30471"/>
    <cellStyle name="Suma 2 13 50" xfId="30472"/>
    <cellStyle name="Suma 2 13 50 2" xfId="30473"/>
    <cellStyle name="Suma 2 13 50 3" xfId="30474"/>
    <cellStyle name="Suma 2 13 51" xfId="30475"/>
    <cellStyle name="Suma 2 13 51 2" xfId="30476"/>
    <cellStyle name="Suma 2 13 51 3" xfId="30477"/>
    <cellStyle name="Suma 2 13 52" xfId="30478"/>
    <cellStyle name="Suma 2 13 52 2" xfId="30479"/>
    <cellStyle name="Suma 2 13 52 3" xfId="30480"/>
    <cellStyle name="Suma 2 13 53" xfId="30481"/>
    <cellStyle name="Suma 2 13 53 2" xfId="30482"/>
    <cellStyle name="Suma 2 13 53 3" xfId="30483"/>
    <cellStyle name="Suma 2 13 54" xfId="30484"/>
    <cellStyle name="Suma 2 13 54 2" xfId="30485"/>
    <cellStyle name="Suma 2 13 54 3" xfId="30486"/>
    <cellStyle name="Suma 2 13 55" xfId="30487"/>
    <cellStyle name="Suma 2 13 55 2" xfId="30488"/>
    <cellStyle name="Suma 2 13 55 3" xfId="30489"/>
    <cellStyle name="Suma 2 13 56" xfId="30490"/>
    <cellStyle name="Suma 2 13 56 2" xfId="30491"/>
    <cellStyle name="Suma 2 13 56 3" xfId="30492"/>
    <cellStyle name="Suma 2 13 57" xfId="30493"/>
    <cellStyle name="Suma 2 13 58" xfId="30494"/>
    <cellStyle name="Suma 2 13 6" xfId="30495"/>
    <cellStyle name="Suma 2 13 6 2" xfId="30496"/>
    <cellStyle name="Suma 2 13 6 3" xfId="30497"/>
    <cellStyle name="Suma 2 13 6 4" xfId="30498"/>
    <cellStyle name="Suma 2 13 7" xfId="30499"/>
    <cellStyle name="Suma 2 13 7 2" xfId="30500"/>
    <cellStyle name="Suma 2 13 7 3" xfId="30501"/>
    <cellStyle name="Suma 2 13 7 4" xfId="30502"/>
    <cellStyle name="Suma 2 13 8" xfId="30503"/>
    <cellStyle name="Suma 2 13 8 2" xfId="30504"/>
    <cellStyle name="Suma 2 13 8 3" xfId="30505"/>
    <cellStyle name="Suma 2 13 8 4" xfId="30506"/>
    <cellStyle name="Suma 2 13 9" xfId="30507"/>
    <cellStyle name="Suma 2 13 9 2" xfId="30508"/>
    <cellStyle name="Suma 2 13 9 3" xfId="30509"/>
    <cellStyle name="Suma 2 13 9 4" xfId="30510"/>
    <cellStyle name="Suma 2 14" xfId="30511"/>
    <cellStyle name="Suma 2 14 10" xfId="30512"/>
    <cellStyle name="Suma 2 14 10 2" xfId="30513"/>
    <cellStyle name="Suma 2 14 10 3" xfId="30514"/>
    <cellStyle name="Suma 2 14 10 4" xfId="30515"/>
    <cellStyle name="Suma 2 14 11" xfId="30516"/>
    <cellStyle name="Suma 2 14 11 2" xfId="30517"/>
    <cellStyle name="Suma 2 14 11 3" xfId="30518"/>
    <cellStyle name="Suma 2 14 11 4" xfId="30519"/>
    <cellStyle name="Suma 2 14 12" xfId="30520"/>
    <cellStyle name="Suma 2 14 12 2" xfId="30521"/>
    <cellStyle name="Suma 2 14 12 3" xfId="30522"/>
    <cellStyle name="Suma 2 14 12 4" xfId="30523"/>
    <cellStyle name="Suma 2 14 13" xfId="30524"/>
    <cellStyle name="Suma 2 14 13 2" xfId="30525"/>
    <cellStyle name="Suma 2 14 13 3" xfId="30526"/>
    <cellStyle name="Suma 2 14 13 4" xfId="30527"/>
    <cellStyle name="Suma 2 14 14" xfId="30528"/>
    <cellStyle name="Suma 2 14 14 2" xfId="30529"/>
    <cellStyle name="Suma 2 14 14 3" xfId="30530"/>
    <cellStyle name="Suma 2 14 14 4" xfId="30531"/>
    <cellStyle name="Suma 2 14 15" xfId="30532"/>
    <cellStyle name="Suma 2 14 15 2" xfId="30533"/>
    <cellStyle name="Suma 2 14 15 3" xfId="30534"/>
    <cellStyle name="Suma 2 14 15 4" xfId="30535"/>
    <cellStyle name="Suma 2 14 16" xfId="30536"/>
    <cellStyle name="Suma 2 14 16 2" xfId="30537"/>
    <cellStyle name="Suma 2 14 16 3" xfId="30538"/>
    <cellStyle name="Suma 2 14 16 4" xfId="30539"/>
    <cellStyle name="Suma 2 14 17" xfId="30540"/>
    <cellStyle name="Suma 2 14 17 2" xfId="30541"/>
    <cellStyle name="Suma 2 14 17 3" xfId="30542"/>
    <cellStyle name="Suma 2 14 17 4" xfId="30543"/>
    <cellStyle name="Suma 2 14 18" xfId="30544"/>
    <cellStyle name="Suma 2 14 18 2" xfId="30545"/>
    <cellStyle name="Suma 2 14 18 3" xfId="30546"/>
    <cellStyle name="Suma 2 14 18 4" xfId="30547"/>
    <cellStyle name="Suma 2 14 19" xfId="30548"/>
    <cellStyle name="Suma 2 14 19 2" xfId="30549"/>
    <cellStyle name="Suma 2 14 19 3" xfId="30550"/>
    <cellStyle name="Suma 2 14 19 4" xfId="30551"/>
    <cellStyle name="Suma 2 14 2" xfId="30552"/>
    <cellStyle name="Suma 2 14 2 2" xfId="30553"/>
    <cellStyle name="Suma 2 14 2 3" xfId="30554"/>
    <cellStyle name="Suma 2 14 2 4" xfId="30555"/>
    <cellStyle name="Suma 2 14 20" xfId="30556"/>
    <cellStyle name="Suma 2 14 20 2" xfId="30557"/>
    <cellStyle name="Suma 2 14 20 3" xfId="30558"/>
    <cellStyle name="Suma 2 14 20 4" xfId="30559"/>
    <cellStyle name="Suma 2 14 21" xfId="30560"/>
    <cellStyle name="Suma 2 14 21 2" xfId="30561"/>
    <cellStyle name="Suma 2 14 21 3" xfId="30562"/>
    <cellStyle name="Suma 2 14 22" xfId="30563"/>
    <cellStyle name="Suma 2 14 22 2" xfId="30564"/>
    <cellStyle name="Suma 2 14 22 3" xfId="30565"/>
    <cellStyle name="Suma 2 14 23" xfId="30566"/>
    <cellStyle name="Suma 2 14 23 2" xfId="30567"/>
    <cellStyle name="Suma 2 14 23 3" xfId="30568"/>
    <cellStyle name="Suma 2 14 24" xfId="30569"/>
    <cellStyle name="Suma 2 14 24 2" xfId="30570"/>
    <cellStyle name="Suma 2 14 24 3" xfId="30571"/>
    <cellStyle name="Suma 2 14 25" xfId="30572"/>
    <cellStyle name="Suma 2 14 25 2" xfId="30573"/>
    <cellStyle name="Suma 2 14 25 3" xfId="30574"/>
    <cellStyle name="Suma 2 14 26" xfId="30575"/>
    <cellStyle name="Suma 2 14 26 2" xfId="30576"/>
    <cellStyle name="Suma 2 14 26 3" xfId="30577"/>
    <cellStyle name="Suma 2 14 27" xfId="30578"/>
    <cellStyle name="Suma 2 14 27 2" xfId="30579"/>
    <cellStyle name="Suma 2 14 27 3" xfId="30580"/>
    <cellStyle name="Suma 2 14 28" xfId="30581"/>
    <cellStyle name="Suma 2 14 28 2" xfId="30582"/>
    <cellStyle name="Suma 2 14 28 3" xfId="30583"/>
    <cellStyle name="Suma 2 14 29" xfId="30584"/>
    <cellStyle name="Suma 2 14 29 2" xfId="30585"/>
    <cellStyle name="Suma 2 14 29 3" xfId="30586"/>
    <cellStyle name="Suma 2 14 3" xfId="30587"/>
    <cellStyle name="Suma 2 14 3 2" xfId="30588"/>
    <cellStyle name="Suma 2 14 3 3" xfId="30589"/>
    <cellStyle name="Suma 2 14 3 4" xfId="30590"/>
    <cellStyle name="Suma 2 14 30" xfId="30591"/>
    <cellStyle name="Suma 2 14 30 2" xfId="30592"/>
    <cellStyle name="Suma 2 14 30 3" xfId="30593"/>
    <cellStyle name="Suma 2 14 31" xfId="30594"/>
    <cellStyle name="Suma 2 14 31 2" xfId="30595"/>
    <cellStyle name="Suma 2 14 31 3" xfId="30596"/>
    <cellStyle name="Suma 2 14 32" xfId="30597"/>
    <cellStyle name="Suma 2 14 32 2" xfId="30598"/>
    <cellStyle name="Suma 2 14 32 3" xfId="30599"/>
    <cellStyle name="Suma 2 14 33" xfId="30600"/>
    <cellStyle name="Suma 2 14 33 2" xfId="30601"/>
    <cellStyle name="Suma 2 14 33 3" xfId="30602"/>
    <cellStyle name="Suma 2 14 34" xfId="30603"/>
    <cellStyle name="Suma 2 14 34 2" xfId="30604"/>
    <cellStyle name="Suma 2 14 34 3" xfId="30605"/>
    <cellStyle name="Suma 2 14 35" xfId="30606"/>
    <cellStyle name="Suma 2 14 35 2" xfId="30607"/>
    <cellStyle name="Suma 2 14 35 3" xfId="30608"/>
    <cellStyle name="Suma 2 14 36" xfId="30609"/>
    <cellStyle name="Suma 2 14 36 2" xfId="30610"/>
    <cellStyle name="Suma 2 14 36 3" xfId="30611"/>
    <cellStyle name="Suma 2 14 37" xfId="30612"/>
    <cellStyle name="Suma 2 14 37 2" xfId="30613"/>
    <cellStyle name="Suma 2 14 37 3" xfId="30614"/>
    <cellStyle name="Suma 2 14 38" xfId="30615"/>
    <cellStyle name="Suma 2 14 38 2" xfId="30616"/>
    <cellStyle name="Suma 2 14 38 3" xfId="30617"/>
    <cellStyle name="Suma 2 14 39" xfId="30618"/>
    <cellStyle name="Suma 2 14 39 2" xfId="30619"/>
    <cellStyle name="Suma 2 14 39 3" xfId="30620"/>
    <cellStyle name="Suma 2 14 4" xfId="30621"/>
    <cellStyle name="Suma 2 14 4 2" xfId="30622"/>
    <cellStyle name="Suma 2 14 4 3" xfId="30623"/>
    <cellStyle name="Suma 2 14 4 4" xfId="30624"/>
    <cellStyle name="Suma 2 14 40" xfId="30625"/>
    <cellStyle name="Suma 2 14 40 2" xfId="30626"/>
    <cellStyle name="Suma 2 14 40 3" xfId="30627"/>
    <cellStyle name="Suma 2 14 41" xfId="30628"/>
    <cellStyle name="Suma 2 14 41 2" xfId="30629"/>
    <cellStyle name="Suma 2 14 41 3" xfId="30630"/>
    <cellStyle name="Suma 2 14 42" xfId="30631"/>
    <cellStyle name="Suma 2 14 42 2" xfId="30632"/>
    <cellStyle name="Suma 2 14 42 3" xfId="30633"/>
    <cellStyle name="Suma 2 14 43" xfId="30634"/>
    <cellStyle name="Suma 2 14 43 2" xfId="30635"/>
    <cellStyle name="Suma 2 14 43 3" xfId="30636"/>
    <cellStyle name="Suma 2 14 44" xfId="30637"/>
    <cellStyle name="Suma 2 14 44 2" xfId="30638"/>
    <cellStyle name="Suma 2 14 44 3" xfId="30639"/>
    <cellStyle name="Suma 2 14 45" xfId="30640"/>
    <cellStyle name="Suma 2 14 45 2" xfId="30641"/>
    <cellStyle name="Suma 2 14 45 3" xfId="30642"/>
    <cellStyle name="Suma 2 14 46" xfId="30643"/>
    <cellStyle name="Suma 2 14 46 2" xfId="30644"/>
    <cellStyle name="Suma 2 14 46 3" xfId="30645"/>
    <cellStyle name="Suma 2 14 47" xfId="30646"/>
    <cellStyle name="Suma 2 14 47 2" xfId="30647"/>
    <cellStyle name="Suma 2 14 47 3" xfId="30648"/>
    <cellStyle name="Suma 2 14 48" xfId="30649"/>
    <cellStyle name="Suma 2 14 48 2" xfId="30650"/>
    <cellStyle name="Suma 2 14 48 3" xfId="30651"/>
    <cellStyle name="Suma 2 14 49" xfId="30652"/>
    <cellStyle name="Suma 2 14 49 2" xfId="30653"/>
    <cellStyle name="Suma 2 14 49 3" xfId="30654"/>
    <cellStyle name="Suma 2 14 5" xfId="30655"/>
    <cellStyle name="Suma 2 14 5 2" xfId="30656"/>
    <cellStyle name="Suma 2 14 5 3" xfId="30657"/>
    <cellStyle name="Suma 2 14 5 4" xfId="30658"/>
    <cellStyle name="Suma 2 14 50" xfId="30659"/>
    <cellStyle name="Suma 2 14 50 2" xfId="30660"/>
    <cellStyle name="Suma 2 14 50 3" xfId="30661"/>
    <cellStyle name="Suma 2 14 51" xfId="30662"/>
    <cellStyle name="Suma 2 14 51 2" xfId="30663"/>
    <cellStyle name="Suma 2 14 51 3" xfId="30664"/>
    <cellStyle name="Suma 2 14 52" xfId="30665"/>
    <cellStyle name="Suma 2 14 52 2" xfId="30666"/>
    <cellStyle name="Suma 2 14 52 3" xfId="30667"/>
    <cellStyle name="Suma 2 14 53" xfId="30668"/>
    <cellStyle name="Suma 2 14 53 2" xfId="30669"/>
    <cellStyle name="Suma 2 14 53 3" xfId="30670"/>
    <cellStyle name="Suma 2 14 54" xfId="30671"/>
    <cellStyle name="Suma 2 14 54 2" xfId="30672"/>
    <cellStyle name="Suma 2 14 54 3" xfId="30673"/>
    <cellStyle name="Suma 2 14 55" xfId="30674"/>
    <cellStyle name="Suma 2 14 55 2" xfId="30675"/>
    <cellStyle name="Suma 2 14 55 3" xfId="30676"/>
    <cellStyle name="Suma 2 14 56" xfId="30677"/>
    <cellStyle name="Suma 2 14 56 2" xfId="30678"/>
    <cellStyle name="Suma 2 14 56 3" xfId="30679"/>
    <cellStyle name="Suma 2 14 57" xfId="30680"/>
    <cellStyle name="Suma 2 14 58" xfId="30681"/>
    <cellStyle name="Suma 2 14 6" xfId="30682"/>
    <cellStyle name="Suma 2 14 6 2" xfId="30683"/>
    <cellStyle name="Suma 2 14 6 3" xfId="30684"/>
    <cellStyle name="Suma 2 14 6 4" xfId="30685"/>
    <cellStyle name="Suma 2 14 7" xfId="30686"/>
    <cellStyle name="Suma 2 14 7 2" xfId="30687"/>
    <cellStyle name="Suma 2 14 7 3" xfId="30688"/>
    <cellStyle name="Suma 2 14 7 4" xfId="30689"/>
    <cellStyle name="Suma 2 14 8" xfId="30690"/>
    <cellStyle name="Suma 2 14 8 2" xfId="30691"/>
    <cellStyle name="Suma 2 14 8 3" xfId="30692"/>
    <cellStyle name="Suma 2 14 8 4" xfId="30693"/>
    <cellStyle name="Suma 2 14 9" xfId="30694"/>
    <cellStyle name="Suma 2 14 9 2" xfId="30695"/>
    <cellStyle name="Suma 2 14 9 3" xfId="30696"/>
    <cellStyle name="Suma 2 14 9 4" xfId="30697"/>
    <cellStyle name="Suma 2 15" xfId="30698"/>
    <cellStyle name="Suma 2 15 10" xfId="30699"/>
    <cellStyle name="Suma 2 15 10 2" xfId="30700"/>
    <cellStyle name="Suma 2 15 10 3" xfId="30701"/>
    <cellStyle name="Suma 2 15 10 4" xfId="30702"/>
    <cellStyle name="Suma 2 15 11" xfId="30703"/>
    <cellStyle name="Suma 2 15 11 2" xfId="30704"/>
    <cellStyle name="Suma 2 15 11 3" xfId="30705"/>
    <cellStyle name="Suma 2 15 11 4" xfId="30706"/>
    <cellStyle name="Suma 2 15 12" xfId="30707"/>
    <cellStyle name="Suma 2 15 12 2" xfId="30708"/>
    <cellStyle name="Suma 2 15 12 3" xfId="30709"/>
    <cellStyle name="Suma 2 15 12 4" xfId="30710"/>
    <cellStyle name="Suma 2 15 13" xfId="30711"/>
    <cellStyle name="Suma 2 15 13 2" xfId="30712"/>
    <cellStyle name="Suma 2 15 13 3" xfId="30713"/>
    <cellStyle name="Suma 2 15 13 4" xfId="30714"/>
    <cellStyle name="Suma 2 15 14" xfId="30715"/>
    <cellStyle name="Suma 2 15 14 2" xfId="30716"/>
    <cellStyle name="Suma 2 15 14 3" xfId="30717"/>
    <cellStyle name="Suma 2 15 14 4" xfId="30718"/>
    <cellStyle name="Suma 2 15 15" xfId="30719"/>
    <cellStyle name="Suma 2 15 15 2" xfId="30720"/>
    <cellStyle name="Suma 2 15 15 3" xfId="30721"/>
    <cellStyle name="Suma 2 15 15 4" xfId="30722"/>
    <cellStyle name="Suma 2 15 16" xfId="30723"/>
    <cellStyle name="Suma 2 15 16 2" xfId="30724"/>
    <cellStyle name="Suma 2 15 16 3" xfId="30725"/>
    <cellStyle name="Suma 2 15 16 4" xfId="30726"/>
    <cellStyle name="Suma 2 15 17" xfId="30727"/>
    <cellStyle name="Suma 2 15 17 2" xfId="30728"/>
    <cellStyle name="Suma 2 15 17 3" xfId="30729"/>
    <cellStyle name="Suma 2 15 17 4" xfId="30730"/>
    <cellStyle name="Suma 2 15 18" xfId="30731"/>
    <cellStyle name="Suma 2 15 18 2" xfId="30732"/>
    <cellStyle name="Suma 2 15 18 3" xfId="30733"/>
    <cellStyle name="Suma 2 15 18 4" xfId="30734"/>
    <cellStyle name="Suma 2 15 19" xfId="30735"/>
    <cellStyle name="Suma 2 15 19 2" xfId="30736"/>
    <cellStyle name="Suma 2 15 19 3" xfId="30737"/>
    <cellStyle name="Suma 2 15 19 4" xfId="30738"/>
    <cellStyle name="Suma 2 15 2" xfId="30739"/>
    <cellStyle name="Suma 2 15 2 2" xfId="30740"/>
    <cellStyle name="Suma 2 15 2 3" xfId="30741"/>
    <cellStyle name="Suma 2 15 2 4" xfId="30742"/>
    <cellStyle name="Suma 2 15 20" xfId="30743"/>
    <cellStyle name="Suma 2 15 20 2" xfId="30744"/>
    <cellStyle name="Suma 2 15 20 3" xfId="30745"/>
    <cellStyle name="Suma 2 15 20 4" xfId="30746"/>
    <cellStyle name="Suma 2 15 21" xfId="30747"/>
    <cellStyle name="Suma 2 15 21 2" xfId="30748"/>
    <cellStyle name="Suma 2 15 21 3" xfId="30749"/>
    <cellStyle name="Suma 2 15 22" xfId="30750"/>
    <cellStyle name="Suma 2 15 22 2" xfId="30751"/>
    <cellStyle name="Suma 2 15 22 3" xfId="30752"/>
    <cellStyle name="Suma 2 15 23" xfId="30753"/>
    <cellStyle name="Suma 2 15 23 2" xfId="30754"/>
    <cellStyle name="Suma 2 15 23 3" xfId="30755"/>
    <cellStyle name="Suma 2 15 24" xfId="30756"/>
    <cellStyle name="Suma 2 15 24 2" xfId="30757"/>
    <cellStyle name="Suma 2 15 24 3" xfId="30758"/>
    <cellStyle name="Suma 2 15 25" xfId="30759"/>
    <cellStyle name="Suma 2 15 25 2" xfId="30760"/>
    <cellStyle name="Suma 2 15 25 3" xfId="30761"/>
    <cellStyle name="Suma 2 15 26" xfId="30762"/>
    <cellStyle name="Suma 2 15 26 2" xfId="30763"/>
    <cellStyle name="Suma 2 15 26 3" xfId="30764"/>
    <cellStyle name="Suma 2 15 27" xfId="30765"/>
    <cellStyle name="Suma 2 15 27 2" xfId="30766"/>
    <cellStyle name="Suma 2 15 27 3" xfId="30767"/>
    <cellStyle name="Suma 2 15 28" xfId="30768"/>
    <cellStyle name="Suma 2 15 28 2" xfId="30769"/>
    <cellStyle name="Suma 2 15 28 3" xfId="30770"/>
    <cellStyle name="Suma 2 15 29" xfId="30771"/>
    <cellStyle name="Suma 2 15 29 2" xfId="30772"/>
    <cellStyle name="Suma 2 15 29 3" xfId="30773"/>
    <cellStyle name="Suma 2 15 3" xfId="30774"/>
    <cellStyle name="Suma 2 15 3 2" xfId="30775"/>
    <cellStyle name="Suma 2 15 3 3" xfId="30776"/>
    <cellStyle name="Suma 2 15 3 4" xfId="30777"/>
    <cellStyle name="Suma 2 15 30" xfId="30778"/>
    <cellStyle name="Suma 2 15 30 2" xfId="30779"/>
    <cellStyle name="Suma 2 15 30 3" xfId="30780"/>
    <cellStyle name="Suma 2 15 31" xfId="30781"/>
    <cellStyle name="Suma 2 15 31 2" xfId="30782"/>
    <cellStyle name="Suma 2 15 31 3" xfId="30783"/>
    <cellStyle name="Suma 2 15 32" xfId="30784"/>
    <cellStyle name="Suma 2 15 32 2" xfId="30785"/>
    <cellStyle name="Suma 2 15 32 3" xfId="30786"/>
    <cellStyle name="Suma 2 15 33" xfId="30787"/>
    <cellStyle name="Suma 2 15 33 2" xfId="30788"/>
    <cellStyle name="Suma 2 15 33 3" xfId="30789"/>
    <cellStyle name="Suma 2 15 34" xfId="30790"/>
    <cellStyle name="Suma 2 15 34 2" xfId="30791"/>
    <cellStyle name="Suma 2 15 34 3" xfId="30792"/>
    <cellStyle name="Suma 2 15 35" xfId="30793"/>
    <cellStyle name="Suma 2 15 35 2" xfId="30794"/>
    <cellStyle name="Suma 2 15 35 3" xfId="30795"/>
    <cellStyle name="Suma 2 15 36" xfId="30796"/>
    <cellStyle name="Suma 2 15 36 2" xfId="30797"/>
    <cellStyle name="Suma 2 15 36 3" xfId="30798"/>
    <cellStyle name="Suma 2 15 37" xfId="30799"/>
    <cellStyle name="Suma 2 15 37 2" xfId="30800"/>
    <cellStyle name="Suma 2 15 37 3" xfId="30801"/>
    <cellStyle name="Suma 2 15 38" xfId="30802"/>
    <cellStyle name="Suma 2 15 38 2" xfId="30803"/>
    <cellStyle name="Suma 2 15 38 3" xfId="30804"/>
    <cellStyle name="Suma 2 15 39" xfId="30805"/>
    <cellStyle name="Suma 2 15 39 2" xfId="30806"/>
    <cellStyle name="Suma 2 15 39 3" xfId="30807"/>
    <cellStyle name="Suma 2 15 4" xfId="30808"/>
    <cellStyle name="Suma 2 15 4 2" xfId="30809"/>
    <cellStyle name="Suma 2 15 4 3" xfId="30810"/>
    <cellStyle name="Suma 2 15 4 4" xfId="30811"/>
    <cellStyle name="Suma 2 15 40" xfId="30812"/>
    <cellStyle name="Suma 2 15 40 2" xfId="30813"/>
    <cellStyle name="Suma 2 15 40 3" xfId="30814"/>
    <cellStyle name="Suma 2 15 41" xfId="30815"/>
    <cellStyle name="Suma 2 15 41 2" xfId="30816"/>
    <cellStyle name="Suma 2 15 41 3" xfId="30817"/>
    <cellStyle name="Suma 2 15 42" xfId="30818"/>
    <cellStyle name="Suma 2 15 42 2" xfId="30819"/>
    <cellStyle name="Suma 2 15 42 3" xfId="30820"/>
    <cellStyle name="Suma 2 15 43" xfId="30821"/>
    <cellStyle name="Suma 2 15 43 2" xfId="30822"/>
    <cellStyle name="Suma 2 15 43 3" xfId="30823"/>
    <cellStyle name="Suma 2 15 44" xfId="30824"/>
    <cellStyle name="Suma 2 15 44 2" xfId="30825"/>
    <cellStyle name="Suma 2 15 44 3" xfId="30826"/>
    <cellStyle name="Suma 2 15 45" xfId="30827"/>
    <cellStyle name="Suma 2 15 45 2" xfId="30828"/>
    <cellStyle name="Suma 2 15 45 3" xfId="30829"/>
    <cellStyle name="Suma 2 15 46" xfId="30830"/>
    <cellStyle name="Suma 2 15 46 2" xfId="30831"/>
    <cellStyle name="Suma 2 15 46 3" xfId="30832"/>
    <cellStyle name="Suma 2 15 47" xfId="30833"/>
    <cellStyle name="Suma 2 15 47 2" xfId="30834"/>
    <cellStyle name="Suma 2 15 47 3" xfId="30835"/>
    <cellStyle name="Suma 2 15 48" xfId="30836"/>
    <cellStyle name="Suma 2 15 48 2" xfId="30837"/>
    <cellStyle name="Suma 2 15 48 3" xfId="30838"/>
    <cellStyle name="Suma 2 15 49" xfId="30839"/>
    <cellStyle name="Suma 2 15 49 2" xfId="30840"/>
    <cellStyle name="Suma 2 15 49 3" xfId="30841"/>
    <cellStyle name="Suma 2 15 5" xfId="30842"/>
    <cellStyle name="Suma 2 15 5 2" xfId="30843"/>
    <cellStyle name="Suma 2 15 5 3" xfId="30844"/>
    <cellStyle name="Suma 2 15 5 4" xfId="30845"/>
    <cellStyle name="Suma 2 15 50" xfId="30846"/>
    <cellStyle name="Suma 2 15 50 2" xfId="30847"/>
    <cellStyle name="Suma 2 15 50 3" xfId="30848"/>
    <cellStyle name="Suma 2 15 51" xfId="30849"/>
    <cellStyle name="Suma 2 15 51 2" xfId="30850"/>
    <cellStyle name="Suma 2 15 51 3" xfId="30851"/>
    <cellStyle name="Suma 2 15 52" xfId="30852"/>
    <cellStyle name="Suma 2 15 52 2" xfId="30853"/>
    <cellStyle name="Suma 2 15 52 3" xfId="30854"/>
    <cellStyle name="Suma 2 15 53" xfId="30855"/>
    <cellStyle name="Suma 2 15 53 2" xfId="30856"/>
    <cellStyle name="Suma 2 15 53 3" xfId="30857"/>
    <cellStyle name="Suma 2 15 54" xfId="30858"/>
    <cellStyle name="Suma 2 15 54 2" xfId="30859"/>
    <cellStyle name="Suma 2 15 54 3" xfId="30860"/>
    <cellStyle name="Suma 2 15 55" xfId="30861"/>
    <cellStyle name="Suma 2 15 55 2" xfId="30862"/>
    <cellStyle name="Suma 2 15 55 3" xfId="30863"/>
    <cellStyle name="Suma 2 15 56" xfId="30864"/>
    <cellStyle name="Suma 2 15 56 2" xfId="30865"/>
    <cellStyle name="Suma 2 15 56 3" xfId="30866"/>
    <cellStyle name="Suma 2 15 57" xfId="30867"/>
    <cellStyle name="Suma 2 15 58" xfId="30868"/>
    <cellStyle name="Suma 2 15 6" xfId="30869"/>
    <cellStyle name="Suma 2 15 6 2" xfId="30870"/>
    <cellStyle name="Suma 2 15 6 3" xfId="30871"/>
    <cellStyle name="Suma 2 15 6 4" xfId="30872"/>
    <cellStyle name="Suma 2 15 7" xfId="30873"/>
    <cellStyle name="Suma 2 15 7 2" xfId="30874"/>
    <cellStyle name="Suma 2 15 7 3" xfId="30875"/>
    <cellStyle name="Suma 2 15 7 4" xfId="30876"/>
    <cellStyle name="Suma 2 15 8" xfId="30877"/>
    <cellStyle name="Suma 2 15 8 2" xfId="30878"/>
    <cellStyle name="Suma 2 15 8 3" xfId="30879"/>
    <cellStyle name="Suma 2 15 8 4" xfId="30880"/>
    <cellStyle name="Suma 2 15 9" xfId="30881"/>
    <cellStyle name="Suma 2 15 9 2" xfId="30882"/>
    <cellStyle name="Suma 2 15 9 3" xfId="30883"/>
    <cellStyle name="Suma 2 15 9 4" xfId="30884"/>
    <cellStyle name="Suma 2 16" xfId="30885"/>
    <cellStyle name="Suma 2 16 10" xfId="30886"/>
    <cellStyle name="Suma 2 16 10 2" xfId="30887"/>
    <cellStyle name="Suma 2 16 10 3" xfId="30888"/>
    <cellStyle name="Suma 2 16 10 4" xfId="30889"/>
    <cellStyle name="Suma 2 16 11" xfId="30890"/>
    <cellStyle name="Suma 2 16 11 2" xfId="30891"/>
    <cellStyle name="Suma 2 16 11 3" xfId="30892"/>
    <cellStyle name="Suma 2 16 11 4" xfId="30893"/>
    <cellStyle name="Suma 2 16 12" xfId="30894"/>
    <cellStyle name="Suma 2 16 12 2" xfId="30895"/>
    <cellStyle name="Suma 2 16 12 3" xfId="30896"/>
    <cellStyle name="Suma 2 16 12 4" xfId="30897"/>
    <cellStyle name="Suma 2 16 13" xfId="30898"/>
    <cellStyle name="Suma 2 16 13 2" xfId="30899"/>
    <cellStyle name="Suma 2 16 13 3" xfId="30900"/>
    <cellStyle name="Suma 2 16 13 4" xfId="30901"/>
    <cellStyle name="Suma 2 16 14" xfId="30902"/>
    <cellStyle name="Suma 2 16 14 2" xfId="30903"/>
    <cellStyle name="Suma 2 16 14 3" xfId="30904"/>
    <cellStyle name="Suma 2 16 14 4" xfId="30905"/>
    <cellStyle name="Suma 2 16 15" xfId="30906"/>
    <cellStyle name="Suma 2 16 15 2" xfId="30907"/>
    <cellStyle name="Suma 2 16 15 3" xfId="30908"/>
    <cellStyle name="Suma 2 16 15 4" xfId="30909"/>
    <cellStyle name="Suma 2 16 16" xfId="30910"/>
    <cellStyle name="Suma 2 16 16 2" xfId="30911"/>
    <cellStyle name="Suma 2 16 16 3" xfId="30912"/>
    <cellStyle name="Suma 2 16 16 4" xfId="30913"/>
    <cellStyle name="Suma 2 16 17" xfId="30914"/>
    <cellStyle name="Suma 2 16 17 2" xfId="30915"/>
    <cellStyle name="Suma 2 16 17 3" xfId="30916"/>
    <cellStyle name="Suma 2 16 17 4" xfId="30917"/>
    <cellStyle name="Suma 2 16 18" xfId="30918"/>
    <cellStyle name="Suma 2 16 18 2" xfId="30919"/>
    <cellStyle name="Suma 2 16 18 3" xfId="30920"/>
    <cellStyle name="Suma 2 16 18 4" xfId="30921"/>
    <cellStyle name="Suma 2 16 19" xfId="30922"/>
    <cellStyle name="Suma 2 16 19 2" xfId="30923"/>
    <cellStyle name="Suma 2 16 19 3" xfId="30924"/>
    <cellStyle name="Suma 2 16 19 4" xfId="30925"/>
    <cellStyle name="Suma 2 16 2" xfId="30926"/>
    <cellStyle name="Suma 2 16 2 2" xfId="30927"/>
    <cellStyle name="Suma 2 16 2 3" xfId="30928"/>
    <cellStyle name="Suma 2 16 2 4" xfId="30929"/>
    <cellStyle name="Suma 2 16 20" xfId="30930"/>
    <cellStyle name="Suma 2 16 20 2" xfId="30931"/>
    <cellStyle name="Suma 2 16 20 3" xfId="30932"/>
    <cellStyle name="Suma 2 16 20 4" xfId="30933"/>
    <cellStyle name="Suma 2 16 21" xfId="30934"/>
    <cellStyle name="Suma 2 16 21 2" xfId="30935"/>
    <cellStyle name="Suma 2 16 21 3" xfId="30936"/>
    <cellStyle name="Suma 2 16 22" xfId="30937"/>
    <cellStyle name="Suma 2 16 22 2" xfId="30938"/>
    <cellStyle name="Suma 2 16 22 3" xfId="30939"/>
    <cellStyle name="Suma 2 16 23" xfId="30940"/>
    <cellStyle name="Suma 2 16 23 2" xfId="30941"/>
    <cellStyle name="Suma 2 16 23 3" xfId="30942"/>
    <cellStyle name="Suma 2 16 24" xfId="30943"/>
    <cellStyle name="Suma 2 16 24 2" xfId="30944"/>
    <cellStyle name="Suma 2 16 24 3" xfId="30945"/>
    <cellStyle name="Suma 2 16 25" xfId="30946"/>
    <cellStyle name="Suma 2 16 25 2" xfId="30947"/>
    <cellStyle name="Suma 2 16 25 3" xfId="30948"/>
    <cellStyle name="Suma 2 16 26" xfId="30949"/>
    <cellStyle name="Suma 2 16 26 2" xfId="30950"/>
    <cellStyle name="Suma 2 16 26 3" xfId="30951"/>
    <cellStyle name="Suma 2 16 27" xfId="30952"/>
    <cellStyle name="Suma 2 16 27 2" xfId="30953"/>
    <cellStyle name="Suma 2 16 27 3" xfId="30954"/>
    <cellStyle name="Suma 2 16 28" xfId="30955"/>
    <cellStyle name="Suma 2 16 28 2" xfId="30956"/>
    <cellStyle name="Suma 2 16 28 3" xfId="30957"/>
    <cellStyle name="Suma 2 16 29" xfId="30958"/>
    <cellStyle name="Suma 2 16 29 2" xfId="30959"/>
    <cellStyle name="Suma 2 16 29 3" xfId="30960"/>
    <cellStyle name="Suma 2 16 3" xfId="30961"/>
    <cellStyle name="Suma 2 16 3 2" xfId="30962"/>
    <cellStyle name="Suma 2 16 3 3" xfId="30963"/>
    <cellStyle name="Suma 2 16 3 4" xfId="30964"/>
    <cellStyle name="Suma 2 16 30" xfId="30965"/>
    <cellStyle name="Suma 2 16 30 2" xfId="30966"/>
    <cellStyle name="Suma 2 16 30 3" xfId="30967"/>
    <cellStyle name="Suma 2 16 31" xfId="30968"/>
    <cellStyle name="Suma 2 16 31 2" xfId="30969"/>
    <cellStyle name="Suma 2 16 31 3" xfId="30970"/>
    <cellStyle name="Suma 2 16 32" xfId="30971"/>
    <cellStyle name="Suma 2 16 32 2" xfId="30972"/>
    <cellStyle name="Suma 2 16 32 3" xfId="30973"/>
    <cellStyle name="Suma 2 16 33" xfId="30974"/>
    <cellStyle name="Suma 2 16 33 2" xfId="30975"/>
    <cellStyle name="Suma 2 16 33 3" xfId="30976"/>
    <cellStyle name="Suma 2 16 34" xfId="30977"/>
    <cellStyle name="Suma 2 16 34 2" xfId="30978"/>
    <cellStyle name="Suma 2 16 34 3" xfId="30979"/>
    <cellStyle name="Suma 2 16 35" xfId="30980"/>
    <cellStyle name="Suma 2 16 35 2" xfId="30981"/>
    <cellStyle name="Suma 2 16 35 3" xfId="30982"/>
    <cellStyle name="Suma 2 16 36" xfId="30983"/>
    <cellStyle name="Suma 2 16 36 2" xfId="30984"/>
    <cellStyle name="Suma 2 16 36 3" xfId="30985"/>
    <cellStyle name="Suma 2 16 37" xfId="30986"/>
    <cellStyle name="Suma 2 16 37 2" xfId="30987"/>
    <cellStyle name="Suma 2 16 37 3" xfId="30988"/>
    <cellStyle name="Suma 2 16 38" xfId="30989"/>
    <cellStyle name="Suma 2 16 38 2" xfId="30990"/>
    <cellStyle name="Suma 2 16 38 3" xfId="30991"/>
    <cellStyle name="Suma 2 16 39" xfId="30992"/>
    <cellStyle name="Suma 2 16 39 2" xfId="30993"/>
    <cellStyle name="Suma 2 16 39 3" xfId="30994"/>
    <cellStyle name="Suma 2 16 4" xfId="30995"/>
    <cellStyle name="Suma 2 16 4 2" xfId="30996"/>
    <cellStyle name="Suma 2 16 4 3" xfId="30997"/>
    <cellStyle name="Suma 2 16 4 4" xfId="30998"/>
    <cellStyle name="Suma 2 16 40" xfId="30999"/>
    <cellStyle name="Suma 2 16 40 2" xfId="31000"/>
    <cellStyle name="Suma 2 16 40 3" xfId="31001"/>
    <cellStyle name="Suma 2 16 41" xfId="31002"/>
    <cellStyle name="Suma 2 16 41 2" xfId="31003"/>
    <cellStyle name="Suma 2 16 41 3" xfId="31004"/>
    <cellStyle name="Suma 2 16 42" xfId="31005"/>
    <cellStyle name="Suma 2 16 42 2" xfId="31006"/>
    <cellStyle name="Suma 2 16 42 3" xfId="31007"/>
    <cellStyle name="Suma 2 16 43" xfId="31008"/>
    <cellStyle name="Suma 2 16 43 2" xfId="31009"/>
    <cellStyle name="Suma 2 16 43 3" xfId="31010"/>
    <cellStyle name="Suma 2 16 44" xfId="31011"/>
    <cellStyle name="Suma 2 16 44 2" xfId="31012"/>
    <cellStyle name="Suma 2 16 44 3" xfId="31013"/>
    <cellStyle name="Suma 2 16 45" xfId="31014"/>
    <cellStyle name="Suma 2 16 45 2" xfId="31015"/>
    <cellStyle name="Suma 2 16 45 3" xfId="31016"/>
    <cellStyle name="Suma 2 16 46" xfId="31017"/>
    <cellStyle name="Suma 2 16 46 2" xfId="31018"/>
    <cellStyle name="Suma 2 16 46 3" xfId="31019"/>
    <cellStyle name="Suma 2 16 47" xfId="31020"/>
    <cellStyle name="Suma 2 16 47 2" xfId="31021"/>
    <cellStyle name="Suma 2 16 47 3" xfId="31022"/>
    <cellStyle name="Suma 2 16 48" xfId="31023"/>
    <cellStyle name="Suma 2 16 48 2" xfId="31024"/>
    <cellStyle name="Suma 2 16 48 3" xfId="31025"/>
    <cellStyle name="Suma 2 16 49" xfId="31026"/>
    <cellStyle name="Suma 2 16 49 2" xfId="31027"/>
    <cellStyle name="Suma 2 16 49 3" xfId="31028"/>
    <cellStyle name="Suma 2 16 5" xfId="31029"/>
    <cellStyle name="Suma 2 16 5 2" xfId="31030"/>
    <cellStyle name="Suma 2 16 5 3" xfId="31031"/>
    <cellStyle name="Suma 2 16 5 4" xfId="31032"/>
    <cellStyle name="Suma 2 16 50" xfId="31033"/>
    <cellStyle name="Suma 2 16 50 2" xfId="31034"/>
    <cellStyle name="Suma 2 16 50 3" xfId="31035"/>
    <cellStyle name="Suma 2 16 51" xfId="31036"/>
    <cellStyle name="Suma 2 16 51 2" xfId="31037"/>
    <cellStyle name="Suma 2 16 51 3" xfId="31038"/>
    <cellStyle name="Suma 2 16 52" xfId="31039"/>
    <cellStyle name="Suma 2 16 52 2" xfId="31040"/>
    <cellStyle name="Suma 2 16 52 3" xfId="31041"/>
    <cellStyle name="Suma 2 16 53" xfId="31042"/>
    <cellStyle name="Suma 2 16 53 2" xfId="31043"/>
    <cellStyle name="Suma 2 16 53 3" xfId="31044"/>
    <cellStyle name="Suma 2 16 54" xfId="31045"/>
    <cellStyle name="Suma 2 16 54 2" xfId="31046"/>
    <cellStyle name="Suma 2 16 54 3" xfId="31047"/>
    <cellStyle name="Suma 2 16 55" xfId="31048"/>
    <cellStyle name="Suma 2 16 55 2" xfId="31049"/>
    <cellStyle name="Suma 2 16 55 3" xfId="31050"/>
    <cellStyle name="Suma 2 16 56" xfId="31051"/>
    <cellStyle name="Suma 2 16 56 2" xfId="31052"/>
    <cellStyle name="Suma 2 16 56 3" xfId="31053"/>
    <cellStyle name="Suma 2 16 57" xfId="31054"/>
    <cellStyle name="Suma 2 16 58" xfId="31055"/>
    <cellStyle name="Suma 2 16 6" xfId="31056"/>
    <cellStyle name="Suma 2 16 6 2" xfId="31057"/>
    <cellStyle name="Suma 2 16 6 3" xfId="31058"/>
    <cellStyle name="Suma 2 16 6 4" xfId="31059"/>
    <cellStyle name="Suma 2 16 7" xfId="31060"/>
    <cellStyle name="Suma 2 16 7 2" xfId="31061"/>
    <cellStyle name="Suma 2 16 7 3" xfId="31062"/>
    <cellStyle name="Suma 2 16 7 4" xfId="31063"/>
    <cellStyle name="Suma 2 16 8" xfId="31064"/>
    <cellStyle name="Suma 2 16 8 2" xfId="31065"/>
    <cellStyle name="Suma 2 16 8 3" xfId="31066"/>
    <cellStyle name="Suma 2 16 8 4" xfId="31067"/>
    <cellStyle name="Suma 2 16 9" xfId="31068"/>
    <cellStyle name="Suma 2 16 9 2" xfId="31069"/>
    <cellStyle name="Suma 2 16 9 3" xfId="31070"/>
    <cellStyle name="Suma 2 16 9 4" xfId="31071"/>
    <cellStyle name="Suma 2 17" xfId="31072"/>
    <cellStyle name="Suma 2 17 10" xfId="31073"/>
    <cellStyle name="Suma 2 17 10 2" xfId="31074"/>
    <cellStyle name="Suma 2 17 10 3" xfId="31075"/>
    <cellStyle name="Suma 2 17 10 4" xfId="31076"/>
    <cellStyle name="Suma 2 17 11" xfId="31077"/>
    <cellStyle name="Suma 2 17 11 2" xfId="31078"/>
    <cellStyle name="Suma 2 17 11 3" xfId="31079"/>
    <cellStyle name="Suma 2 17 11 4" xfId="31080"/>
    <cellStyle name="Suma 2 17 12" xfId="31081"/>
    <cellStyle name="Suma 2 17 12 2" xfId="31082"/>
    <cellStyle name="Suma 2 17 12 3" xfId="31083"/>
    <cellStyle name="Suma 2 17 12 4" xfId="31084"/>
    <cellStyle name="Suma 2 17 13" xfId="31085"/>
    <cellStyle name="Suma 2 17 13 2" xfId="31086"/>
    <cellStyle name="Suma 2 17 13 3" xfId="31087"/>
    <cellStyle name="Suma 2 17 13 4" xfId="31088"/>
    <cellStyle name="Suma 2 17 14" xfId="31089"/>
    <cellStyle name="Suma 2 17 14 2" xfId="31090"/>
    <cellStyle name="Suma 2 17 14 3" xfId="31091"/>
    <cellStyle name="Suma 2 17 14 4" xfId="31092"/>
    <cellStyle name="Suma 2 17 15" xfId="31093"/>
    <cellStyle name="Suma 2 17 15 2" xfId="31094"/>
    <cellStyle name="Suma 2 17 15 3" xfId="31095"/>
    <cellStyle name="Suma 2 17 15 4" xfId="31096"/>
    <cellStyle name="Suma 2 17 16" xfId="31097"/>
    <cellStyle name="Suma 2 17 16 2" xfId="31098"/>
    <cellStyle name="Suma 2 17 16 3" xfId="31099"/>
    <cellStyle name="Suma 2 17 16 4" xfId="31100"/>
    <cellStyle name="Suma 2 17 17" xfId="31101"/>
    <cellStyle name="Suma 2 17 17 2" xfId="31102"/>
    <cellStyle name="Suma 2 17 17 3" xfId="31103"/>
    <cellStyle name="Suma 2 17 17 4" xfId="31104"/>
    <cellStyle name="Suma 2 17 18" xfId="31105"/>
    <cellStyle name="Suma 2 17 18 2" xfId="31106"/>
    <cellStyle name="Suma 2 17 18 3" xfId="31107"/>
    <cellStyle name="Suma 2 17 18 4" xfId="31108"/>
    <cellStyle name="Suma 2 17 19" xfId="31109"/>
    <cellStyle name="Suma 2 17 19 2" xfId="31110"/>
    <cellStyle name="Suma 2 17 19 3" xfId="31111"/>
    <cellStyle name="Suma 2 17 19 4" xfId="31112"/>
    <cellStyle name="Suma 2 17 2" xfId="31113"/>
    <cellStyle name="Suma 2 17 2 2" xfId="31114"/>
    <cellStyle name="Suma 2 17 2 3" xfId="31115"/>
    <cellStyle name="Suma 2 17 2 4" xfId="31116"/>
    <cellStyle name="Suma 2 17 20" xfId="31117"/>
    <cellStyle name="Suma 2 17 20 2" xfId="31118"/>
    <cellStyle name="Suma 2 17 20 3" xfId="31119"/>
    <cellStyle name="Suma 2 17 20 4" xfId="31120"/>
    <cellStyle name="Suma 2 17 21" xfId="31121"/>
    <cellStyle name="Suma 2 17 21 2" xfId="31122"/>
    <cellStyle name="Suma 2 17 21 3" xfId="31123"/>
    <cellStyle name="Suma 2 17 22" xfId="31124"/>
    <cellStyle name="Suma 2 17 22 2" xfId="31125"/>
    <cellStyle name="Suma 2 17 22 3" xfId="31126"/>
    <cellStyle name="Suma 2 17 23" xfId="31127"/>
    <cellStyle name="Suma 2 17 23 2" xfId="31128"/>
    <cellStyle name="Suma 2 17 23 3" xfId="31129"/>
    <cellStyle name="Suma 2 17 24" xfId="31130"/>
    <cellStyle name="Suma 2 17 24 2" xfId="31131"/>
    <cellStyle name="Suma 2 17 24 3" xfId="31132"/>
    <cellStyle name="Suma 2 17 25" xfId="31133"/>
    <cellStyle name="Suma 2 17 25 2" xfId="31134"/>
    <cellStyle name="Suma 2 17 25 3" xfId="31135"/>
    <cellStyle name="Suma 2 17 26" xfId="31136"/>
    <cellStyle name="Suma 2 17 26 2" xfId="31137"/>
    <cellStyle name="Suma 2 17 26 3" xfId="31138"/>
    <cellStyle name="Suma 2 17 27" xfId="31139"/>
    <cellStyle name="Suma 2 17 27 2" xfId="31140"/>
    <cellStyle name="Suma 2 17 27 3" xfId="31141"/>
    <cellStyle name="Suma 2 17 28" xfId="31142"/>
    <cellStyle name="Suma 2 17 28 2" xfId="31143"/>
    <cellStyle name="Suma 2 17 28 3" xfId="31144"/>
    <cellStyle name="Suma 2 17 29" xfId="31145"/>
    <cellStyle name="Suma 2 17 29 2" xfId="31146"/>
    <cellStyle name="Suma 2 17 29 3" xfId="31147"/>
    <cellStyle name="Suma 2 17 3" xfId="31148"/>
    <cellStyle name="Suma 2 17 3 2" xfId="31149"/>
    <cellStyle name="Suma 2 17 3 3" xfId="31150"/>
    <cellStyle name="Suma 2 17 3 4" xfId="31151"/>
    <cellStyle name="Suma 2 17 30" xfId="31152"/>
    <cellStyle name="Suma 2 17 30 2" xfId="31153"/>
    <cellStyle name="Suma 2 17 30 3" xfId="31154"/>
    <cellStyle name="Suma 2 17 31" xfId="31155"/>
    <cellStyle name="Suma 2 17 31 2" xfId="31156"/>
    <cellStyle name="Suma 2 17 31 3" xfId="31157"/>
    <cellStyle name="Suma 2 17 32" xfId="31158"/>
    <cellStyle name="Suma 2 17 32 2" xfId="31159"/>
    <cellStyle name="Suma 2 17 32 3" xfId="31160"/>
    <cellStyle name="Suma 2 17 33" xfId="31161"/>
    <cellStyle name="Suma 2 17 33 2" xfId="31162"/>
    <cellStyle name="Suma 2 17 33 3" xfId="31163"/>
    <cellStyle name="Suma 2 17 34" xfId="31164"/>
    <cellStyle name="Suma 2 17 34 2" xfId="31165"/>
    <cellStyle name="Suma 2 17 34 3" xfId="31166"/>
    <cellStyle name="Suma 2 17 35" xfId="31167"/>
    <cellStyle name="Suma 2 17 35 2" xfId="31168"/>
    <cellStyle name="Suma 2 17 35 3" xfId="31169"/>
    <cellStyle name="Suma 2 17 36" xfId="31170"/>
    <cellStyle name="Suma 2 17 36 2" xfId="31171"/>
    <cellStyle name="Suma 2 17 36 3" xfId="31172"/>
    <cellStyle name="Suma 2 17 37" xfId="31173"/>
    <cellStyle name="Suma 2 17 37 2" xfId="31174"/>
    <cellStyle name="Suma 2 17 37 3" xfId="31175"/>
    <cellStyle name="Suma 2 17 38" xfId="31176"/>
    <cellStyle name="Suma 2 17 38 2" xfId="31177"/>
    <cellStyle name="Suma 2 17 38 3" xfId="31178"/>
    <cellStyle name="Suma 2 17 39" xfId="31179"/>
    <cellStyle name="Suma 2 17 39 2" xfId="31180"/>
    <cellStyle name="Suma 2 17 39 3" xfId="31181"/>
    <cellStyle name="Suma 2 17 4" xfId="31182"/>
    <cellStyle name="Suma 2 17 4 2" xfId="31183"/>
    <cellStyle name="Suma 2 17 4 3" xfId="31184"/>
    <cellStyle name="Suma 2 17 4 4" xfId="31185"/>
    <cellStyle name="Suma 2 17 40" xfId="31186"/>
    <cellStyle name="Suma 2 17 40 2" xfId="31187"/>
    <cellStyle name="Suma 2 17 40 3" xfId="31188"/>
    <cellStyle name="Suma 2 17 41" xfId="31189"/>
    <cellStyle name="Suma 2 17 41 2" xfId="31190"/>
    <cellStyle name="Suma 2 17 41 3" xfId="31191"/>
    <cellStyle name="Suma 2 17 42" xfId="31192"/>
    <cellStyle name="Suma 2 17 42 2" xfId="31193"/>
    <cellStyle name="Suma 2 17 42 3" xfId="31194"/>
    <cellStyle name="Suma 2 17 43" xfId="31195"/>
    <cellStyle name="Suma 2 17 43 2" xfId="31196"/>
    <cellStyle name="Suma 2 17 43 3" xfId="31197"/>
    <cellStyle name="Suma 2 17 44" xfId="31198"/>
    <cellStyle name="Suma 2 17 44 2" xfId="31199"/>
    <cellStyle name="Suma 2 17 44 3" xfId="31200"/>
    <cellStyle name="Suma 2 17 45" xfId="31201"/>
    <cellStyle name="Suma 2 17 45 2" xfId="31202"/>
    <cellStyle name="Suma 2 17 45 3" xfId="31203"/>
    <cellStyle name="Suma 2 17 46" xfId="31204"/>
    <cellStyle name="Suma 2 17 46 2" xfId="31205"/>
    <cellStyle name="Suma 2 17 46 3" xfId="31206"/>
    <cellStyle name="Suma 2 17 47" xfId="31207"/>
    <cellStyle name="Suma 2 17 47 2" xfId="31208"/>
    <cellStyle name="Suma 2 17 47 3" xfId="31209"/>
    <cellStyle name="Suma 2 17 48" xfId="31210"/>
    <cellStyle name="Suma 2 17 48 2" xfId="31211"/>
    <cellStyle name="Suma 2 17 48 3" xfId="31212"/>
    <cellStyle name="Suma 2 17 49" xfId="31213"/>
    <cellStyle name="Suma 2 17 49 2" xfId="31214"/>
    <cellStyle name="Suma 2 17 49 3" xfId="31215"/>
    <cellStyle name="Suma 2 17 5" xfId="31216"/>
    <cellStyle name="Suma 2 17 5 2" xfId="31217"/>
    <cellStyle name="Suma 2 17 5 3" xfId="31218"/>
    <cellStyle name="Suma 2 17 5 4" xfId="31219"/>
    <cellStyle name="Suma 2 17 50" xfId="31220"/>
    <cellStyle name="Suma 2 17 50 2" xfId="31221"/>
    <cellStyle name="Suma 2 17 50 3" xfId="31222"/>
    <cellStyle name="Suma 2 17 51" xfId="31223"/>
    <cellStyle name="Suma 2 17 51 2" xfId="31224"/>
    <cellStyle name="Suma 2 17 51 3" xfId="31225"/>
    <cellStyle name="Suma 2 17 52" xfId="31226"/>
    <cellStyle name="Suma 2 17 52 2" xfId="31227"/>
    <cellStyle name="Suma 2 17 52 3" xfId="31228"/>
    <cellStyle name="Suma 2 17 53" xfId="31229"/>
    <cellStyle name="Suma 2 17 53 2" xfId="31230"/>
    <cellStyle name="Suma 2 17 53 3" xfId="31231"/>
    <cellStyle name="Suma 2 17 54" xfId="31232"/>
    <cellStyle name="Suma 2 17 54 2" xfId="31233"/>
    <cellStyle name="Suma 2 17 54 3" xfId="31234"/>
    <cellStyle name="Suma 2 17 55" xfId="31235"/>
    <cellStyle name="Suma 2 17 55 2" xfId="31236"/>
    <cellStyle name="Suma 2 17 55 3" xfId="31237"/>
    <cellStyle name="Suma 2 17 56" xfId="31238"/>
    <cellStyle name="Suma 2 17 56 2" xfId="31239"/>
    <cellStyle name="Suma 2 17 56 3" xfId="31240"/>
    <cellStyle name="Suma 2 17 57" xfId="31241"/>
    <cellStyle name="Suma 2 17 58" xfId="31242"/>
    <cellStyle name="Suma 2 17 6" xfId="31243"/>
    <cellStyle name="Suma 2 17 6 2" xfId="31244"/>
    <cellStyle name="Suma 2 17 6 3" xfId="31245"/>
    <cellStyle name="Suma 2 17 6 4" xfId="31246"/>
    <cellStyle name="Suma 2 17 7" xfId="31247"/>
    <cellStyle name="Suma 2 17 7 2" xfId="31248"/>
    <cellStyle name="Suma 2 17 7 3" xfId="31249"/>
    <cellStyle name="Suma 2 17 7 4" xfId="31250"/>
    <cellStyle name="Suma 2 17 8" xfId="31251"/>
    <cellStyle name="Suma 2 17 8 2" xfId="31252"/>
    <cellStyle name="Suma 2 17 8 3" xfId="31253"/>
    <cellStyle name="Suma 2 17 8 4" xfId="31254"/>
    <cellStyle name="Suma 2 17 9" xfId="31255"/>
    <cellStyle name="Suma 2 17 9 2" xfId="31256"/>
    <cellStyle name="Suma 2 17 9 3" xfId="31257"/>
    <cellStyle name="Suma 2 17 9 4" xfId="31258"/>
    <cellStyle name="Suma 2 18" xfId="31259"/>
    <cellStyle name="Suma 2 18 10" xfId="31260"/>
    <cellStyle name="Suma 2 18 10 2" xfId="31261"/>
    <cellStyle name="Suma 2 18 10 3" xfId="31262"/>
    <cellStyle name="Suma 2 18 10 4" xfId="31263"/>
    <cellStyle name="Suma 2 18 11" xfId="31264"/>
    <cellStyle name="Suma 2 18 11 2" xfId="31265"/>
    <cellStyle name="Suma 2 18 11 3" xfId="31266"/>
    <cellStyle name="Suma 2 18 11 4" xfId="31267"/>
    <cellStyle name="Suma 2 18 12" xfId="31268"/>
    <cellStyle name="Suma 2 18 12 2" xfId="31269"/>
    <cellStyle name="Suma 2 18 12 3" xfId="31270"/>
    <cellStyle name="Suma 2 18 12 4" xfId="31271"/>
    <cellStyle name="Suma 2 18 13" xfId="31272"/>
    <cellStyle name="Suma 2 18 13 2" xfId="31273"/>
    <cellStyle name="Suma 2 18 13 3" xfId="31274"/>
    <cellStyle name="Suma 2 18 13 4" xfId="31275"/>
    <cellStyle name="Suma 2 18 14" xfId="31276"/>
    <cellStyle name="Suma 2 18 14 2" xfId="31277"/>
    <cellStyle name="Suma 2 18 14 3" xfId="31278"/>
    <cellStyle name="Suma 2 18 14 4" xfId="31279"/>
    <cellStyle name="Suma 2 18 15" xfId="31280"/>
    <cellStyle name="Suma 2 18 15 2" xfId="31281"/>
    <cellStyle name="Suma 2 18 15 3" xfId="31282"/>
    <cellStyle name="Suma 2 18 15 4" xfId="31283"/>
    <cellStyle name="Suma 2 18 16" xfId="31284"/>
    <cellStyle name="Suma 2 18 16 2" xfId="31285"/>
    <cellStyle name="Suma 2 18 16 3" xfId="31286"/>
    <cellStyle name="Suma 2 18 16 4" xfId="31287"/>
    <cellStyle name="Suma 2 18 17" xfId="31288"/>
    <cellStyle name="Suma 2 18 17 2" xfId="31289"/>
    <cellStyle name="Suma 2 18 17 3" xfId="31290"/>
    <cellStyle name="Suma 2 18 17 4" xfId="31291"/>
    <cellStyle name="Suma 2 18 18" xfId="31292"/>
    <cellStyle name="Suma 2 18 18 2" xfId="31293"/>
    <cellStyle name="Suma 2 18 18 3" xfId="31294"/>
    <cellStyle name="Suma 2 18 18 4" xfId="31295"/>
    <cellStyle name="Suma 2 18 19" xfId="31296"/>
    <cellStyle name="Suma 2 18 19 2" xfId="31297"/>
    <cellStyle name="Suma 2 18 19 3" xfId="31298"/>
    <cellStyle name="Suma 2 18 19 4" xfId="31299"/>
    <cellStyle name="Suma 2 18 2" xfId="31300"/>
    <cellStyle name="Suma 2 18 2 2" xfId="31301"/>
    <cellStyle name="Suma 2 18 2 3" xfId="31302"/>
    <cellStyle name="Suma 2 18 2 4" xfId="31303"/>
    <cellStyle name="Suma 2 18 20" xfId="31304"/>
    <cellStyle name="Suma 2 18 20 2" xfId="31305"/>
    <cellStyle name="Suma 2 18 20 3" xfId="31306"/>
    <cellStyle name="Suma 2 18 20 4" xfId="31307"/>
    <cellStyle name="Suma 2 18 21" xfId="31308"/>
    <cellStyle name="Suma 2 18 21 2" xfId="31309"/>
    <cellStyle name="Suma 2 18 21 3" xfId="31310"/>
    <cellStyle name="Suma 2 18 22" xfId="31311"/>
    <cellStyle name="Suma 2 18 22 2" xfId="31312"/>
    <cellStyle name="Suma 2 18 22 3" xfId="31313"/>
    <cellStyle name="Suma 2 18 23" xfId="31314"/>
    <cellStyle name="Suma 2 18 23 2" xfId="31315"/>
    <cellStyle name="Suma 2 18 23 3" xfId="31316"/>
    <cellStyle name="Suma 2 18 24" xfId="31317"/>
    <cellStyle name="Suma 2 18 24 2" xfId="31318"/>
    <cellStyle name="Suma 2 18 24 3" xfId="31319"/>
    <cellStyle name="Suma 2 18 25" xfId="31320"/>
    <cellStyle name="Suma 2 18 25 2" xfId="31321"/>
    <cellStyle name="Suma 2 18 25 3" xfId="31322"/>
    <cellStyle name="Suma 2 18 26" xfId="31323"/>
    <cellStyle name="Suma 2 18 26 2" xfId="31324"/>
    <cellStyle name="Suma 2 18 26 3" xfId="31325"/>
    <cellStyle name="Suma 2 18 27" xfId="31326"/>
    <cellStyle name="Suma 2 18 27 2" xfId="31327"/>
    <cellStyle name="Suma 2 18 27 3" xfId="31328"/>
    <cellStyle name="Suma 2 18 28" xfId="31329"/>
    <cellStyle name="Suma 2 18 28 2" xfId="31330"/>
    <cellStyle name="Suma 2 18 28 3" xfId="31331"/>
    <cellStyle name="Suma 2 18 29" xfId="31332"/>
    <cellStyle name="Suma 2 18 29 2" xfId="31333"/>
    <cellStyle name="Suma 2 18 29 3" xfId="31334"/>
    <cellStyle name="Suma 2 18 3" xfId="31335"/>
    <cellStyle name="Suma 2 18 3 2" xfId="31336"/>
    <cellStyle name="Suma 2 18 3 3" xfId="31337"/>
    <cellStyle name="Suma 2 18 3 4" xfId="31338"/>
    <cellStyle name="Suma 2 18 30" xfId="31339"/>
    <cellStyle name="Suma 2 18 30 2" xfId="31340"/>
    <cellStyle name="Suma 2 18 30 3" xfId="31341"/>
    <cellStyle name="Suma 2 18 31" xfId="31342"/>
    <cellStyle name="Suma 2 18 31 2" xfId="31343"/>
    <cellStyle name="Suma 2 18 31 3" xfId="31344"/>
    <cellStyle name="Suma 2 18 32" xfId="31345"/>
    <cellStyle name="Suma 2 18 32 2" xfId="31346"/>
    <cellStyle name="Suma 2 18 32 3" xfId="31347"/>
    <cellStyle name="Suma 2 18 33" xfId="31348"/>
    <cellStyle name="Suma 2 18 33 2" xfId="31349"/>
    <cellStyle name="Suma 2 18 33 3" xfId="31350"/>
    <cellStyle name="Suma 2 18 34" xfId="31351"/>
    <cellStyle name="Suma 2 18 34 2" xfId="31352"/>
    <cellStyle name="Suma 2 18 34 3" xfId="31353"/>
    <cellStyle name="Suma 2 18 35" xfId="31354"/>
    <cellStyle name="Suma 2 18 35 2" xfId="31355"/>
    <cellStyle name="Suma 2 18 35 3" xfId="31356"/>
    <cellStyle name="Suma 2 18 36" xfId="31357"/>
    <cellStyle name="Suma 2 18 36 2" xfId="31358"/>
    <cellStyle name="Suma 2 18 36 3" xfId="31359"/>
    <cellStyle name="Suma 2 18 37" xfId="31360"/>
    <cellStyle name="Suma 2 18 37 2" xfId="31361"/>
    <cellStyle name="Suma 2 18 37 3" xfId="31362"/>
    <cellStyle name="Suma 2 18 38" xfId="31363"/>
    <cellStyle name="Suma 2 18 38 2" xfId="31364"/>
    <cellStyle name="Suma 2 18 38 3" xfId="31365"/>
    <cellStyle name="Suma 2 18 39" xfId="31366"/>
    <cellStyle name="Suma 2 18 39 2" xfId="31367"/>
    <cellStyle name="Suma 2 18 39 3" xfId="31368"/>
    <cellStyle name="Suma 2 18 4" xfId="31369"/>
    <cellStyle name="Suma 2 18 4 2" xfId="31370"/>
    <cellStyle name="Suma 2 18 4 3" xfId="31371"/>
    <cellStyle name="Suma 2 18 4 4" xfId="31372"/>
    <cellStyle name="Suma 2 18 40" xfId="31373"/>
    <cellStyle name="Suma 2 18 40 2" xfId="31374"/>
    <cellStyle name="Suma 2 18 40 3" xfId="31375"/>
    <cellStyle name="Suma 2 18 41" xfId="31376"/>
    <cellStyle name="Suma 2 18 41 2" xfId="31377"/>
    <cellStyle name="Suma 2 18 41 3" xfId="31378"/>
    <cellStyle name="Suma 2 18 42" xfId="31379"/>
    <cellStyle name="Suma 2 18 42 2" xfId="31380"/>
    <cellStyle name="Suma 2 18 42 3" xfId="31381"/>
    <cellStyle name="Suma 2 18 43" xfId="31382"/>
    <cellStyle name="Suma 2 18 43 2" xfId="31383"/>
    <cellStyle name="Suma 2 18 43 3" xfId="31384"/>
    <cellStyle name="Suma 2 18 44" xfId="31385"/>
    <cellStyle name="Suma 2 18 44 2" xfId="31386"/>
    <cellStyle name="Suma 2 18 44 3" xfId="31387"/>
    <cellStyle name="Suma 2 18 45" xfId="31388"/>
    <cellStyle name="Suma 2 18 45 2" xfId="31389"/>
    <cellStyle name="Suma 2 18 45 3" xfId="31390"/>
    <cellStyle name="Suma 2 18 46" xfId="31391"/>
    <cellStyle name="Suma 2 18 46 2" xfId="31392"/>
    <cellStyle name="Suma 2 18 46 3" xfId="31393"/>
    <cellStyle name="Suma 2 18 47" xfId="31394"/>
    <cellStyle name="Suma 2 18 47 2" xfId="31395"/>
    <cellStyle name="Suma 2 18 47 3" xfId="31396"/>
    <cellStyle name="Suma 2 18 48" xfId="31397"/>
    <cellStyle name="Suma 2 18 48 2" xfId="31398"/>
    <cellStyle name="Suma 2 18 48 3" xfId="31399"/>
    <cellStyle name="Suma 2 18 49" xfId="31400"/>
    <cellStyle name="Suma 2 18 49 2" xfId="31401"/>
    <cellStyle name="Suma 2 18 49 3" xfId="31402"/>
    <cellStyle name="Suma 2 18 5" xfId="31403"/>
    <cellStyle name="Suma 2 18 5 2" xfId="31404"/>
    <cellStyle name="Suma 2 18 5 3" xfId="31405"/>
    <cellStyle name="Suma 2 18 5 4" xfId="31406"/>
    <cellStyle name="Suma 2 18 50" xfId="31407"/>
    <cellStyle name="Suma 2 18 50 2" xfId="31408"/>
    <cellStyle name="Suma 2 18 50 3" xfId="31409"/>
    <cellStyle name="Suma 2 18 51" xfId="31410"/>
    <cellStyle name="Suma 2 18 51 2" xfId="31411"/>
    <cellStyle name="Suma 2 18 51 3" xfId="31412"/>
    <cellStyle name="Suma 2 18 52" xfId="31413"/>
    <cellStyle name="Suma 2 18 52 2" xfId="31414"/>
    <cellStyle name="Suma 2 18 52 3" xfId="31415"/>
    <cellStyle name="Suma 2 18 53" xfId="31416"/>
    <cellStyle name="Suma 2 18 53 2" xfId="31417"/>
    <cellStyle name="Suma 2 18 53 3" xfId="31418"/>
    <cellStyle name="Suma 2 18 54" xfId="31419"/>
    <cellStyle name="Suma 2 18 54 2" xfId="31420"/>
    <cellStyle name="Suma 2 18 54 3" xfId="31421"/>
    <cellStyle name="Suma 2 18 55" xfId="31422"/>
    <cellStyle name="Suma 2 18 55 2" xfId="31423"/>
    <cellStyle name="Suma 2 18 55 3" xfId="31424"/>
    <cellStyle name="Suma 2 18 56" xfId="31425"/>
    <cellStyle name="Suma 2 18 56 2" xfId="31426"/>
    <cellStyle name="Suma 2 18 56 3" xfId="31427"/>
    <cellStyle name="Suma 2 18 57" xfId="31428"/>
    <cellStyle name="Suma 2 18 58" xfId="31429"/>
    <cellStyle name="Suma 2 18 6" xfId="31430"/>
    <cellStyle name="Suma 2 18 6 2" xfId="31431"/>
    <cellStyle name="Suma 2 18 6 3" xfId="31432"/>
    <cellStyle name="Suma 2 18 6 4" xfId="31433"/>
    <cellStyle name="Suma 2 18 7" xfId="31434"/>
    <cellStyle name="Suma 2 18 7 2" xfId="31435"/>
    <cellStyle name="Suma 2 18 7 3" xfId="31436"/>
    <cellStyle name="Suma 2 18 7 4" xfId="31437"/>
    <cellStyle name="Suma 2 18 8" xfId="31438"/>
    <cellStyle name="Suma 2 18 8 2" xfId="31439"/>
    <cellStyle name="Suma 2 18 8 3" xfId="31440"/>
    <cellStyle name="Suma 2 18 8 4" xfId="31441"/>
    <cellStyle name="Suma 2 18 9" xfId="31442"/>
    <cellStyle name="Suma 2 18 9 2" xfId="31443"/>
    <cellStyle name="Suma 2 18 9 3" xfId="31444"/>
    <cellStyle name="Suma 2 18 9 4" xfId="31445"/>
    <cellStyle name="Suma 2 19" xfId="31446"/>
    <cellStyle name="Suma 2 19 10" xfId="31447"/>
    <cellStyle name="Suma 2 19 10 2" xfId="31448"/>
    <cellStyle name="Suma 2 19 10 3" xfId="31449"/>
    <cellStyle name="Suma 2 19 10 4" xfId="31450"/>
    <cellStyle name="Suma 2 19 11" xfId="31451"/>
    <cellStyle name="Suma 2 19 11 2" xfId="31452"/>
    <cellStyle name="Suma 2 19 11 3" xfId="31453"/>
    <cellStyle name="Suma 2 19 11 4" xfId="31454"/>
    <cellStyle name="Suma 2 19 12" xfId="31455"/>
    <cellStyle name="Suma 2 19 12 2" xfId="31456"/>
    <cellStyle name="Suma 2 19 12 3" xfId="31457"/>
    <cellStyle name="Suma 2 19 12 4" xfId="31458"/>
    <cellStyle name="Suma 2 19 13" xfId="31459"/>
    <cellStyle name="Suma 2 19 13 2" xfId="31460"/>
    <cellStyle name="Suma 2 19 13 3" xfId="31461"/>
    <cellStyle name="Suma 2 19 13 4" xfId="31462"/>
    <cellStyle name="Suma 2 19 14" xfId="31463"/>
    <cellStyle name="Suma 2 19 14 2" xfId="31464"/>
    <cellStyle name="Suma 2 19 14 3" xfId="31465"/>
    <cellStyle name="Suma 2 19 14 4" xfId="31466"/>
    <cellStyle name="Suma 2 19 15" xfId="31467"/>
    <cellStyle name="Suma 2 19 15 2" xfId="31468"/>
    <cellStyle name="Suma 2 19 15 3" xfId="31469"/>
    <cellStyle name="Suma 2 19 15 4" xfId="31470"/>
    <cellStyle name="Suma 2 19 16" xfId="31471"/>
    <cellStyle name="Suma 2 19 16 2" xfId="31472"/>
    <cellStyle name="Suma 2 19 16 3" xfId="31473"/>
    <cellStyle name="Suma 2 19 16 4" xfId="31474"/>
    <cellStyle name="Suma 2 19 17" xfId="31475"/>
    <cellStyle name="Suma 2 19 17 2" xfId="31476"/>
    <cellStyle name="Suma 2 19 17 3" xfId="31477"/>
    <cellStyle name="Suma 2 19 17 4" xfId="31478"/>
    <cellStyle name="Suma 2 19 18" xfId="31479"/>
    <cellStyle name="Suma 2 19 18 2" xfId="31480"/>
    <cellStyle name="Suma 2 19 18 3" xfId="31481"/>
    <cellStyle name="Suma 2 19 18 4" xfId="31482"/>
    <cellStyle name="Suma 2 19 19" xfId="31483"/>
    <cellStyle name="Suma 2 19 19 2" xfId="31484"/>
    <cellStyle name="Suma 2 19 19 3" xfId="31485"/>
    <cellStyle name="Suma 2 19 19 4" xfId="31486"/>
    <cellStyle name="Suma 2 19 2" xfId="31487"/>
    <cellStyle name="Suma 2 19 2 2" xfId="31488"/>
    <cellStyle name="Suma 2 19 2 3" xfId="31489"/>
    <cellStyle name="Suma 2 19 2 4" xfId="31490"/>
    <cellStyle name="Suma 2 19 20" xfId="31491"/>
    <cellStyle name="Suma 2 19 20 2" xfId="31492"/>
    <cellStyle name="Suma 2 19 20 3" xfId="31493"/>
    <cellStyle name="Suma 2 19 20 4" xfId="31494"/>
    <cellStyle name="Suma 2 19 21" xfId="31495"/>
    <cellStyle name="Suma 2 19 21 2" xfId="31496"/>
    <cellStyle name="Suma 2 19 21 3" xfId="31497"/>
    <cellStyle name="Suma 2 19 22" xfId="31498"/>
    <cellStyle name="Suma 2 19 22 2" xfId="31499"/>
    <cellStyle name="Suma 2 19 22 3" xfId="31500"/>
    <cellStyle name="Suma 2 19 23" xfId="31501"/>
    <cellStyle name="Suma 2 19 23 2" xfId="31502"/>
    <cellStyle name="Suma 2 19 23 3" xfId="31503"/>
    <cellStyle name="Suma 2 19 24" xfId="31504"/>
    <cellStyle name="Suma 2 19 24 2" xfId="31505"/>
    <cellStyle name="Suma 2 19 24 3" xfId="31506"/>
    <cellStyle name="Suma 2 19 25" xfId="31507"/>
    <cellStyle name="Suma 2 19 25 2" xfId="31508"/>
    <cellStyle name="Suma 2 19 25 3" xfId="31509"/>
    <cellStyle name="Suma 2 19 26" xfId="31510"/>
    <cellStyle name="Suma 2 19 26 2" xfId="31511"/>
    <cellStyle name="Suma 2 19 26 3" xfId="31512"/>
    <cellStyle name="Suma 2 19 27" xfId="31513"/>
    <cellStyle name="Suma 2 19 27 2" xfId="31514"/>
    <cellStyle name="Suma 2 19 27 3" xfId="31515"/>
    <cellStyle name="Suma 2 19 28" xfId="31516"/>
    <cellStyle name="Suma 2 19 28 2" xfId="31517"/>
    <cellStyle name="Suma 2 19 28 3" xfId="31518"/>
    <cellStyle name="Suma 2 19 29" xfId="31519"/>
    <cellStyle name="Suma 2 19 29 2" xfId="31520"/>
    <cellStyle name="Suma 2 19 29 3" xfId="31521"/>
    <cellStyle name="Suma 2 19 3" xfId="31522"/>
    <cellStyle name="Suma 2 19 3 2" xfId="31523"/>
    <cellStyle name="Suma 2 19 3 3" xfId="31524"/>
    <cellStyle name="Suma 2 19 3 4" xfId="31525"/>
    <cellStyle name="Suma 2 19 30" xfId="31526"/>
    <cellStyle name="Suma 2 19 30 2" xfId="31527"/>
    <cellStyle name="Suma 2 19 30 3" xfId="31528"/>
    <cellStyle name="Suma 2 19 31" xfId="31529"/>
    <cellStyle name="Suma 2 19 31 2" xfId="31530"/>
    <cellStyle name="Suma 2 19 31 3" xfId="31531"/>
    <cellStyle name="Suma 2 19 32" xfId="31532"/>
    <cellStyle name="Suma 2 19 32 2" xfId="31533"/>
    <cellStyle name="Suma 2 19 32 3" xfId="31534"/>
    <cellStyle name="Suma 2 19 33" xfId="31535"/>
    <cellStyle name="Suma 2 19 33 2" xfId="31536"/>
    <cellStyle name="Suma 2 19 33 3" xfId="31537"/>
    <cellStyle name="Suma 2 19 34" xfId="31538"/>
    <cellStyle name="Suma 2 19 34 2" xfId="31539"/>
    <cellStyle name="Suma 2 19 34 3" xfId="31540"/>
    <cellStyle name="Suma 2 19 35" xfId="31541"/>
    <cellStyle name="Suma 2 19 35 2" xfId="31542"/>
    <cellStyle name="Suma 2 19 35 3" xfId="31543"/>
    <cellStyle name="Suma 2 19 36" xfId="31544"/>
    <cellStyle name="Suma 2 19 36 2" xfId="31545"/>
    <cellStyle name="Suma 2 19 36 3" xfId="31546"/>
    <cellStyle name="Suma 2 19 37" xfId="31547"/>
    <cellStyle name="Suma 2 19 37 2" xfId="31548"/>
    <cellStyle name="Suma 2 19 37 3" xfId="31549"/>
    <cellStyle name="Suma 2 19 38" xfId="31550"/>
    <cellStyle name="Suma 2 19 38 2" xfId="31551"/>
    <cellStyle name="Suma 2 19 38 3" xfId="31552"/>
    <cellStyle name="Suma 2 19 39" xfId="31553"/>
    <cellStyle name="Suma 2 19 39 2" xfId="31554"/>
    <cellStyle name="Suma 2 19 39 3" xfId="31555"/>
    <cellStyle name="Suma 2 19 4" xfId="31556"/>
    <cellStyle name="Suma 2 19 4 2" xfId="31557"/>
    <cellStyle name="Suma 2 19 4 3" xfId="31558"/>
    <cellStyle name="Suma 2 19 4 4" xfId="31559"/>
    <cellStyle name="Suma 2 19 40" xfId="31560"/>
    <cellStyle name="Suma 2 19 40 2" xfId="31561"/>
    <cellStyle name="Suma 2 19 40 3" xfId="31562"/>
    <cellStyle name="Suma 2 19 41" xfId="31563"/>
    <cellStyle name="Suma 2 19 41 2" xfId="31564"/>
    <cellStyle name="Suma 2 19 41 3" xfId="31565"/>
    <cellStyle name="Suma 2 19 42" xfId="31566"/>
    <cellStyle name="Suma 2 19 42 2" xfId="31567"/>
    <cellStyle name="Suma 2 19 42 3" xfId="31568"/>
    <cellStyle name="Suma 2 19 43" xfId="31569"/>
    <cellStyle name="Suma 2 19 43 2" xfId="31570"/>
    <cellStyle name="Suma 2 19 43 3" xfId="31571"/>
    <cellStyle name="Suma 2 19 44" xfId="31572"/>
    <cellStyle name="Suma 2 19 44 2" xfId="31573"/>
    <cellStyle name="Suma 2 19 44 3" xfId="31574"/>
    <cellStyle name="Suma 2 19 45" xfId="31575"/>
    <cellStyle name="Suma 2 19 45 2" xfId="31576"/>
    <cellStyle name="Suma 2 19 45 3" xfId="31577"/>
    <cellStyle name="Suma 2 19 46" xfId="31578"/>
    <cellStyle name="Suma 2 19 46 2" xfId="31579"/>
    <cellStyle name="Suma 2 19 46 3" xfId="31580"/>
    <cellStyle name="Suma 2 19 47" xfId="31581"/>
    <cellStyle name="Suma 2 19 47 2" xfId="31582"/>
    <cellStyle name="Suma 2 19 47 3" xfId="31583"/>
    <cellStyle name="Suma 2 19 48" xfId="31584"/>
    <cellStyle name="Suma 2 19 48 2" xfId="31585"/>
    <cellStyle name="Suma 2 19 48 3" xfId="31586"/>
    <cellStyle name="Suma 2 19 49" xfId="31587"/>
    <cellStyle name="Suma 2 19 49 2" xfId="31588"/>
    <cellStyle name="Suma 2 19 49 3" xfId="31589"/>
    <cellStyle name="Suma 2 19 5" xfId="31590"/>
    <cellStyle name="Suma 2 19 5 2" xfId="31591"/>
    <cellStyle name="Suma 2 19 5 3" xfId="31592"/>
    <cellStyle name="Suma 2 19 5 4" xfId="31593"/>
    <cellStyle name="Suma 2 19 50" xfId="31594"/>
    <cellStyle name="Suma 2 19 50 2" xfId="31595"/>
    <cellStyle name="Suma 2 19 50 3" xfId="31596"/>
    <cellStyle name="Suma 2 19 51" xfId="31597"/>
    <cellStyle name="Suma 2 19 51 2" xfId="31598"/>
    <cellStyle name="Suma 2 19 51 3" xfId="31599"/>
    <cellStyle name="Suma 2 19 52" xfId="31600"/>
    <cellStyle name="Suma 2 19 52 2" xfId="31601"/>
    <cellStyle name="Suma 2 19 52 3" xfId="31602"/>
    <cellStyle name="Suma 2 19 53" xfId="31603"/>
    <cellStyle name="Suma 2 19 53 2" xfId="31604"/>
    <cellStyle name="Suma 2 19 53 3" xfId="31605"/>
    <cellStyle name="Suma 2 19 54" xfId="31606"/>
    <cellStyle name="Suma 2 19 54 2" xfId="31607"/>
    <cellStyle name="Suma 2 19 54 3" xfId="31608"/>
    <cellStyle name="Suma 2 19 55" xfId="31609"/>
    <cellStyle name="Suma 2 19 55 2" xfId="31610"/>
    <cellStyle name="Suma 2 19 55 3" xfId="31611"/>
    <cellStyle name="Suma 2 19 56" xfId="31612"/>
    <cellStyle name="Suma 2 19 56 2" xfId="31613"/>
    <cellStyle name="Suma 2 19 56 3" xfId="31614"/>
    <cellStyle name="Suma 2 19 57" xfId="31615"/>
    <cellStyle name="Suma 2 19 58" xfId="31616"/>
    <cellStyle name="Suma 2 19 6" xfId="31617"/>
    <cellStyle name="Suma 2 19 6 2" xfId="31618"/>
    <cellStyle name="Suma 2 19 6 3" xfId="31619"/>
    <cellStyle name="Suma 2 19 6 4" xfId="31620"/>
    <cellStyle name="Suma 2 19 7" xfId="31621"/>
    <cellStyle name="Suma 2 19 7 2" xfId="31622"/>
    <cellStyle name="Suma 2 19 7 3" xfId="31623"/>
    <cellStyle name="Suma 2 19 7 4" xfId="31624"/>
    <cellStyle name="Suma 2 19 8" xfId="31625"/>
    <cellStyle name="Suma 2 19 8 2" xfId="31626"/>
    <cellStyle name="Suma 2 19 8 3" xfId="31627"/>
    <cellStyle name="Suma 2 19 8 4" xfId="31628"/>
    <cellStyle name="Suma 2 19 9" xfId="31629"/>
    <cellStyle name="Suma 2 19 9 2" xfId="31630"/>
    <cellStyle name="Suma 2 19 9 3" xfId="31631"/>
    <cellStyle name="Suma 2 19 9 4" xfId="31632"/>
    <cellStyle name="Suma 2 2" xfId="31633"/>
    <cellStyle name="Suma 2 2 10" xfId="31634"/>
    <cellStyle name="Suma 2 2 10 2" xfId="31635"/>
    <cellStyle name="Suma 2 2 10 3" xfId="31636"/>
    <cellStyle name="Suma 2 2 10 4" xfId="31637"/>
    <cellStyle name="Suma 2 2 11" xfId="31638"/>
    <cellStyle name="Suma 2 2 11 2" xfId="31639"/>
    <cellStyle name="Suma 2 2 11 3" xfId="31640"/>
    <cellStyle name="Suma 2 2 11 4" xfId="31641"/>
    <cellStyle name="Suma 2 2 12" xfId="31642"/>
    <cellStyle name="Suma 2 2 12 2" xfId="31643"/>
    <cellStyle name="Suma 2 2 12 3" xfId="31644"/>
    <cellStyle name="Suma 2 2 12 4" xfId="31645"/>
    <cellStyle name="Suma 2 2 13" xfId="31646"/>
    <cellStyle name="Suma 2 2 13 2" xfId="31647"/>
    <cellStyle name="Suma 2 2 13 3" xfId="31648"/>
    <cellStyle name="Suma 2 2 13 4" xfId="31649"/>
    <cellStyle name="Suma 2 2 14" xfId="31650"/>
    <cellStyle name="Suma 2 2 14 2" xfId="31651"/>
    <cellStyle name="Suma 2 2 14 3" xfId="31652"/>
    <cellStyle name="Suma 2 2 14 4" xfId="31653"/>
    <cellStyle name="Suma 2 2 15" xfId="31654"/>
    <cellStyle name="Suma 2 2 15 2" xfId="31655"/>
    <cellStyle name="Suma 2 2 15 3" xfId="31656"/>
    <cellStyle name="Suma 2 2 15 4" xfId="31657"/>
    <cellStyle name="Suma 2 2 16" xfId="31658"/>
    <cellStyle name="Suma 2 2 16 2" xfId="31659"/>
    <cellStyle name="Suma 2 2 16 3" xfId="31660"/>
    <cellStyle name="Suma 2 2 16 4" xfId="31661"/>
    <cellStyle name="Suma 2 2 17" xfId="31662"/>
    <cellStyle name="Suma 2 2 17 2" xfId="31663"/>
    <cellStyle name="Suma 2 2 17 3" xfId="31664"/>
    <cellStyle name="Suma 2 2 17 4" xfId="31665"/>
    <cellStyle name="Suma 2 2 18" xfId="31666"/>
    <cellStyle name="Suma 2 2 18 2" xfId="31667"/>
    <cellStyle name="Suma 2 2 18 3" xfId="31668"/>
    <cellStyle name="Suma 2 2 18 4" xfId="31669"/>
    <cellStyle name="Suma 2 2 19" xfId="31670"/>
    <cellStyle name="Suma 2 2 19 2" xfId="31671"/>
    <cellStyle name="Suma 2 2 19 3" xfId="31672"/>
    <cellStyle name="Suma 2 2 19 4" xfId="31673"/>
    <cellStyle name="Suma 2 2 2" xfId="31674"/>
    <cellStyle name="Suma 2 2 2 2" xfId="31675"/>
    <cellStyle name="Suma 2 2 2 3" xfId="31676"/>
    <cellStyle name="Suma 2 2 2 4" xfId="31677"/>
    <cellStyle name="Suma 2 2 20" xfId="31678"/>
    <cellStyle name="Suma 2 2 20 2" xfId="31679"/>
    <cellStyle name="Suma 2 2 20 3" xfId="31680"/>
    <cellStyle name="Suma 2 2 20 4" xfId="31681"/>
    <cellStyle name="Suma 2 2 21" xfId="31682"/>
    <cellStyle name="Suma 2 2 21 2" xfId="31683"/>
    <cellStyle name="Suma 2 2 21 3" xfId="31684"/>
    <cellStyle name="Suma 2 2 22" xfId="31685"/>
    <cellStyle name="Suma 2 2 22 2" xfId="31686"/>
    <cellStyle name="Suma 2 2 22 3" xfId="31687"/>
    <cellStyle name="Suma 2 2 23" xfId="31688"/>
    <cellStyle name="Suma 2 2 23 2" xfId="31689"/>
    <cellStyle name="Suma 2 2 23 3" xfId="31690"/>
    <cellStyle name="Suma 2 2 24" xfId="31691"/>
    <cellStyle name="Suma 2 2 24 2" xfId="31692"/>
    <cellStyle name="Suma 2 2 24 3" xfId="31693"/>
    <cellStyle name="Suma 2 2 25" xfId="31694"/>
    <cellStyle name="Suma 2 2 25 2" xfId="31695"/>
    <cellStyle name="Suma 2 2 25 3" xfId="31696"/>
    <cellStyle name="Suma 2 2 26" xfId="31697"/>
    <cellStyle name="Suma 2 2 26 2" xfId="31698"/>
    <cellStyle name="Suma 2 2 26 3" xfId="31699"/>
    <cellStyle name="Suma 2 2 27" xfId="31700"/>
    <cellStyle name="Suma 2 2 27 2" xfId="31701"/>
    <cellStyle name="Suma 2 2 27 3" xfId="31702"/>
    <cellStyle name="Suma 2 2 28" xfId="31703"/>
    <cellStyle name="Suma 2 2 28 2" xfId="31704"/>
    <cellStyle name="Suma 2 2 28 3" xfId="31705"/>
    <cellStyle name="Suma 2 2 29" xfId="31706"/>
    <cellStyle name="Suma 2 2 29 2" xfId="31707"/>
    <cellStyle name="Suma 2 2 29 3" xfId="31708"/>
    <cellStyle name="Suma 2 2 3" xfId="31709"/>
    <cellStyle name="Suma 2 2 3 2" xfId="31710"/>
    <cellStyle name="Suma 2 2 3 3" xfId="31711"/>
    <cellStyle name="Suma 2 2 3 4" xfId="31712"/>
    <cellStyle name="Suma 2 2 30" xfId="31713"/>
    <cellStyle name="Suma 2 2 30 2" xfId="31714"/>
    <cellStyle name="Suma 2 2 30 3" xfId="31715"/>
    <cellStyle name="Suma 2 2 31" xfId="31716"/>
    <cellStyle name="Suma 2 2 31 2" xfId="31717"/>
    <cellStyle name="Suma 2 2 31 3" xfId="31718"/>
    <cellStyle name="Suma 2 2 32" xfId="31719"/>
    <cellStyle name="Suma 2 2 32 2" xfId="31720"/>
    <cellStyle name="Suma 2 2 32 3" xfId="31721"/>
    <cellStyle name="Suma 2 2 33" xfId="31722"/>
    <cellStyle name="Suma 2 2 33 2" xfId="31723"/>
    <cellStyle name="Suma 2 2 33 3" xfId="31724"/>
    <cellStyle name="Suma 2 2 34" xfId="31725"/>
    <cellStyle name="Suma 2 2 34 2" xfId="31726"/>
    <cellStyle name="Suma 2 2 34 3" xfId="31727"/>
    <cellStyle name="Suma 2 2 35" xfId="31728"/>
    <cellStyle name="Suma 2 2 35 2" xfId="31729"/>
    <cellStyle name="Suma 2 2 35 3" xfId="31730"/>
    <cellStyle name="Suma 2 2 36" xfId="31731"/>
    <cellStyle name="Suma 2 2 36 2" xfId="31732"/>
    <cellStyle name="Suma 2 2 36 3" xfId="31733"/>
    <cellStyle name="Suma 2 2 37" xfId="31734"/>
    <cellStyle name="Suma 2 2 37 2" xfId="31735"/>
    <cellStyle name="Suma 2 2 37 3" xfId="31736"/>
    <cellStyle name="Suma 2 2 38" xfId="31737"/>
    <cellStyle name="Suma 2 2 38 2" xfId="31738"/>
    <cellStyle name="Suma 2 2 38 3" xfId="31739"/>
    <cellStyle name="Suma 2 2 39" xfId="31740"/>
    <cellStyle name="Suma 2 2 39 2" xfId="31741"/>
    <cellStyle name="Suma 2 2 39 3" xfId="31742"/>
    <cellStyle name="Suma 2 2 4" xfId="31743"/>
    <cellStyle name="Suma 2 2 4 2" xfId="31744"/>
    <cellStyle name="Suma 2 2 4 3" xfId="31745"/>
    <cellStyle name="Suma 2 2 4 4" xfId="31746"/>
    <cellStyle name="Suma 2 2 40" xfId="31747"/>
    <cellStyle name="Suma 2 2 40 2" xfId="31748"/>
    <cellStyle name="Suma 2 2 40 3" xfId="31749"/>
    <cellStyle name="Suma 2 2 41" xfId="31750"/>
    <cellStyle name="Suma 2 2 41 2" xfId="31751"/>
    <cellStyle name="Suma 2 2 41 3" xfId="31752"/>
    <cellStyle name="Suma 2 2 42" xfId="31753"/>
    <cellStyle name="Suma 2 2 42 2" xfId="31754"/>
    <cellStyle name="Suma 2 2 42 3" xfId="31755"/>
    <cellStyle name="Suma 2 2 43" xfId="31756"/>
    <cellStyle name="Suma 2 2 43 2" xfId="31757"/>
    <cellStyle name="Suma 2 2 43 3" xfId="31758"/>
    <cellStyle name="Suma 2 2 44" xfId="31759"/>
    <cellStyle name="Suma 2 2 44 2" xfId="31760"/>
    <cellStyle name="Suma 2 2 44 3" xfId="31761"/>
    <cellStyle name="Suma 2 2 45" xfId="31762"/>
    <cellStyle name="Suma 2 2 45 2" xfId="31763"/>
    <cellStyle name="Suma 2 2 45 3" xfId="31764"/>
    <cellStyle name="Suma 2 2 46" xfId="31765"/>
    <cellStyle name="Suma 2 2 46 2" xfId="31766"/>
    <cellStyle name="Suma 2 2 46 3" xfId="31767"/>
    <cellStyle name="Suma 2 2 47" xfId="31768"/>
    <cellStyle name="Suma 2 2 47 2" xfId="31769"/>
    <cellStyle name="Suma 2 2 47 3" xfId="31770"/>
    <cellStyle name="Suma 2 2 48" xfId="31771"/>
    <cellStyle name="Suma 2 2 48 2" xfId="31772"/>
    <cellStyle name="Suma 2 2 48 3" xfId="31773"/>
    <cellStyle name="Suma 2 2 49" xfId="31774"/>
    <cellStyle name="Suma 2 2 49 2" xfId="31775"/>
    <cellStyle name="Suma 2 2 49 3" xfId="31776"/>
    <cellStyle name="Suma 2 2 5" xfId="31777"/>
    <cellStyle name="Suma 2 2 5 2" xfId="31778"/>
    <cellStyle name="Suma 2 2 5 3" xfId="31779"/>
    <cellStyle name="Suma 2 2 5 4" xfId="31780"/>
    <cellStyle name="Suma 2 2 50" xfId="31781"/>
    <cellStyle name="Suma 2 2 50 2" xfId="31782"/>
    <cellStyle name="Suma 2 2 50 3" xfId="31783"/>
    <cellStyle name="Suma 2 2 51" xfId="31784"/>
    <cellStyle name="Suma 2 2 51 2" xfId="31785"/>
    <cellStyle name="Suma 2 2 51 3" xfId="31786"/>
    <cellStyle name="Suma 2 2 52" xfId="31787"/>
    <cellStyle name="Suma 2 2 52 2" xfId="31788"/>
    <cellStyle name="Suma 2 2 52 3" xfId="31789"/>
    <cellStyle name="Suma 2 2 53" xfId="31790"/>
    <cellStyle name="Suma 2 2 53 2" xfId="31791"/>
    <cellStyle name="Suma 2 2 53 3" xfId="31792"/>
    <cellStyle name="Suma 2 2 54" xfId="31793"/>
    <cellStyle name="Suma 2 2 54 2" xfId="31794"/>
    <cellStyle name="Suma 2 2 54 3" xfId="31795"/>
    <cellStyle name="Suma 2 2 55" xfId="31796"/>
    <cellStyle name="Suma 2 2 55 2" xfId="31797"/>
    <cellStyle name="Suma 2 2 55 3" xfId="31798"/>
    <cellStyle name="Suma 2 2 56" xfId="31799"/>
    <cellStyle name="Suma 2 2 56 2" xfId="31800"/>
    <cellStyle name="Suma 2 2 56 3" xfId="31801"/>
    <cellStyle name="Suma 2 2 57" xfId="31802"/>
    <cellStyle name="Suma 2 2 58" xfId="31803"/>
    <cellStyle name="Suma 2 2 59" xfId="31804"/>
    <cellStyle name="Suma 2 2 6" xfId="31805"/>
    <cellStyle name="Suma 2 2 6 2" xfId="31806"/>
    <cellStyle name="Suma 2 2 6 3" xfId="31807"/>
    <cellStyle name="Suma 2 2 6 4" xfId="31808"/>
    <cellStyle name="Suma 2 2 7" xfId="31809"/>
    <cellStyle name="Suma 2 2 7 2" xfId="31810"/>
    <cellStyle name="Suma 2 2 7 3" xfId="31811"/>
    <cellStyle name="Suma 2 2 7 4" xfId="31812"/>
    <cellStyle name="Suma 2 2 8" xfId="31813"/>
    <cellStyle name="Suma 2 2 8 2" xfId="31814"/>
    <cellStyle name="Suma 2 2 8 3" xfId="31815"/>
    <cellStyle name="Suma 2 2 8 4" xfId="31816"/>
    <cellStyle name="Suma 2 2 9" xfId="31817"/>
    <cellStyle name="Suma 2 2 9 2" xfId="31818"/>
    <cellStyle name="Suma 2 2 9 3" xfId="31819"/>
    <cellStyle name="Suma 2 2 9 4" xfId="31820"/>
    <cellStyle name="Suma 2 20" xfId="31821"/>
    <cellStyle name="Suma 2 20 10" xfId="31822"/>
    <cellStyle name="Suma 2 20 10 2" xfId="31823"/>
    <cellStyle name="Suma 2 20 10 3" xfId="31824"/>
    <cellStyle name="Suma 2 20 10 4" xfId="31825"/>
    <cellStyle name="Suma 2 20 11" xfId="31826"/>
    <cellStyle name="Suma 2 20 11 2" xfId="31827"/>
    <cellStyle name="Suma 2 20 11 3" xfId="31828"/>
    <cellStyle name="Suma 2 20 11 4" xfId="31829"/>
    <cellStyle name="Suma 2 20 12" xfId="31830"/>
    <cellStyle name="Suma 2 20 12 2" xfId="31831"/>
    <cellStyle name="Suma 2 20 12 3" xfId="31832"/>
    <cellStyle name="Suma 2 20 12 4" xfId="31833"/>
    <cellStyle name="Suma 2 20 13" xfId="31834"/>
    <cellStyle name="Suma 2 20 13 2" xfId="31835"/>
    <cellStyle name="Suma 2 20 13 3" xfId="31836"/>
    <cellStyle name="Suma 2 20 13 4" xfId="31837"/>
    <cellStyle name="Suma 2 20 14" xfId="31838"/>
    <cellStyle name="Suma 2 20 14 2" xfId="31839"/>
    <cellStyle name="Suma 2 20 14 3" xfId="31840"/>
    <cellStyle name="Suma 2 20 14 4" xfId="31841"/>
    <cellStyle name="Suma 2 20 15" xfId="31842"/>
    <cellStyle name="Suma 2 20 15 2" xfId="31843"/>
    <cellStyle name="Suma 2 20 15 3" xfId="31844"/>
    <cellStyle name="Suma 2 20 15 4" xfId="31845"/>
    <cellStyle name="Suma 2 20 16" xfId="31846"/>
    <cellStyle name="Suma 2 20 16 2" xfId="31847"/>
    <cellStyle name="Suma 2 20 16 3" xfId="31848"/>
    <cellStyle name="Suma 2 20 16 4" xfId="31849"/>
    <cellStyle name="Suma 2 20 17" xfId="31850"/>
    <cellStyle name="Suma 2 20 17 2" xfId="31851"/>
    <cellStyle name="Suma 2 20 17 3" xfId="31852"/>
    <cellStyle name="Suma 2 20 17 4" xfId="31853"/>
    <cellStyle name="Suma 2 20 18" xfId="31854"/>
    <cellStyle name="Suma 2 20 18 2" xfId="31855"/>
    <cellStyle name="Suma 2 20 18 3" xfId="31856"/>
    <cellStyle name="Suma 2 20 18 4" xfId="31857"/>
    <cellStyle name="Suma 2 20 19" xfId="31858"/>
    <cellStyle name="Suma 2 20 19 2" xfId="31859"/>
    <cellStyle name="Suma 2 20 19 3" xfId="31860"/>
    <cellStyle name="Suma 2 20 19 4" xfId="31861"/>
    <cellStyle name="Suma 2 20 2" xfId="31862"/>
    <cellStyle name="Suma 2 20 2 2" xfId="31863"/>
    <cellStyle name="Suma 2 20 2 3" xfId="31864"/>
    <cellStyle name="Suma 2 20 2 4" xfId="31865"/>
    <cellStyle name="Suma 2 20 20" xfId="31866"/>
    <cellStyle name="Suma 2 20 20 2" xfId="31867"/>
    <cellStyle name="Suma 2 20 20 3" xfId="31868"/>
    <cellStyle name="Suma 2 20 20 4" xfId="31869"/>
    <cellStyle name="Suma 2 20 21" xfId="31870"/>
    <cellStyle name="Suma 2 20 21 2" xfId="31871"/>
    <cellStyle name="Suma 2 20 21 3" xfId="31872"/>
    <cellStyle name="Suma 2 20 22" xfId="31873"/>
    <cellStyle name="Suma 2 20 22 2" xfId="31874"/>
    <cellStyle name="Suma 2 20 22 3" xfId="31875"/>
    <cellStyle name="Suma 2 20 23" xfId="31876"/>
    <cellStyle name="Suma 2 20 23 2" xfId="31877"/>
    <cellStyle name="Suma 2 20 23 3" xfId="31878"/>
    <cellStyle name="Suma 2 20 24" xfId="31879"/>
    <cellStyle name="Suma 2 20 24 2" xfId="31880"/>
    <cellStyle name="Suma 2 20 24 3" xfId="31881"/>
    <cellStyle name="Suma 2 20 25" xfId="31882"/>
    <cellStyle name="Suma 2 20 25 2" xfId="31883"/>
    <cellStyle name="Suma 2 20 25 3" xfId="31884"/>
    <cellStyle name="Suma 2 20 26" xfId="31885"/>
    <cellStyle name="Suma 2 20 26 2" xfId="31886"/>
    <cellStyle name="Suma 2 20 26 3" xfId="31887"/>
    <cellStyle name="Suma 2 20 27" xfId="31888"/>
    <cellStyle name="Suma 2 20 27 2" xfId="31889"/>
    <cellStyle name="Suma 2 20 27 3" xfId="31890"/>
    <cellStyle name="Suma 2 20 28" xfId="31891"/>
    <cellStyle name="Suma 2 20 28 2" xfId="31892"/>
    <cellStyle name="Suma 2 20 28 3" xfId="31893"/>
    <cellStyle name="Suma 2 20 29" xfId="31894"/>
    <cellStyle name="Suma 2 20 29 2" xfId="31895"/>
    <cellStyle name="Suma 2 20 29 3" xfId="31896"/>
    <cellStyle name="Suma 2 20 3" xfId="31897"/>
    <cellStyle name="Suma 2 20 3 2" xfId="31898"/>
    <cellStyle name="Suma 2 20 3 3" xfId="31899"/>
    <cellStyle name="Suma 2 20 3 4" xfId="31900"/>
    <cellStyle name="Suma 2 20 30" xfId="31901"/>
    <cellStyle name="Suma 2 20 30 2" xfId="31902"/>
    <cellStyle name="Suma 2 20 30 3" xfId="31903"/>
    <cellStyle name="Suma 2 20 31" xfId="31904"/>
    <cellStyle name="Suma 2 20 31 2" xfId="31905"/>
    <cellStyle name="Suma 2 20 31 3" xfId="31906"/>
    <cellStyle name="Suma 2 20 32" xfId="31907"/>
    <cellStyle name="Suma 2 20 32 2" xfId="31908"/>
    <cellStyle name="Suma 2 20 32 3" xfId="31909"/>
    <cellStyle name="Suma 2 20 33" xfId="31910"/>
    <cellStyle name="Suma 2 20 33 2" xfId="31911"/>
    <cellStyle name="Suma 2 20 33 3" xfId="31912"/>
    <cellStyle name="Suma 2 20 34" xfId="31913"/>
    <cellStyle name="Suma 2 20 34 2" xfId="31914"/>
    <cellStyle name="Suma 2 20 34 3" xfId="31915"/>
    <cellStyle name="Suma 2 20 35" xfId="31916"/>
    <cellStyle name="Suma 2 20 35 2" xfId="31917"/>
    <cellStyle name="Suma 2 20 35 3" xfId="31918"/>
    <cellStyle name="Suma 2 20 36" xfId="31919"/>
    <cellStyle name="Suma 2 20 36 2" xfId="31920"/>
    <cellStyle name="Suma 2 20 36 3" xfId="31921"/>
    <cellStyle name="Suma 2 20 37" xfId="31922"/>
    <cellStyle name="Suma 2 20 37 2" xfId="31923"/>
    <cellStyle name="Suma 2 20 37 3" xfId="31924"/>
    <cellStyle name="Suma 2 20 38" xfId="31925"/>
    <cellStyle name="Suma 2 20 38 2" xfId="31926"/>
    <cellStyle name="Suma 2 20 38 3" xfId="31927"/>
    <cellStyle name="Suma 2 20 39" xfId="31928"/>
    <cellStyle name="Suma 2 20 39 2" xfId="31929"/>
    <cellStyle name="Suma 2 20 39 3" xfId="31930"/>
    <cellStyle name="Suma 2 20 4" xfId="31931"/>
    <cellStyle name="Suma 2 20 4 2" xfId="31932"/>
    <cellStyle name="Suma 2 20 4 3" xfId="31933"/>
    <cellStyle name="Suma 2 20 4 4" xfId="31934"/>
    <cellStyle name="Suma 2 20 40" xfId="31935"/>
    <cellStyle name="Suma 2 20 40 2" xfId="31936"/>
    <cellStyle name="Suma 2 20 40 3" xfId="31937"/>
    <cellStyle name="Suma 2 20 41" xfId="31938"/>
    <cellStyle name="Suma 2 20 41 2" xfId="31939"/>
    <cellStyle name="Suma 2 20 41 3" xfId="31940"/>
    <cellStyle name="Suma 2 20 42" xfId="31941"/>
    <cellStyle name="Suma 2 20 42 2" xfId="31942"/>
    <cellStyle name="Suma 2 20 42 3" xfId="31943"/>
    <cellStyle name="Suma 2 20 43" xfId="31944"/>
    <cellStyle name="Suma 2 20 43 2" xfId="31945"/>
    <cellStyle name="Suma 2 20 43 3" xfId="31946"/>
    <cellStyle name="Suma 2 20 44" xfId="31947"/>
    <cellStyle name="Suma 2 20 44 2" xfId="31948"/>
    <cellStyle name="Suma 2 20 44 3" xfId="31949"/>
    <cellStyle name="Suma 2 20 45" xfId="31950"/>
    <cellStyle name="Suma 2 20 45 2" xfId="31951"/>
    <cellStyle name="Suma 2 20 45 3" xfId="31952"/>
    <cellStyle name="Suma 2 20 46" xfId="31953"/>
    <cellStyle name="Suma 2 20 46 2" xfId="31954"/>
    <cellStyle name="Suma 2 20 46 3" xfId="31955"/>
    <cellStyle name="Suma 2 20 47" xfId="31956"/>
    <cellStyle name="Suma 2 20 47 2" xfId="31957"/>
    <cellStyle name="Suma 2 20 47 3" xfId="31958"/>
    <cellStyle name="Suma 2 20 48" xfId="31959"/>
    <cellStyle name="Suma 2 20 48 2" xfId="31960"/>
    <cellStyle name="Suma 2 20 48 3" xfId="31961"/>
    <cellStyle name="Suma 2 20 49" xfId="31962"/>
    <cellStyle name="Suma 2 20 49 2" xfId="31963"/>
    <cellStyle name="Suma 2 20 49 3" xfId="31964"/>
    <cellStyle name="Suma 2 20 5" xfId="31965"/>
    <cellStyle name="Suma 2 20 5 2" xfId="31966"/>
    <cellStyle name="Suma 2 20 5 3" xfId="31967"/>
    <cellStyle name="Suma 2 20 5 4" xfId="31968"/>
    <cellStyle name="Suma 2 20 50" xfId="31969"/>
    <cellStyle name="Suma 2 20 50 2" xfId="31970"/>
    <cellStyle name="Suma 2 20 50 3" xfId="31971"/>
    <cellStyle name="Suma 2 20 51" xfId="31972"/>
    <cellStyle name="Suma 2 20 51 2" xfId="31973"/>
    <cellStyle name="Suma 2 20 51 3" xfId="31974"/>
    <cellStyle name="Suma 2 20 52" xfId="31975"/>
    <cellStyle name="Suma 2 20 52 2" xfId="31976"/>
    <cellStyle name="Suma 2 20 52 3" xfId="31977"/>
    <cellStyle name="Suma 2 20 53" xfId="31978"/>
    <cellStyle name="Suma 2 20 53 2" xfId="31979"/>
    <cellStyle name="Suma 2 20 53 3" xfId="31980"/>
    <cellStyle name="Suma 2 20 54" xfId="31981"/>
    <cellStyle name="Suma 2 20 54 2" xfId="31982"/>
    <cellStyle name="Suma 2 20 54 3" xfId="31983"/>
    <cellStyle name="Suma 2 20 55" xfId="31984"/>
    <cellStyle name="Suma 2 20 55 2" xfId="31985"/>
    <cellStyle name="Suma 2 20 55 3" xfId="31986"/>
    <cellStyle name="Suma 2 20 56" xfId="31987"/>
    <cellStyle name="Suma 2 20 56 2" xfId="31988"/>
    <cellStyle name="Suma 2 20 56 3" xfId="31989"/>
    <cellStyle name="Suma 2 20 57" xfId="31990"/>
    <cellStyle name="Suma 2 20 58" xfId="31991"/>
    <cellStyle name="Suma 2 20 6" xfId="31992"/>
    <cellStyle name="Suma 2 20 6 2" xfId="31993"/>
    <cellStyle name="Suma 2 20 6 3" xfId="31994"/>
    <cellStyle name="Suma 2 20 6 4" xfId="31995"/>
    <cellStyle name="Suma 2 20 7" xfId="31996"/>
    <cellStyle name="Suma 2 20 7 2" xfId="31997"/>
    <cellStyle name="Suma 2 20 7 3" xfId="31998"/>
    <cellStyle name="Suma 2 20 7 4" xfId="31999"/>
    <cellStyle name="Suma 2 20 8" xfId="32000"/>
    <cellStyle name="Suma 2 20 8 2" xfId="32001"/>
    <cellStyle name="Suma 2 20 8 3" xfId="32002"/>
    <cellStyle name="Suma 2 20 8 4" xfId="32003"/>
    <cellStyle name="Suma 2 20 9" xfId="32004"/>
    <cellStyle name="Suma 2 20 9 2" xfId="32005"/>
    <cellStyle name="Suma 2 20 9 3" xfId="32006"/>
    <cellStyle name="Suma 2 20 9 4" xfId="32007"/>
    <cellStyle name="Suma 2 21" xfId="32008"/>
    <cellStyle name="Suma 2 21 10" xfId="32009"/>
    <cellStyle name="Suma 2 21 10 2" xfId="32010"/>
    <cellStyle name="Suma 2 21 10 3" xfId="32011"/>
    <cellStyle name="Suma 2 21 10 4" xfId="32012"/>
    <cellStyle name="Suma 2 21 11" xfId="32013"/>
    <cellStyle name="Suma 2 21 11 2" xfId="32014"/>
    <cellStyle name="Suma 2 21 11 3" xfId="32015"/>
    <cellStyle name="Suma 2 21 11 4" xfId="32016"/>
    <cellStyle name="Suma 2 21 12" xfId="32017"/>
    <cellStyle name="Suma 2 21 12 2" xfId="32018"/>
    <cellStyle name="Suma 2 21 12 3" xfId="32019"/>
    <cellStyle name="Suma 2 21 12 4" xfId="32020"/>
    <cellStyle name="Suma 2 21 13" xfId="32021"/>
    <cellStyle name="Suma 2 21 13 2" xfId="32022"/>
    <cellStyle name="Suma 2 21 13 3" xfId="32023"/>
    <cellStyle name="Suma 2 21 13 4" xfId="32024"/>
    <cellStyle name="Suma 2 21 14" xfId="32025"/>
    <cellStyle name="Suma 2 21 14 2" xfId="32026"/>
    <cellStyle name="Suma 2 21 14 3" xfId="32027"/>
    <cellStyle name="Suma 2 21 14 4" xfId="32028"/>
    <cellStyle name="Suma 2 21 15" xfId="32029"/>
    <cellStyle name="Suma 2 21 15 2" xfId="32030"/>
    <cellStyle name="Suma 2 21 15 3" xfId="32031"/>
    <cellStyle name="Suma 2 21 15 4" xfId="32032"/>
    <cellStyle name="Suma 2 21 16" xfId="32033"/>
    <cellStyle name="Suma 2 21 16 2" xfId="32034"/>
    <cellStyle name="Suma 2 21 16 3" xfId="32035"/>
    <cellStyle name="Suma 2 21 16 4" xfId="32036"/>
    <cellStyle name="Suma 2 21 17" xfId="32037"/>
    <cellStyle name="Suma 2 21 17 2" xfId="32038"/>
    <cellStyle name="Suma 2 21 17 3" xfId="32039"/>
    <cellStyle name="Suma 2 21 17 4" xfId="32040"/>
    <cellStyle name="Suma 2 21 18" xfId="32041"/>
    <cellStyle name="Suma 2 21 18 2" xfId="32042"/>
    <cellStyle name="Suma 2 21 18 3" xfId="32043"/>
    <cellStyle name="Suma 2 21 18 4" xfId="32044"/>
    <cellStyle name="Suma 2 21 19" xfId="32045"/>
    <cellStyle name="Suma 2 21 19 2" xfId="32046"/>
    <cellStyle name="Suma 2 21 19 3" xfId="32047"/>
    <cellStyle name="Suma 2 21 19 4" xfId="32048"/>
    <cellStyle name="Suma 2 21 2" xfId="32049"/>
    <cellStyle name="Suma 2 21 2 2" xfId="32050"/>
    <cellStyle name="Suma 2 21 2 3" xfId="32051"/>
    <cellStyle name="Suma 2 21 2 4" xfId="32052"/>
    <cellStyle name="Suma 2 21 20" xfId="32053"/>
    <cellStyle name="Suma 2 21 20 2" xfId="32054"/>
    <cellStyle name="Suma 2 21 20 3" xfId="32055"/>
    <cellStyle name="Suma 2 21 20 4" xfId="32056"/>
    <cellStyle name="Suma 2 21 21" xfId="32057"/>
    <cellStyle name="Suma 2 21 21 2" xfId="32058"/>
    <cellStyle name="Suma 2 21 21 3" xfId="32059"/>
    <cellStyle name="Suma 2 21 22" xfId="32060"/>
    <cellStyle name="Suma 2 21 22 2" xfId="32061"/>
    <cellStyle name="Suma 2 21 22 3" xfId="32062"/>
    <cellStyle name="Suma 2 21 23" xfId="32063"/>
    <cellStyle name="Suma 2 21 23 2" xfId="32064"/>
    <cellStyle name="Suma 2 21 23 3" xfId="32065"/>
    <cellStyle name="Suma 2 21 24" xfId="32066"/>
    <cellStyle name="Suma 2 21 24 2" xfId="32067"/>
    <cellStyle name="Suma 2 21 24 3" xfId="32068"/>
    <cellStyle name="Suma 2 21 25" xfId="32069"/>
    <cellStyle name="Suma 2 21 25 2" xfId="32070"/>
    <cellStyle name="Suma 2 21 25 3" xfId="32071"/>
    <cellStyle name="Suma 2 21 26" xfId="32072"/>
    <cellStyle name="Suma 2 21 26 2" xfId="32073"/>
    <cellStyle name="Suma 2 21 26 3" xfId="32074"/>
    <cellStyle name="Suma 2 21 27" xfId="32075"/>
    <cellStyle name="Suma 2 21 27 2" xfId="32076"/>
    <cellStyle name="Suma 2 21 27 3" xfId="32077"/>
    <cellStyle name="Suma 2 21 28" xfId="32078"/>
    <cellStyle name="Suma 2 21 28 2" xfId="32079"/>
    <cellStyle name="Suma 2 21 28 3" xfId="32080"/>
    <cellStyle name="Suma 2 21 29" xfId="32081"/>
    <cellStyle name="Suma 2 21 29 2" xfId="32082"/>
    <cellStyle name="Suma 2 21 29 3" xfId="32083"/>
    <cellStyle name="Suma 2 21 3" xfId="32084"/>
    <cellStyle name="Suma 2 21 3 2" xfId="32085"/>
    <cellStyle name="Suma 2 21 3 3" xfId="32086"/>
    <cellStyle name="Suma 2 21 3 4" xfId="32087"/>
    <cellStyle name="Suma 2 21 30" xfId="32088"/>
    <cellStyle name="Suma 2 21 30 2" xfId="32089"/>
    <cellStyle name="Suma 2 21 30 3" xfId="32090"/>
    <cellStyle name="Suma 2 21 31" xfId="32091"/>
    <cellStyle name="Suma 2 21 31 2" xfId="32092"/>
    <cellStyle name="Suma 2 21 31 3" xfId="32093"/>
    <cellStyle name="Suma 2 21 32" xfId="32094"/>
    <cellStyle name="Suma 2 21 32 2" xfId="32095"/>
    <cellStyle name="Suma 2 21 32 3" xfId="32096"/>
    <cellStyle name="Suma 2 21 33" xfId="32097"/>
    <cellStyle name="Suma 2 21 33 2" xfId="32098"/>
    <cellStyle name="Suma 2 21 33 3" xfId="32099"/>
    <cellStyle name="Suma 2 21 34" xfId="32100"/>
    <cellStyle name="Suma 2 21 34 2" xfId="32101"/>
    <cellStyle name="Suma 2 21 34 3" xfId="32102"/>
    <cellStyle name="Suma 2 21 35" xfId="32103"/>
    <cellStyle name="Suma 2 21 35 2" xfId="32104"/>
    <cellStyle name="Suma 2 21 35 3" xfId="32105"/>
    <cellStyle name="Suma 2 21 36" xfId="32106"/>
    <cellStyle name="Suma 2 21 36 2" xfId="32107"/>
    <cellStyle name="Suma 2 21 36 3" xfId="32108"/>
    <cellStyle name="Suma 2 21 37" xfId="32109"/>
    <cellStyle name="Suma 2 21 37 2" xfId="32110"/>
    <cellStyle name="Suma 2 21 37 3" xfId="32111"/>
    <cellStyle name="Suma 2 21 38" xfId="32112"/>
    <cellStyle name="Suma 2 21 38 2" xfId="32113"/>
    <cellStyle name="Suma 2 21 38 3" xfId="32114"/>
    <cellStyle name="Suma 2 21 39" xfId="32115"/>
    <cellStyle name="Suma 2 21 39 2" xfId="32116"/>
    <cellStyle name="Suma 2 21 39 3" xfId="32117"/>
    <cellStyle name="Suma 2 21 4" xfId="32118"/>
    <cellStyle name="Suma 2 21 4 2" xfId="32119"/>
    <cellStyle name="Suma 2 21 4 3" xfId="32120"/>
    <cellStyle name="Suma 2 21 4 4" xfId="32121"/>
    <cellStyle name="Suma 2 21 40" xfId="32122"/>
    <cellStyle name="Suma 2 21 40 2" xfId="32123"/>
    <cellStyle name="Suma 2 21 40 3" xfId="32124"/>
    <cellStyle name="Suma 2 21 41" xfId="32125"/>
    <cellStyle name="Suma 2 21 41 2" xfId="32126"/>
    <cellStyle name="Suma 2 21 41 3" xfId="32127"/>
    <cellStyle name="Suma 2 21 42" xfId="32128"/>
    <cellStyle name="Suma 2 21 42 2" xfId="32129"/>
    <cellStyle name="Suma 2 21 42 3" xfId="32130"/>
    <cellStyle name="Suma 2 21 43" xfId="32131"/>
    <cellStyle name="Suma 2 21 43 2" xfId="32132"/>
    <cellStyle name="Suma 2 21 43 3" xfId="32133"/>
    <cellStyle name="Suma 2 21 44" xfId="32134"/>
    <cellStyle name="Suma 2 21 44 2" xfId="32135"/>
    <cellStyle name="Suma 2 21 44 3" xfId="32136"/>
    <cellStyle name="Suma 2 21 45" xfId="32137"/>
    <cellStyle name="Suma 2 21 45 2" xfId="32138"/>
    <cellStyle name="Suma 2 21 45 3" xfId="32139"/>
    <cellStyle name="Suma 2 21 46" xfId="32140"/>
    <cellStyle name="Suma 2 21 46 2" xfId="32141"/>
    <cellStyle name="Suma 2 21 46 3" xfId="32142"/>
    <cellStyle name="Suma 2 21 47" xfId="32143"/>
    <cellStyle name="Suma 2 21 47 2" xfId="32144"/>
    <cellStyle name="Suma 2 21 47 3" xfId="32145"/>
    <cellStyle name="Suma 2 21 48" xfId="32146"/>
    <cellStyle name="Suma 2 21 48 2" xfId="32147"/>
    <cellStyle name="Suma 2 21 48 3" xfId="32148"/>
    <cellStyle name="Suma 2 21 49" xfId="32149"/>
    <cellStyle name="Suma 2 21 49 2" xfId="32150"/>
    <cellStyle name="Suma 2 21 49 3" xfId="32151"/>
    <cellStyle name="Suma 2 21 5" xfId="32152"/>
    <cellStyle name="Suma 2 21 5 2" xfId="32153"/>
    <cellStyle name="Suma 2 21 5 3" xfId="32154"/>
    <cellStyle name="Suma 2 21 5 4" xfId="32155"/>
    <cellStyle name="Suma 2 21 50" xfId="32156"/>
    <cellStyle name="Suma 2 21 50 2" xfId="32157"/>
    <cellStyle name="Suma 2 21 50 3" xfId="32158"/>
    <cellStyle name="Suma 2 21 51" xfId="32159"/>
    <cellStyle name="Suma 2 21 51 2" xfId="32160"/>
    <cellStyle name="Suma 2 21 51 3" xfId="32161"/>
    <cellStyle name="Suma 2 21 52" xfId="32162"/>
    <cellStyle name="Suma 2 21 52 2" xfId="32163"/>
    <cellStyle name="Suma 2 21 52 3" xfId="32164"/>
    <cellStyle name="Suma 2 21 53" xfId="32165"/>
    <cellStyle name="Suma 2 21 53 2" xfId="32166"/>
    <cellStyle name="Suma 2 21 53 3" xfId="32167"/>
    <cellStyle name="Suma 2 21 54" xfId="32168"/>
    <cellStyle name="Suma 2 21 54 2" xfId="32169"/>
    <cellStyle name="Suma 2 21 54 3" xfId="32170"/>
    <cellStyle name="Suma 2 21 55" xfId="32171"/>
    <cellStyle name="Suma 2 21 55 2" xfId="32172"/>
    <cellStyle name="Suma 2 21 55 3" xfId="32173"/>
    <cellStyle name="Suma 2 21 56" xfId="32174"/>
    <cellStyle name="Suma 2 21 56 2" xfId="32175"/>
    <cellStyle name="Suma 2 21 56 3" xfId="32176"/>
    <cellStyle name="Suma 2 21 57" xfId="32177"/>
    <cellStyle name="Suma 2 21 58" xfId="32178"/>
    <cellStyle name="Suma 2 21 6" xfId="32179"/>
    <cellStyle name="Suma 2 21 6 2" xfId="32180"/>
    <cellStyle name="Suma 2 21 6 3" xfId="32181"/>
    <cellStyle name="Suma 2 21 6 4" xfId="32182"/>
    <cellStyle name="Suma 2 21 7" xfId="32183"/>
    <cellStyle name="Suma 2 21 7 2" xfId="32184"/>
    <cellStyle name="Suma 2 21 7 3" xfId="32185"/>
    <cellStyle name="Suma 2 21 7 4" xfId="32186"/>
    <cellStyle name="Suma 2 21 8" xfId="32187"/>
    <cellStyle name="Suma 2 21 8 2" xfId="32188"/>
    <cellStyle name="Suma 2 21 8 3" xfId="32189"/>
    <cellStyle name="Suma 2 21 8 4" xfId="32190"/>
    <cellStyle name="Suma 2 21 9" xfId="32191"/>
    <cellStyle name="Suma 2 21 9 2" xfId="32192"/>
    <cellStyle name="Suma 2 21 9 3" xfId="32193"/>
    <cellStyle name="Suma 2 21 9 4" xfId="32194"/>
    <cellStyle name="Suma 2 22" xfId="32195"/>
    <cellStyle name="Suma 2 22 10" xfId="32196"/>
    <cellStyle name="Suma 2 22 10 2" xfId="32197"/>
    <cellStyle name="Suma 2 22 10 3" xfId="32198"/>
    <cellStyle name="Suma 2 22 10 4" xfId="32199"/>
    <cellStyle name="Suma 2 22 11" xfId="32200"/>
    <cellStyle name="Suma 2 22 11 2" xfId="32201"/>
    <cellStyle name="Suma 2 22 11 3" xfId="32202"/>
    <cellStyle name="Suma 2 22 11 4" xfId="32203"/>
    <cellStyle name="Suma 2 22 12" xfId="32204"/>
    <cellStyle name="Suma 2 22 12 2" xfId="32205"/>
    <cellStyle name="Suma 2 22 12 3" xfId="32206"/>
    <cellStyle name="Suma 2 22 12 4" xfId="32207"/>
    <cellStyle name="Suma 2 22 13" xfId="32208"/>
    <cellStyle name="Suma 2 22 13 2" xfId="32209"/>
    <cellStyle name="Suma 2 22 13 3" xfId="32210"/>
    <cellStyle name="Suma 2 22 13 4" xfId="32211"/>
    <cellStyle name="Suma 2 22 14" xfId="32212"/>
    <cellStyle name="Suma 2 22 14 2" xfId="32213"/>
    <cellStyle name="Suma 2 22 14 3" xfId="32214"/>
    <cellStyle name="Suma 2 22 14 4" xfId="32215"/>
    <cellStyle name="Suma 2 22 15" xfId="32216"/>
    <cellStyle name="Suma 2 22 15 2" xfId="32217"/>
    <cellStyle name="Suma 2 22 15 3" xfId="32218"/>
    <cellStyle name="Suma 2 22 15 4" xfId="32219"/>
    <cellStyle name="Suma 2 22 16" xfId="32220"/>
    <cellStyle name="Suma 2 22 16 2" xfId="32221"/>
    <cellStyle name="Suma 2 22 16 3" xfId="32222"/>
    <cellStyle name="Suma 2 22 16 4" xfId="32223"/>
    <cellStyle name="Suma 2 22 17" xfId="32224"/>
    <cellStyle name="Suma 2 22 17 2" xfId="32225"/>
    <cellStyle name="Suma 2 22 17 3" xfId="32226"/>
    <cellStyle name="Suma 2 22 17 4" xfId="32227"/>
    <cellStyle name="Suma 2 22 18" xfId="32228"/>
    <cellStyle name="Suma 2 22 18 2" xfId="32229"/>
    <cellStyle name="Suma 2 22 18 3" xfId="32230"/>
    <cellStyle name="Suma 2 22 18 4" xfId="32231"/>
    <cellStyle name="Suma 2 22 19" xfId="32232"/>
    <cellStyle name="Suma 2 22 19 2" xfId="32233"/>
    <cellStyle name="Suma 2 22 19 3" xfId="32234"/>
    <cellStyle name="Suma 2 22 19 4" xfId="32235"/>
    <cellStyle name="Suma 2 22 2" xfId="32236"/>
    <cellStyle name="Suma 2 22 2 2" xfId="32237"/>
    <cellStyle name="Suma 2 22 2 3" xfId="32238"/>
    <cellStyle name="Suma 2 22 2 4" xfId="32239"/>
    <cellStyle name="Suma 2 22 20" xfId="32240"/>
    <cellStyle name="Suma 2 22 20 2" xfId="32241"/>
    <cellStyle name="Suma 2 22 20 3" xfId="32242"/>
    <cellStyle name="Suma 2 22 20 4" xfId="32243"/>
    <cellStyle name="Suma 2 22 21" xfId="32244"/>
    <cellStyle name="Suma 2 22 21 2" xfId="32245"/>
    <cellStyle name="Suma 2 22 21 3" xfId="32246"/>
    <cellStyle name="Suma 2 22 22" xfId="32247"/>
    <cellStyle name="Suma 2 22 22 2" xfId="32248"/>
    <cellStyle name="Suma 2 22 22 3" xfId="32249"/>
    <cellStyle name="Suma 2 22 23" xfId="32250"/>
    <cellStyle name="Suma 2 22 23 2" xfId="32251"/>
    <cellStyle name="Suma 2 22 23 3" xfId="32252"/>
    <cellStyle name="Suma 2 22 24" xfId="32253"/>
    <cellStyle name="Suma 2 22 24 2" xfId="32254"/>
    <cellStyle name="Suma 2 22 24 3" xfId="32255"/>
    <cellStyle name="Suma 2 22 25" xfId="32256"/>
    <cellStyle name="Suma 2 22 25 2" xfId="32257"/>
    <cellStyle name="Suma 2 22 25 3" xfId="32258"/>
    <cellStyle name="Suma 2 22 26" xfId="32259"/>
    <cellStyle name="Suma 2 22 26 2" xfId="32260"/>
    <cellStyle name="Suma 2 22 26 3" xfId="32261"/>
    <cellStyle name="Suma 2 22 27" xfId="32262"/>
    <cellStyle name="Suma 2 22 27 2" xfId="32263"/>
    <cellStyle name="Suma 2 22 27 3" xfId="32264"/>
    <cellStyle name="Suma 2 22 28" xfId="32265"/>
    <cellStyle name="Suma 2 22 28 2" xfId="32266"/>
    <cellStyle name="Suma 2 22 28 3" xfId="32267"/>
    <cellStyle name="Suma 2 22 29" xfId="32268"/>
    <cellStyle name="Suma 2 22 29 2" xfId="32269"/>
    <cellStyle name="Suma 2 22 29 3" xfId="32270"/>
    <cellStyle name="Suma 2 22 3" xfId="32271"/>
    <cellStyle name="Suma 2 22 3 2" xfId="32272"/>
    <cellStyle name="Suma 2 22 3 3" xfId="32273"/>
    <cellStyle name="Suma 2 22 3 4" xfId="32274"/>
    <cellStyle name="Suma 2 22 30" xfId="32275"/>
    <cellStyle name="Suma 2 22 30 2" xfId="32276"/>
    <cellStyle name="Suma 2 22 30 3" xfId="32277"/>
    <cellStyle name="Suma 2 22 31" xfId="32278"/>
    <cellStyle name="Suma 2 22 31 2" xfId="32279"/>
    <cellStyle name="Suma 2 22 31 3" xfId="32280"/>
    <cellStyle name="Suma 2 22 32" xfId="32281"/>
    <cellStyle name="Suma 2 22 32 2" xfId="32282"/>
    <cellStyle name="Suma 2 22 32 3" xfId="32283"/>
    <cellStyle name="Suma 2 22 33" xfId="32284"/>
    <cellStyle name="Suma 2 22 33 2" xfId="32285"/>
    <cellStyle name="Suma 2 22 33 3" xfId="32286"/>
    <cellStyle name="Suma 2 22 34" xfId="32287"/>
    <cellStyle name="Suma 2 22 34 2" xfId="32288"/>
    <cellStyle name="Suma 2 22 34 3" xfId="32289"/>
    <cellStyle name="Suma 2 22 35" xfId="32290"/>
    <cellStyle name="Suma 2 22 35 2" xfId="32291"/>
    <cellStyle name="Suma 2 22 35 3" xfId="32292"/>
    <cellStyle name="Suma 2 22 36" xfId="32293"/>
    <cellStyle name="Suma 2 22 36 2" xfId="32294"/>
    <cellStyle name="Suma 2 22 36 3" xfId="32295"/>
    <cellStyle name="Suma 2 22 37" xfId="32296"/>
    <cellStyle name="Suma 2 22 37 2" xfId="32297"/>
    <cellStyle name="Suma 2 22 37 3" xfId="32298"/>
    <cellStyle name="Suma 2 22 38" xfId="32299"/>
    <cellStyle name="Suma 2 22 38 2" xfId="32300"/>
    <cellStyle name="Suma 2 22 38 3" xfId="32301"/>
    <cellStyle name="Suma 2 22 39" xfId="32302"/>
    <cellStyle name="Suma 2 22 39 2" xfId="32303"/>
    <cellStyle name="Suma 2 22 39 3" xfId="32304"/>
    <cellStyle name="Suma 2 22 4" xfId="32305"/>
    <cellStyle name="Suma 2 22 4 2" xfId="32306"/>
    <cellStyle name="Suma 2 22 4 3" xfId="32307"/>
    <cellStyle name="Suma 2 22 4 4" xfId="32308"/>
    <cellStyle name="Suma 2 22 40" xfId="32309"/>
    <cellStyle name="Suma 2 22 40 2" xfId="32310"/>
    <cellStyle name="Suma 2 22 40 3" xfId="32311"/>
    <cellStyle name="Suma 2 22 41" xfId="32312"/>
    <cellStyle name="Suma 2 22 41 2" xfId="32313"/>
    <cellStyle name="Suma 2 22 41 3" xfId="32314"/>
    <cellStyle name="Suma 2 22 42" xfId="32315"/>
    <cellStyle name="Suma 2 22 42 2" xfId="32316"/>
    <cellStyle name="Suma 2 22 42 3" xfId="32317"/>
    <cellStyle name="Suma 2 22 43" xfId="32318"/>
    <cellStyle name="Suma 2 22 43 2" xfId="32319"/>
    <cellStyle name="Suma 2 22 43 3" xfId="32320"/>
    <cellStyle name="Suma 2 22 44" xfId="32321"/>
    <cellStyle name="Suma 2 22 44 2" xfId="32322"/>
    <cellStyle name="Suma 2 22 44 3" xfId="32323"/>
    <cellStyle name="Suma 2 22 45" xfId="32324"/>
    <cellStyle name="Suma 2 22 45 2" xfId="32325"/>
    <cellStyle name="Suma 2 22 45 3" xfId="32326"/>
    <cellStyle name="Suma 2 22 46" xfId="32327"/>
    <cellStyle name="Suma 2 22 46 2" xfId="32328"/>
    <cellStyle name="Suma 2 22 46 3" xfId="32329"/>
    <cellStyle name="Suma 2 22 47" xfId="32330"/>
    <cellStyle name="Suma 2 22 47 2" xfId="32331"/>
    <cellStyle name="Suma 2 22 47 3" xfId="32332"/>
    <cellStyle name="Suma 2 22 48" xfId="32333"/>
    <cellStyle name="Suma 2 22 48 2" xfId="32334"/>
    <cellStyle name="Suma 2 22 48 3" xfId="32335"/>
    <cellStyle name="Suma 2 22 49" xfId="32336"/>
    <cellStyle name="Suma 2 22 49 2" xfId="32337"/>
    <cellStyle name="Suma 2 22 49 3" xfId="32338"/>
    <cellStyle name="Suma 2 22 5" xfId="32339"/>
    <cellStyle name="Suma 2 22 5 2" xfId="32340"/>
    <cellStyle name="Suma 2 22 5 3" xfId="32341"/>
    <cellStyle name="Suma 2 22 5 4" xfId="32342"/>
    <cellStyle name="Suma 2 22 50" xfId="32343"/>
    <cellStyle name="Suma 2 22 50 2" xfId="32344"/>
    <cellStyle name="Suma 2 22 50 3" xfId="32345"/>
    <cellStyle name="Suma 2 22 51" xfId="32346"/>
    <cellStyle name="Suma 2 22 51 2" xfId="32347"/>
    <cellStyle name="Suma 2 22 51 3" xfId="32348"/>
    <cellStyle name="Suma 2 22 52" xfId="32349"/>
    <cellStyle name="Suma 2 22 52 2" xfId="32350"/>
    <cellStyle name="Suma 2 22 52 3" xfId="32351"/>
    <cellStyle name="Suma 2 22 53" xfId="32352"/>
    <cellStyle name="Suma 2 22 53 2" xfId="32353"/>
    <cellStyle name="Suma 2 22 53 3" xfId="32354"/>
    <cellStyle name="Suma 2 22 54" xfId="32355"/>
    <cellStyle name="Suma 2 22 54 2" xfId="32356"/>
    <cellStyle name="Suma 2 22 54 3" xfId="32357"/>
    <cellStyle name="Suma 2 22 55" xfId="32358"/>
    <cellStyle name="Suma 2 22 55 2" xfId="32359"/>
    <cellStyle name="Suma 2 22 55 3" xfId="32360"/>
    <cellStyle name="Suma 2 22 56" xfId="32361"/>
    <cellStyle name="Suma 2 22 56 2" xfId="32362"/>
    <cellStyle name="Suma 2 22 56 3" xfId="32363"/>
    <cellStyle name="Suma 2 22 57" xfId="32364"/>
    <cellStyle name="Suma 2 22 58" xfId="32365"/>
    <cellStyle name="Suma 2 22 6" xfId="32366"/>
    <cellStyle name="Suma 2 22 6 2" xfId="32367"/>
    <cellStyle name="Suma 2 22 6 3" xfId="32368"/>
    <cellStyle name="Suma 2 22 6 4" xfId="32369"/>
    <cellStyle name="Suma 2 22 7" xfId="32370"/>
    <cellStyle name="Suma 2 22 7 2" xfId="32371"/>
    <cellStyle name="Suma 2 22 7 3" xfId="32372"/>
    <cellStyle name="Suma 2 22 7 4" xfId="32373"/>
    <cellStyle name="Suma 2 22 8" xfId="32374"/>
    <cellStyle name="Suma 2 22 8 2" xfId="32375"/>
    <cellStyle name="Suma 2 22 8 3" xfId="32376"/>
    <cellStyle name="Suma 2 22 8 4" xfId="32377"/>
    <cellStyle name="Suma 2 22 9" xfId="32378"/>
    <cellStyle name="Suma 2 22 9 2" xfId="32379"/>
    <cellStyle name="Suma 2 22 9 3" xfId="32380"/>
    <cellStyle name="Suma 2 22 9 4" xfId="32381"/>
    <cellStyle name="Suma 2 23" xfId="32382"/>
    <cellStyle name="Suma 2 23 10" xfId="32383"/>
    <cellStyle name="Suma 2 23 10 2" xfId="32384"/>
    <cellStyle name="Suma 2 23 10 3" xfId="32385"/>
    <cellStyle name="Suma 2 23 10 4" xfId="32386"/>
    <cellStyle name="Suma 2 23 11" xfId="32387"/>
    <cellStyle name="Suma 2 23 11 2" xfId="32388"/>
    <cellStyle name="Suma 2 23 11 3" xfId="32389"/>
    <cellStyle name="Suma 2 23 11 4" xfId="32390"/>
    <cellStyle name="Suma 2 23 12" xfId="32391"/>
    <cellStyle name="Suma 2 23 12 2" xfId="32392"/>
    <cellStyle name="Suma 2 23 12 3" xfId="32393"/>
    <cellStyle name="Suma 2 23 12 4" xfId="32394"/>
    <cellStyle name="Suma 2 23 13" xfId="32395"/>
    <cellStyle name="Suma 2 23 13 2" xfId="32396"/>
    <cellStyle name="Suma 2 23 13 3" xfId="32397"/>
    <cellStyle name="Suma 2 23 13 4" xfId="32398"/>
    <cellStyle name="Suma 2 23 14" xfId="32399"/>
    <cellStyle name="Suma 2 23 14 2" xfId="32400"/>
    <cellStyle name="Suma 2 23 14 3" xfId="32401"/>
    <cellStyle name="Suma 2 23 14 4" xfId="32402"/>
    <cellStyle name="Suma 2 23 15" xfId="32403"/>
    <cellStyle name="Suma 2 23 15 2" xfId="32404"/>
    <cellStyle name="Suma 2 23 15 3" xfId="32405"/>
    <cellStyle name="Suma 2 23 15 4" xfId="32406"/>
    <cellStyle name="Suma 2 23 16" xfId="32407"/>
    <cellStyle name="Suma 2 23 16 2" xfId="32408"/>
    <cellStyle name="Suma 2 23 16 3" xfId="32409"/>
    <cellStyle name="Suma 2 23 16 4" xfId="32410"/>
    <cellStyle name="Suma 2 23 17" xfId="32411"/>
    <cellStyle name="Suma 2 23 17 2" xfId="32412"/>
    <cellStyle name="Suma 2 23 17 3" xfId="32413"/>
    <cellStyle name="Suma 2 23 17 4" xfId="32414"/>
    <cellStyle name="Suma 2 23 18" xfId="32415"/>
    <cellStyle name="Suma 2 23 18 2" xfId="32416"/>
    <cellStyle name="Suma 2 23 18 3" xfId="32417"/>
    <cellStyle name="Suma 2 23 18 4" xfId="32418"/>
    <cellStyle name="Suma 2 23 19" xfId="32419"/>
    <cellStyle name="Suma 2 23 19 2" xfId="32420"/>
    <cellStyle name="Suma 2 23 19 3" xfId="32421"/>
    <cellStyle name="Suma 2 23 19 4" xfId="32422"/>
    <cellStyle name="Suma 2 23 2" xfId="32423"/>
    <cellStyle name="Suma 2 23 2 2" xfId="32424"/>
    <cellStyle name="Suma 2 23 2 3" xfId="32425"/>
    <cellStyle name="Suma 2 23 2 4" xfId="32426"/>
    <cellStyle name="Suma 2 23 20" xfId="32427"/>
    <cellStyle name="Suma 2 23 20 2" xfId="32428"/>
    <cellStyle name="Suma 2 23 20 3" xfId="32429"/>
    <cellStyle name="Suma 2 23 20 4" xfId="32430"/>
    <cellStyle name="Suma 2 23 21" xfId="32431"/>
    <cellStyle name="Suma 2 23 21 2" xfId="32432"/>
    <cellStyle name="Suma 2 23 21 3" xfId="32433"/>
    <cellStyle name="Suma 2 23 22" xfId="32434"/>
    <cellStyle name="Suma 2 23 22 2" xfId="32435"/>
    <cellStyle name="Suma 2 23 22 3" xfId="32436"/>
    <cellStyle name="Suma 2 23 23" xfId="32437"/>
    <cellStyle name="Suma 2 23 23 2" xfId="32438"/>
    <cellStyle name="Suma 2 23 23 3" xfId="32439"/>
    <cellStyle name="Suma 2 23 24" xfId="32440"/>
    <cellStyle name="Suma 2 23 24 2" xfId="32441"/>
    <cellStyle name="Suma 2 23 24 3" xfId="32442"/>
    <cellStyle name="Suma 2 23 25" xfId="32443"/>
    <cellStyle name="Suma 2 23 25 2" xfId="32444"/>
    <cellStyle name="Suma 2 23 25 3" xfId="32445"/>
    <cellStyle name="Suma 2 23 26" xfId="32446"/>
    <cellStyle name="Suma 2 23 26 2" xfId="32447"/>
    <cellStyle name="Suma 2 23 26 3" xfId="32448"/>
    <cellStyle name="Suma 2 23 27" xfId="32449"/>
    <cellStyle name="Suma 2 23 27 2" xfId="32450"/>
    <cellStyle name="Suma 2 23 27 3" xfId="32451"/>
    <cellStyle name="Suma 2 23 28" xfId="32452"/>
    <cellStyle name="Suma 2 23 28 2" xfId="32453"/>
    <cellStyle name="Suma 2 23 28 3" xfId="32454"/>
    <cellStyle name="Suma 2 23 29" xfId="32455"/>
    <cellStyle name="Suma 2 23 29 2" xfId="32456"/>
    <cellStyle name="Suma 2 23 29 3" xfId="32457"/>
    <cellStyle name="Suma 2 23 3" xfId="32458"/>
    <cellStyle name="Suma 2 23 3 2" xfId="32459"/>
    <cellStyle name="Suma 2 23 3 3" xfId="32460"/>
    <cellStyle name="Suma 2 23 3 4" xfId="32461"/>
    <cellStyle name="Suma 2 23 30" xfId="32462"/>
    <cellStyle name="Suma 2 23 30 2" xfId="32463"/>
    <cellStyle name="Suma 2 23 30 3" xfId="32464"/>
    <cellStyle name="Suma 2 23 31" xfId="32465"/>
    <cellStyle name="Suma 2 23 31 2" xfId="32466"/>
    <cellStyle name="Suma 2 23 31 3" xfId="32467"/>
    <cellStyle name="Suma 2 23 32" xfId="32468"/>
    <cellStyle name="Suma 2 23 32 2" xfId="32469"/>
    <cellStyle name="Suma 2 23 32 3" xfId="32470"/>
    <cellStyle name="Suma 2 23 33" xfId="32471"/>
    <cellStyle name="Suma 2 23 33 2" xfId="32472"/>
    <cellStyle name="Suma 2 23 33 3" xfId="32473"/>
    <cellStyle name="Suma 2 23 34" xfId="32474"/>
    <cellStyle name="Suma 2 23 34 2" xfId="32475"/>
    <cellStyle name="Suma 2 23 34 3" xfId="32476"/>
    <cellStyle name="Suma 2 23 35" xfId="32477"/>
    <cellStyle name="Suma 2 23 35 2" xfId="32478"/>
    <cellStyle name="Suma 2 23 35 3" xfId="32479"/>
    <cellStyle name="Suma 2 23 36" xfId="32480"/>
    <cellStyle name="Suma 2 23 36 2" xfId="32481"/>
    <cellStyle name="Suma 2 23 36 3" xfId="32482"/>
    <cellStyle name="Suma 2 23 37" xfId="32483"/>
    <cellStyle name="Suma 2 23 37 2" xfId="32484"/>
    <cellStyle name="Suma 2 23 37 3" xfId="32485"/>
    <cellStyle name="Suma 2 23 38" xfId="32486"/>
    <cellStyle name="Suma 2 23 38 2" xfId="32487"/>
    <cellStyle name="Suma 2 23 38 3" xfId="32488"/>
    <cellStyle name="Suma 2 23 39" xfId="32489"/>
    <cellStyle name="Suma 2 23 39 2" xfId="32490"/>
    <cellStyle name="Suma 2 23 39 3" xfId="32491"/>
    <cellStyle name="Suma 2 23 4" xfId="32492"/>
    <cellStyle name="Suma 2 23 4 2" xfId="32493"/>
    <cellStyle name="Suma 2 23 4 3" xfId="32494"/>
    <cellStyle name="Suma 2 23 4 4" xfId="32495"/>
    <cellStyle name="Suma 2 23 40" xfId="32496"/>
    <cellStyle name="Suma 2 23 40 2" xfId="32497"/>
    <cellStyle name="Suma 2 23 40 3" xfId="32498"/>
    <cellStyle name="Suma 2 23 41" xfId="32499"/>
    <cellStyle name="Suma 2 23 41 2" xfId="32500"/>
    <cellStyle name="Suma 2 23 41 3" xfId="32501"/>
    <cellStyle name="Suma 2 23 42" xfId="32502"/>
    <cellStyle name="Suma 2 23 42 2" xfId="32503"/>
    <cellStyle name="Suma 2 23 42 3" xfId="32504"/>
    <cellStyle name="Suma 2 23 43" xfId="32505"/>
    <cellStyle name="Suma 2 23 43 2" xfId="32506"/>
    <cellStyle name="Suma 2 23 43 3" xfId="32507"/>
    <cellStyle name="Suma 2 23 44" xfId="32508"/>
    <cellStyle name="Suma 2 23 44 2" xfId="32509"/>
    <cellStyle name="Suma 2 23 44 3" xfId="32510"/>
    <cellStyle name="Suma 2 23 45" xfId="32511"/>
    <cellStyle name="Suma 2 23 45 2" xfId="32512"/>
    <cellStyle name="Suma 2 23 45 3" xfId="32513"/>
    <cellStyle name="Suma 2 23 46" xfId="32514"/>
    <cellStyle name="Suma 2 23 46 2" xfId="32515"/>
    <cellStyle name="Suma 2 23 46 3" xfId="32516"/>
    <cellStyle name="Suma 2 23 47" xfId="32517"/>
    <cellStyle name="Suma 2 23 47 2" xfId="32518"/>
    <cellStyle name="Suma 2 23 47 3" xfId="32519"/>
    <cellStyle name="Suma 2 23 48" xfId="32520"/>
    <cellStyle name="Suma 2 23 48 2" xfId="32521"/>
    <cellStyle name="Suma 2 23 48 3" xfId="32522"/>
    <cellStyle name="Suma 2 23 49" xfId="32523"/>
    <cellStyle name="Suma 2 23 49 2" xfId="32524"/>
    <cellStyle name="Suma 2 23 49 3" xfId="32525"/>
    <cellStyle name="Suma 2 23 5" xfId="32526"/>
    <cellStyle name="Suma 2 23 5 2" xfId="32527"/>
    <cellStyle name="Suma 2 23 5 3" xfId="32528"/>
    <cellStyle name="Suma 2 23 5 4" xfId="32529"/>
    <cellStyle name="Suma 2 23 50" xfId="32530"/>
    <cellStyle name="Suma 2 23 50 2" xfId="32531"/>
    <cellStyle name="Suma 2 23 50 3" xfId="32532"/>
    <cellStyle name="Suma 2 23 51" xfId="32533"/>
    <cellStyle name="Suma 2 23 51 2" xfId="32534"/>
    <cellStyle name="Suma 2 23 51 3" xfId="32535"/>
    <cellStyle name="Suma 2 23 52" xfId="32536"/>
    <cellStyle name="Suma 2 23 52 2" xfId="32537"/>
    <cellStyle name="Suma 2 23 52 3" xfId="32538"/>
    <cellStyle name="Suma 2 23 53" xfId="32539"/>
    <cellStyle name="Suma 2 23 53 2" xfId="32540"/>
    <cellStyle name="Suma 2 23 53 3" xfId="32541"/>
    <cellStyle name="Suma 2 23 54" xfId="32542"/>
    <cellStyle name="Suma 2 23 54 2" xfId="32543"/>
    <cellStyle name="Suma 2 23 54 3" xfId="32544"/>
    <cellStyle name="Suma 2 23 55" xfId="32545"/>
    <cellStyle name="Suma 2 23 55 2" xfId="32546"/>
    <cellStyle name="Suma 2 23 55 3" xfId="32547"/>
    <cellStyle name="Suma 2 23 56" xfId="32548"/>
    <cellStyle name="Suma 2 23 56 2" xfId="32549"/>
    <cellStyle name="Suma 2 23 56 3" xfId="32550"/>
    <cellStyle name="Suma 2 23 57" xfId="32551"/>
    <cellStyle name="Suma 2 23 58" xfId="32552"/>
    <cellStyle name="Suma 2 23 6" xfId="32553"/>
    <cellStyle name="Suma 2 23 6 2" xfId="32554"/>
    <cellStyle name="Suma 2 23 6 3" xfId="32555"/>
    <cellStyle name="Suma 2 23 6 4" xfId="32556"/>
    <cellStyle name="Suma 2 23 7" xfId="32557"/>
    <cellStyle name="Suma 2 23 7 2" xfId="32558"/>
    <cellStyle name="Suma 2 23 7 3" xfId="32559"/>
    <cellStyle name="Suma 2 23 7 4" xfId="32560"/>
    <cellStyle name="Suma 2 23 8" xfId="32561"/>
    <cellStyle name="Suma 2 23 8 2" xfId="32562"/>
    <cellStyle name="Suma 2 23 8 3" xfId="32563"/>
    <cellStyle name="Suma 2 23 8 4" xfId="32564"/>
    <cellStyle name="Suma 2 23 9" xfId="32565"/>
    <cellStyle name="Suma 2 23 9 2" xfId="32566"/>
    <cellStyle name="Suma 2 23 9 3" xfId="32567"/>
    <cellStyle name="Suma 2 23 9 4" xfId="32568"/>
    <cellStyle name="Suma 2 24" xfId="32569"/>
    <cellStyle name="Suma 2 24 10" xfId="32570"/>
    <cellStyle name="Suma 2 24 10 2" xfId="32571"/>
    <cellStyle name="Suma 2 24 10 3" xfId="32572"/>
    <cellStyle name="Suma 2 24 10 4" xfId="32573"/>
    <cellStyle name="Suma 2 24 11" xfId="32574"/>
    <cellStyle name="Suma 2 24 11 2" xfId="32575"/>
    <cellStyle name="Suma 2 24 11 3" xfId="32576"/>
    <cellStyle name="Suma 2 24 11 4" xfId="32577"/>
    <cellStyle name="Suma 2 24 12" xfId="32578"/>
    <cellStyle name="Suma 2 24 12 2" xfId="32579"/>
    <cellStyle name="Suma 2 24 12 3" xfId="32580"/>
    <cellStyle name="Suma 2 24 12 4" xfId="32581"/>
    <cellStyle name="Suma 2 24 13" xfId="32582"/>
    <cellStyle name="Suma 2 24 13 2" xfId="32583"/>
    <cellStyle name="Suma 2 24 13 3" xfId="32584"/>
    <cellStyle name="Suma 2 24 13 4" xfId="32585"/>
    <cellStyle name="Suma 2 24 14" xfId="32586"/>
    <cellStyle name="Suma 2 24 14 2" xfId="32587"/>
    <cellStyle name="Suma 2 24 14 3" xfId="32588"/>
    <cellStyle name="Suma 2 24 14 4" xfId="32589"/>
    <cellStyle name="Suma 2 24 15" xfId="32590"/>
    <cellStyle name="Suma 2 24 15 2" xfId="32591"/>
    <cellStyle name="Suma 2 24 15 3" xfId="32592"/>
    <cellStyle name="Suma 2 24 15 4" xfId="32593"/>
    <cellStyle name="Suma 2 24 16" xfId="32594"/>
    <cellStyle name="Suma 2 24 16 2" xfId="32595"/>
    <cellStyle name="Suma 2 24 16 3" xfId="32596"/>
    <cellStyle name="Suma 2 24 16 4" xfId="32597"/>
    <cellStyle name="Suma 2 24 17" xfId="32598"/>
    <cellStyle name="Suma 2 24 17 2" xfId="32599"/>
    <cellStyle name="Suma 2 24 17 3" xfId="32600"/>
    <cellStyle name="Suma 2 24 17 4" xfId="32601"/>
    <cellStyle name="Suma 2 24 18" xfId="32602"/>
    <cellStyle name="Suma 2 24 18 2" xfId="32603"/>
    <cellStyle name="Suma 2 24 18 3" xfId="32604"/>
    <cellStyle name="Suma 2 24 18 4" xfId="32605"/>
    <cellStyle name="Suma 2 24 19" xfId="32606"/>
    <cellStyle name="Suma 2 24 19 2" xfId="32607"/>
    <cellStyle name="Suma 2 24 19 3" xfId="32608"/>
    <cellStyle name="Suma 2 24 19 4" xfId="32609"/>
    <cellStyle name="Suma 2 24 2" xfId="32610"/>
    <cellStyle name="Suma 2 24 2 2" xfId="32611"/>
    <cellStyle name="Suma 2 24 2 3" xfId="32612"/>
    <cellStyle name="Suma 2 24 2 4" xfId="32613"/>
    <cellStyle name="Suma 2 24 20" xfId="32614"/>
    <cellStyle name="Suma 2 24 20 2" xfId="32615"/>
    <cellStyle name="Suma 2 24 20 3" xfId="32616"/>
    <cellStyle name="Suma 2 24 20 4" xfId="32617"/>
    <cellStyle name="Suma 2 24 21" xfId="32618"/>
    <cellStyle name="Suma 2 24 21 2" xfId="32619"/>
    <cellStyle name="Suma 2 24 21 3" xfId="32620"/>
    <cellStyle name="Suma 2 24 22" xfId="32621"/>
    <cellStyle name="Suma 2 24 22 2" xfId="32622"/>
    <cellStyle name="Suma 2 24 22 3" xfId="32623"/>
    <cellStyle name="Suma 2 24 23" xfId="32624"/>
    <cellStyle name="Suma 2 24 23 2" xfId="32625"/>
    <cellStyle name="Suma 2 24 23 3" xfId="32626"/>
    <cellStyle name="Suma 2 24 24" xfId="32627"/>
    <cellStyle name="Suma 2 24 24 2" xfId="32628"/>
    <cellStyle name="Suma 2 24 24 3" xfId="32629"/>
    <cellStyle name="Suma 2 24 25" xfId="32630"/>
    <cellStyle name="Suma 2 24 25 2" xfId="32631"/>
    <cellStyle name="Suma 2 24 25 3" xfId="32632"/>
    <cellStyle name="Suma 2 24 26" xfId="32633"/>
    <cellStyle name="Suma 2 24 26 2" xfId="32634"/>
    <cellStyle name="Suma 2 24 26 3" xfId="32635"/>
    <cellStyle name="Suma 2 24 27" xfId="32636"/>
    <cellStyle name="Suma 2 24 27 2" xfId="32637"/>
    <cellStyle name="Suma 2 24 27 3" xfId="32638"/>
    <cellStyle name="Suma 2 24 28" xfId="32639"/>
    <cellStyle name="Suma 2 24 28 2" xfId="32640"/>
    <cellStyle name="Suma 2 24 28 3" xfId="32641"/>
    <cellStyle name="Suma 2 24 29" xfId="32642"/>
    <cellStyle name="Suma 2 24 29 2" xfId="32643"/>
    <cellStyle name="Suma 2 24 29 3" xfId="32644"/>
    <cellStyle name="Suma 2 24 3" xfId="32645"/>
    <cellStyle name="Suma 2 24 3 2" xfId="32646"/>
    <cellStyle name="Suma 2 24 3 3" xfId="32647"/>
    <cellStyle name="Suma 2 24 3 4" xfId="32648"/>
    <cellStyle name="Suma 2 24 30" xfId="32649"/>
    <cellStyle name="Suma 2 24 30 2" xfId="32650"/>
    <cellStyle name="Suma 2 24 30 3" xfId="32651"/>
    <cellStyle name="Suma 2 24 31" xfId="32652"/>
    <cellStyle name="Suma 2 24 31 2" xfId="32653"/>
    <cellStyle name="Suma 2 24 31 3" xfId="32654"/>
    <cellStyle name="Suma 2 24 32" xfId="32655"/>
    <cellStyle name="Suma 2 24 32 2" xfId="32656"/>
    <cellStyle name="Suma 2 24 32 3" xfId="32657"/>
    <cellStyle name="Suma 2 24 33" xfId="32658"/>
    <cellStyle name="Suma 2 24 33 2" xfId="32659"/>
    <cellStyle name="Suma 2 24 33 3" xfId="32660"/>
    <cellStyle name="Suma 2 24 34" xfId="32661"/>
    <cellStyle name="Suma 2 24 34 2" xfId="32662"/>
    <cellStyle name="Suma 2 24 34 3" xfId="32663"/>
    <cellStyle name="Suma 2 24 35" xfId="32664"/>
    <cellStyle name="Suma 2 24 35 2" xfId="32665"/>
    <cellStyle name="Suma 2 24 35 3" xfId="32666"/>
    <cellStyle name="Suma 2 24 36" xfId="32667"/>
    <cellStyle name="Suma 2 24 36 2" xfId="32668"/>
    <cellStyle name="Suma 2 24 36 3" xfId="32669"/>
    <cellStyle name="Suma 2 24 37" xfId="32670"/>
    <cellStyle name="Suma 2 24 37 2" xfId="32671"/>
    <cellStyle name="Suma 2 24 37 3" xfId="32672"/>
    <cellStyle name="Suma 2 24 38" xfId="32673"/>
    <cellStyle name="Suma 2 24 38 2" xfId="32674"/>
    <cellStyle name="Suma 2 24 38 3" xfId="32675"/>
    <cellStyle name="Suma 2 24 39" xfId="32676"/>
    <cellStyle name="Suma 2 24 39 2" xfId="32677"/>
    <cellStyle name="Suma 2 24 39 3" xfId="32678"/>
    <cellStyle name="Suma 2 24 4" xfId="32679"/>
    <cellStyle name="Suma 2 24 4 2" xfId="32680"/>
    <cellStyle name="Suma 2 24 4 3" xfId="32681"/>
    <cellStyle name="Suma 2 24 4 4" xfId="32682"/>
    <cellStyle name="Suma 2 24 40" xfId="32683"/>
    <cellStyle name="Suma 2 24 40 2" xfId="32684"/>
    <cellStyle name="Suma 2 24 40 3" xfId="32685"/>
    <cellStyle name="Suma 2 24 41" xfId="32686"/>
    <cellStyle name="Suma 2 24 41 2" xfId="32687"/>
    <cellStyle name="Suma 2 24 41 3" xfId="32688"/>
    <cellStyle name="Suma 2 24 42" xfId="32689"/>
    <cellStyle name="Suma 2 24 42 2" xfId="32690"/>
    <cellStyle name="Suma 2 24 42 3" xfId="32691"/>
    <cellStyle name="Suma 2 24 43" xfId="32692"/>
    <cellStyle name="Suma 2 24 43 2" xfId="32693"/>
    <cellStyle name="Suma 2 24 43 3" xfId="32694"/>
    <cellStyle name="Suma 2 24 44" xfId="32695"/>
    <cellStyle name="Suma 2 24 44 2" xfId="32696"/>
    <cellStyle name="Suma 2 24 44 3" xfId="32697"/>
    <cellStyle name="Suma 2 24 45" xfId="32698"/>
    <cellStyle name="Suma 2 24 45 2" xfId="32699"/>
    <cellStyle name="Suma 2 24 45 3" xfId="32700"/>
    <cellStyle name="Suma 2 24 46" xfId="32701"/>
    <cellStyle name="Suma 2 24 46 2" xfId="32702"/>
    <cellStyle name="Suma 2 24 46 3" xfId="32703"/>
    <cellStyle name="Suma 2 24 47" xfId="32704"/>
    <cellStyle name="Suma 2 24 47 2" xfId="32705"/>
    <cellStyle name="Suma 2 24 47 3" xfId="32706"/>
    <cellStyle name="Suma 2 24 48" xfId="32707"/>
    <cellStyle name="Suma 2 24 48 2" xfId="32708"/>
    <cellStyle name="Suma 2 24 48 3" xfId="32709"/>
    <cellStyle name="Suma 2 24 49" xfId="32710"/>
    <cellStyle name="Suma 2 24 49 2" xfId="32711"/>
    <cellStyle name="Suma 2 24 49 3" xfId="32712"/>
    <cellStyle name="Suma 2 24 5" xfId="32713"/>
    <cellStyle name="Suma 2 24 5 2" xfId="32714"/>
    <cellStyle name="Suma 2 24 5 3" xfId="32715"/>
    <cellStyle name="Suma 2 24 5 4" xfId="32716"/>
    <cellStyle name="Suma 2 24 50" xfId="32717"/>
    <cellStyle name="Suma 2 24 50 2" xfId="32718"/>
    <cellStyle name="Suma 2 24 50 3" xfId="32719"/>
    <cellStyle name="Suma 2 24 51" xfId="32720"/>
    <cellStyle name="Suma 2 24 51 2" xfId="32721"/>
    <cellStyle name="Suma 2 24 51 3" xfId="32722"/>
    <cellStyle name="Suma 2 24 52" xfId="32723"/>
    <cellStyle name="Suma 2 24 52 2" xfId="32724"/>
    <cellStyle name="Suma 2 24 52 3" xfId="32725"/>
    <cellStyle name="Suma 2 24 53" xfId="32726"/>
    <cellStyle name="Suma 2 24 53 2" xfId="32727"/>
    <cellStyle name="Suma 2 24 53 3" xfId="32728"/>
    <cellStyle name="Suma 2 24 54" xfId="32729"/>
    <cellStyle name="Suma 2 24 54 2" xfId="32730"/>
    <cellStyle name="Suma 2 24 54 3" xfId="32731"/>
    <cellStyle name="Suma 2 24 55" xfId="32732"/>
    <cellStyle name="Suma 2 24 55 2" xfId="32733"/>
    <cellStyle name="Suma 2 24 55 3" xfId="32734"/>
    <cellStyle name="Suma 2 24 56" xfId="32735"/>
    <cellStyle name="Suma 2 24 56 2" xfId="32736"/>
    <cellStyle name="Suma 2 24 56 3" xfId="32737"/>
    <cellStyle name="Suma 2 24 57" xfId="32738"/>
    <cellStyle name="Suma 2 24 58" xfId="32739"/>
    <cellStyle name="Suma 2 24 6" xfId="32740"/>
    <cellStyle name="Suma 2 24 6 2" xfId="32741"/>
    <cellStyle name="Suma 2 24 6 3" xfId="32742"/>
    <cellStyle name="Suma 2 24 6 4" xfId="32743"/>
    <cellStyle name="Suma 2 24 7" xfId="32744"/>
    <cellStyle name="Suma 2 24 7 2" xfId="32745"/>
    <cellStyle name="Suma 2 24 7 3" xfId="32746"/>
    <cellStyle name="Suma 2 24 7 4" xfId="32747"/>
    <cellStyle name="Suma 2 24 8" xfId="32748"/>
    <cellStyle name="Suma 2 24 8 2" xfId="32749"/>
    <cellStyle name="Suma 2 24 8 3" xfId="32750"/>
    <cellStyle name="Suma 2 24 8 4" xfId="32751"/>
    <cellStyle name="Suma 2 24 9" xfId="32752"/>
    <cellStyle name="Suma 2 24 9 2" xfId="32753"/>
    <cellStyle name="Suma 2 24 9 3" xfId="32754"/>
    <cellStyle name="Suma 2 24 9 4" xfId="32755"/>
    <cellStyle name="Suma 2 25" xfId="32756"/>
    <cellStyle name="Suma 2 25 10" xfId="32757"/>
    <cellStyle name="Suma 2 25 10 2" xfId="32758"/>
    <cellStyle name="Suma 2 25 10 3" xfId="32759"/>
    <cellStyle name="Suma 2 25 10 4" xfId="32760"/>
    <cellStyle name="Suma 2 25 11" xfId="32761"/>
    <cellStyle name="Suma 2 25 11 2" xfId="32762"/>
    <cellStyle name="Suma 2 25 11 3" xfId="32763"/>
    <cellStyle name="Suma 2 25 11 4" xfId="32764"/>
    <cellStyle name="Suma 2 25 12" xfId="32765"/>
    <cellStyle name="Suma 2 25 12 2" xfId="32766"/>
    <cellStyle name="Suma 2 25 12 3" xfId="32767"/>
    <cellStyle name="Suma 2 25 12 4" xfId="32768"/>
    <cellStyle name="Suma 2 25 13" xfId="32769"/>
    <cellStyle name="Suma 2 25 13 2" xfId="32770"/>
    <cellStyle name="Suma 2 25 13 3" xfId="32771"/>
    <cellStyle name="Suma 2 25 13 4" xfId="32772"/>
    <cellStyle name="Suma 2 25 14" xfId="32773"/>
    <cellStyle name="Suma 2 25 14 2" xfId="32774"/>
    <cellStyle name="Suma 2 25 14 3" xfId="32775"/>
    <cellStyle name="Suma 2 25 14 4" xfId="32776"/>
    <cellStyle name="Suma 2 25 15" xfId="32777"/>
    <cellStyle name="Suma 2 25 15 2" xfId="32778"/>
    <cellStyle name="Suma 2 25 15 3" xfId="32779"/>
    <cellStyle name="Suma 2 25 15 4" xfId="32780"/>
    <cellStyle name="Suma 2 25 16" xfId="32781"/>
    <cellStyle name="Suma 2 25 16 2" xfId="32782"/>
    <cellStyle name="Suma 2 25 16 3" xfId="32783"/>
    <cellStyle name="Suma 2 25 16 4" xfId="32784"/>
    <cellStyle name="Suma 2 25 17" xfId="32785"/>
    <cellStyle name="Suma 2 25 17 2" xfId="32786"/>
    <cellStyle name="Suma 2 25 17 3" xfId="32787"/>
    <cellStyle name="Suma 2 25 17 4" xfId="32788"/>
    <cellStyle name="Suma 2 25 18" xfId="32789"/>
    <cellStyle name="Suma 2 25 18 2" xfId="32790"/>
    <cellStyle name="Suma 2 25 18 3" xfId="32791"/>
    <cellStyle name="Suma 2 25 18 4" xfId="32792"/>
    <cellStyle name="Suma 2 25 19" xfId="32793"/>
    <cellStyle name="Suma 2 25 19 2" xfId="32794"/>
    <cellStyle name="Suma 2 25 19 3" xfId="32795"/>
    <cellStyle name="Suma 2 25 19 4" xfId="32796"/>
    <cellStyle name="Suma 2 25 2" xfId="32797"/>
    <cellStyle name="Suma 2 25 2 2" xfId="32798"/>
    <cellStyle name="Suma 2 25 2 3" xfId="32799"/>
    <cellStyle name="Suma 2 25 2 4" xfId="32800"/>
    <cellStyle name="Suma 2 25 20" xfId="32801"/>
    <cellStyle name="Suma 2 25 20 2" xfId="32802"/>
    <cellStyle name="Suma 2 25 20 3" xfId="32803"/>
    <cellStyle name="Suma 2 25 20 4" xfId="32804"/>
    <cellStyle name="Suma 2 25 21" xfId="32805"/>
    <cellStyle name="Suma 2 25 21 2" xfId="32806"/>
    <cellStyle name="Suma 2 25 21 3" xfId="32807"/>
    <cellStyle name="Suma 2 25 22" xfId="32808"/>
    <cellStyle name="Suma 2 25 22 2" xfId="32809"/>
    <cellStyle name="Suma 2 25 22 3" xfId="32810"/>
    <cellStyle name="Suma 2 25 23" xfId="32811"/>
    <cellStyle name="Suma 2 25 23 2" xfId="32812"/>
    <cellStyle name="Suma 2 25 23 3" xfId="32813"/>
    <cellStyle name="Suma 2 25 24" xfId="32814"/>
    <cellStyle name="Suma 2 25 24 2" xfId="32815"/>
    <cellStyle name="Suma 2 25 24 3" xfId="32816"/>
    <cellStyle name="Suma 2 25 25" xfId="32817"/>
    <cellStyle name="Suma 2 25 25 2" xfId="32818"/>
    <cellStyle name="Suma 2 25 25 3" xfId="32819"/>
    <cellStyle name="Suma 2 25 26" xfId="32820"/>
    <cellStyle name="Suma 2 25 26 2" xfId="32821"/>
    <cellStyle name="Suma 2 25 26 3" xfId="32822"/>
    <cellStyle name="Suma 2 25 27" xfId="32823"/>
    <cellStyle name="Suma 2 25 27 2" xfId="32824"/>
    <cellStyle name="Suma 2 25 27 3" xfId="32825"/>
    <cellStyle name="Suma 2 25 28" xfId="32826"/>
    <cellStyle name="Suma 2 25 28 2" xfId="32827"/>
    <cellStyle name="Suma 2 25 28 3" xfId="32828"/>
    <cellStyle name="Suma 2 25 29" xfId="32829"/>
    <cellStyle name="Suma 2 25 29 2" xfId="32830"/>
    <cellStyle name="Suma 2 25 29 3" xfId="32831"/>
    <cellStyle name="Suma 2 25 3" xfId="32832"/>
    <cellStyle name="Suma 2 25 3 2" xfId="32833"/>
    <cellStyle name="Suma 2 25 3 3" xfId="32834"/>
    <cellStyle name="Suma 2 25 3 4" xfId="32835"/>
    <cellStyle name="Suma 2 25 30" xfId="32836"/>
    <cellStyle name="Suma 2 25 30 2" xfId="32837"/>
    <cellStyle name="Suma 2 25 30 3" xfId="32838"/>
    <cellStyle name="Suma 2 25 31" xfId="32839"/>
    <cellStyle name="Suma 2 25 31 2" xfId="32840"/>
    <cellStyle name="Suma 2 25 31 3" xfId="32841"/>
    <cellStyle name="Suma 2 25 32" xfId="32842"/>
    <cellStyle name="Suma 2 25 32 2" xfId="32843"/>
    <cellStyle name="Suma 2 25 32 3" xfId="32844"/>
    <cellStyle name="Suma 2 25 33" xfId="32845"/>
    <cellStyle name="Suma 2 25 33 2" xfId="32846"/>
    <cellStyle name="Suma 2 25 33 3" xfId="32847"/>
    <cellStyle name="Suma 2 25 34" xfId="32848"/>
    <cellStyle name="Suma 2 25 34 2" xfId="32849"/>
    <cellStyle name="Suma 2 25 34 3" xfId="32850"/>
    <cellStyle name="Suma 2 25 35" xfId="32851"/>
    <cellStyle name="Suma 2 25 35 2" xfId="32852"/>
    <cellStyle name="Suma 2 25 35 3" xfId="32853"/>
    <cellStyle name="Suma 2 25 36" xfId="32854"/>
    <cellStyle name="Suma 2 25 36 2" xfId="32855"/>
    <cellStyle name="Suma 2 25 36 3" xfId="32856"/>
    <cellStyle name="Suma 2 25 37" xfId="32857"/>
    <cellStyle name="Suma 2 25 37 2" xfId="32858"/>
    <cellStyle name="Suma 2 25 37 3" xfId="32859"/>
    <cellStyle name="Suma 2 25 38" xfId="32860"/>
    <cellStyle name="Suma 2 25 38 2" xfId="32861"/>
    <cellStyle name="Suma 2 25 38 3" xfId="32862"/>
    <cellStyle name="Suma 2 25 39" xfId="32863"/>
    <cellStyle name="Suma 2 25 39 2" xfId="32864"/>
    <cellStyle name="Suma 2 25 39 3" xfId="32865"/>
    <cellStyle name="Suma 2 25 4" xfId="32866"/>
    <cellStyle name="Suma 2 25 4 2" xfId="32867"/>
    <cellStyle name="Suma 2 25 4 3" xfId="32868"/>
    <cellStyle name="Suma 2 25 4 4" xfId="32869"/>
    <cellStyle name="Suma 2 25 40" xfId="32870"/>
    <cellStyle name="Suma 2 25 40 2" xfId="32871"/>
    <cellStyle name="Suma 2 25 40 3" xfId="32872"/>
    <cellStyle name="Suma 2 25 41" xfId="32873"/>
    <cellStyle name="Suma 2 25 41 2" xfId="32874"/>
    <cellStyle name="Suma 2 25 41 3" xfId="32875"/>
    <cellStyle name="Suma 2 25 42" xfId="32876"/>
    <cellStyle name="Suma 2 25 42 2" xfId="32877"/>
    <cellStyle name="Suma 2 25 42 3" xfId="32878"/>
    <cellStyle name="Suma 2 25 43" xfId="32879"/>
    <cellStyle name="Suma 2 25 43 2" xfId="32880"/>
    <cellStyle name="Suma 2 25 43 3" xfId="32881"/>
    <cellStyle name="Suma 2 25 44" xfId="32882"/>
    <cellStyle name="Suma 2 25 44 2" xfId="32883"/>
    <cellStyle name="Suma 2 25 44 3" xfId="32884"/>
    <cellStyle name="Suma 2 25 45" xfId="32885"/>
    <cellStyle name="Suma 2 25 45 2" xfId="32886"/>
    <cellStyle name="Suma 2 25 45 3" xfId="32887"/>
    <cellStyle name="Suma 2 25 46" xfId="32888"/>
    <cellStyle name="Suma 2 25 46 2" xfId="32889"/>
    <cellStyle name="Suma 2 25 46 3" xfId="32890"/>
    <cellStyle name="Suma 2 25 47" xfId="32891"/>
    <cellStyle name="Suma 2 25 47 2" xfId="32892"/>
    <cellStyle name="Suma 2 25 47 3" xfId="32893"/>
    <cellStyle name="Suma 2 25 48" xfId="32894"/>
    <cellStyle name="Suma 2 25 48 2" xfId="32895"/>
    <cellStyle name="Suma 2 25 48 3" xfId="32896"/>
    <cellStyle name="Suma 2 25 49" xfId="32897"/>
    <cellStyle name="Suma 2 25 49 2" xfId="32898"/>
    <cellStyle name="Suma 2 25 49 3" xfId="32899"/>
    <cellStyle name="Suma 2 25 5" xfId="32900"/>
    <cellStyle name="Suma 2 25 5 2" xfId="32901"/>
    <cellStyle name="Suma 2 25 5 3" xfId="32902"/>
    <cellStyle name="Suma 2 25 5 4" xfId="32903"/>
    <cellStyle name="Suma 2 25 50" xfId="32904"/>
    <cellStyle name="Suma 2 25 50 2" xfId="32905"/>
    <cellStyle name="Suma 2 25 50 3" xfId="32906"/>
    <cellStyle name="Suma 2 25 51" xfId="32907"/>
    <cellStyle name="Suma 2 25 51 2" xfId="32908"/>
    <cellStyle name="Suma 2 25 51 3" xfId="32909"/>
    <cellStyle name="Suma 2 25 52" xfId="32910"/>
    <cellStyle name="Suma 2 25 52 2" xfId="32911"/>
    <cellStyle name="Suma 2 25 52 3" xfId="32912"/>
    <cellStyle name="Suma 2 25 53" xfId="32913"/>
    <cellStyle name="Suma 2 25 53 2" xfId="32914"/>
    <cellStyle name="Suma 2 25 53 3" xfId="32915"/>
    <cellStyle name="Suma 2 25 54" xfId="32916"/>
    <cellStyle name="Suma 2 25 54 2" xfId="32917"/>
    <cellStyle name="Suma 2 25 54 3" xfId="32918"/>
    <cellStyle name="Suma 2 25 55" xfId="32919"/>
    <cellStyle name="Suma 2 25 55 2" xfId="32920"/>
    <cellStyle name="Suma 2 25 55 3" xfId="32921"/>
    <cellStyle name="Suma 2 25 56" xfId="32922"/>
    <cellStyle name="Suma 2 25 56 2" xfId="32923"/>
    <cellStyle name="Suma 2 25 56 3" xfId="32924"/>
    <cellStyle name="Suma 2 25 57" xfId="32925"/>
    <cellStyle name="Suma 2 25 58" xfId="32926"/>
    <cellStyle name="Suma 2 25 6" xfId="32927"/>
    <cellStyle name="Suma 2 25 6 2" xfId="32928"/>
    <cellStyle name="Suma 2 25 6 3" xfId="32929"/>
    <cellStyle name="Suma 2 25 6 4" xfId="32930"/>
    <cellStyle name="Suma 2 25 7" xfId="32931"/>
    <cellStyle name="Suma 2 25 7 2" xfId="32932"/>
    <cellStyle name="Suma 2 25 7 3" xfId="32933"/>
    <cellStyle name="Suma 2 25 7 4" xfId="32934"/>
    <cellStyle name="Suma 2 25 8" xfId="32935"/>
    <cellStyle name="Suma 2 25 8 2" xfId="32936"/>
    <cellStyle name="Suma 2 25 8 3" xfId="32937"/>
    <cellStyle name="Suma 2 25 8 4" xfId="32938"/>
    <cellStyle name="Suma 2 25 9" xfId="32939"/>
    <cellStyle name="Suma 2 25 9 2" xfId="32940"/>
    <cellStyle name="Suma 2 25 9 3" xfId="32941"/>
    <cellStyle name="Suma 2 25 9 4" xfId="32942"/>
    <cellStyle name="Suma 2 26" xfId="32943"/>
    <cellStyle name="Suma 2 26 10" xfId="32944"/>
    <cellStyle name="Suma 2 26 10 2" xfId="32945"/>
    <cellStyle name="Suma 2 26 10 3" xfId="32946"/>
    <cellStyle name="Suma 2 26 10 4" xfId="32947"/>
    <cellStyle name="Suma 2 26 11" xfId="32948"/>
    <cellStyle name="Suma 2 26 11 2" xfId="32949"/>
    <cellStyle name="Suma 2 26 11 3" xfId="32950"/>
    <cellStyle name="Suma 2 26 11 4" xfId="32951"/>
    <cellStyle name="Suma 2 26 12" xfId="32952"/>
    <cellStyle name="Suma 2 26 12 2" xfId="32953"/>
    <cellStyle name="Suma 2 26 12 3" xfId="32954"/>
    <cellStyle name="Suma 2 26 12 4" xfId="32955"/>
    <cellStyle name="Suma 2 26 13" xfId="32956"/>
    <cellStyle name="Suma 2 26 13 2" xfId="32957"/>
    <cellStyle name="Suma 2 26 13 3" xfId="32958"/>
    <cellStyle name="Suma 2 26 13 4" xfId="32959"/>
    <cellStyle name="Suma 2 26 14" xfId="32960"/>
    <cellStyle name="Suma 2 26 14 2" xfId="32961"/>
    <cellStyle name="Suma 2 26 14 3" xfId="32962"/>
    <cellStyle name="Suma 2 26 14 4" xfId="32963"/>
    <cellStyle name="Suma 2 26 15" xfId="32964"/>
    <cellStyle name="Suma 2 26 15 2" xfId="32965"/>
    <cellStyle name="Suma 2 26 15 3" xfId="32966"/>
    <cellStyle name="Suma 2 26 15 4" xfId="32967"/>
    <cellStyle name="Suma 2 26 16" xfId="32968"/>
    <cellStyle name="Suma 2 26 16 2" xfId="32969"/>
    <cellStyle name="Suma 2 26 16 3" xfId="32970"/>
    <cellStyle name="Suma 2 26 16 4" xfId="32971"/>
    <cellStyle name="Suma 2 26 17" xfId="32972"/>
    <cellStyle name="Suma 2 26 17 2" xfId="32973"/>
    <cellStyle name="Suma 2 26 17 3" xfId="32974"/>
    <cellStyle name="Suma 2 26 17 4" xfId="32975"/>
    <cellStyle name="Suma 2 26 18" xfId="32976"/>
    <cellStyle name="Suma 2 26 18 2" xfId="32977"/>
    <cellStyle name="Suma 2 26 18 3" xfId="32978"/>
    <cellStyle name="Suma 2 26 18 4" xfId="32979"/>
    <cellStyle name="Suma 2 26 19" xfId="32980"/>
    <cellStyle name="Suma 2 26 19 2" xfId="32981"/>
    <cellStyle name="Suma 2 26 19 3" xfId="32982"/>
    <cellStyle name="Suma 2 26 19 4" xfId="32983"/>
    <cellStyle name="Suma 2 26 2" xfId="32984"/>
    <cellStyle name="Suma 2 26 2 2" xfId="32985"/>
    <cellStyle name="Suma 2 26 2 3" xfId="32986"/>
    <cellStyle name="Suma 2 26 2 4" xfId="32987"/>
    <cellStyle name="Suma 2 26 20" xfId="32988"/>
    <cellStyle name="Suma 2 26 20 2" xfId="32989"/>
    <cellStyle name="Suma 2 26 20 3" xfId="32990"/>
    <cellStyle name="Suma 2 26 20 4" xfId="32991"/>
    <cellStyle name="Suma 2 26 21" xfId="32992"/>
    <cellStyle name="Suma 2 26 21 2" xfId="32993"/>
    <cellStyle name="Suma 2 26 21 3" xfId="32994"/>
    <cellStyle name="Suma 2 26 22" xfId="32995"/>
    <cellStyle name="Suma 2 26 22 2" xfId="32996"/>
    <cellStyle name="Suma 2 26 22 3" xfId="32997"/>
    <cellStyle name="Suma 2 26 23" xfId="32998"/>
    <cellStyle name="Suma 2 26 23 2" xfId="32999"/>
    <cellStyle name="Suma 2 26 23 3" xfId="33000"/>
    <cellStyle name="Suma 2 26 24" xfId="33001"/>
    <cellStyle name="Suma 2 26 24 2" xfId="33002"/>
    <cellStyle name="Suma 2 26 24 3" xfId="33003"/>
    <cellStyle name="Suma 2 26 25" xfId="33004"/>
    <cellStyle name="Suma 2 26 25 2" xfId="33005"/>
    <cellStyle name="Suma 2 26 25 3" xfId="33006"/>
    <cellStyle name="Suma 2 26 26" xfId="33007"/>
    <cellStyle name="Suma 2 26 26 2" xfId="33008"/>
    <cellStyle name="Suma 2 26 26 3" xfId="33009"/>
    <cellStyle name="Suma 2 26 27" xfId="33010"/>
    <cellStyle name="Suma 2 26 27 2" xfId="33011"/>
    <cellStyle name="Suma 2 26 27 3" xfId="33012"/>
    <cellStyle name="Suma 2 26 28" xfId="33013"/>
    <cellStyle name="Suma 2 26 28 2" xfId="33014"/>
    <cellStyle name="Suma 2 26 28 3" xfId="33015"/>
    <cellStyle name="Suma 2 26 29" xfId="33016"/>
    <cellStyle name="Suma 2 26 29 2" xfId="33017"/>
    <cellStyle name="Suma 2 26 29 3" xfId="33018"/>
    <cellStyle name="Suma 2 26 3" xfId="33019"/>
    <cellStyle name="Suma 2 26 3 2" xfId="33020"/>
    <cellStyle name="Suma 2 26 3 3" xfId="33021"/>
    <cellStyle name="Suma 2 26 3 4" xfId="33022"/>
    <cellStyle name="Suma 2 26 30" xfId="33023"/>
    <cellStyle name="Suma 2 26 30 2" xfId="33024"/>
    <cellStyle name="Suma 2 26 30 3" xfId="33025"/>
    <cellStyle name="Suma 2 26 31" xfId="33026"/>
    <cellStyle name="Suma 2 26 31 2" xfId="33027"/>
    <cellStyle name="Suma 2 26 31 3" xfId="33028"/>
    <cellStyle name="Suma 2 26 32" xfId="33029"/>
    <cellStyle name="Suma 2 26 32 2" xfId="33030"/>
    <cellStyle name="Suma 2 26 32 3" xfId="33031"/>
    <cellStyle name="Suma 2 26 33" xfId="33032"/>
    <cellStyle name="Suma 2 26 33 2" xfId="33033"/>
    <cellStyle name="Suma 2 26 33 3" xfId="33034"/>
    <cellStyle name="Suma 2 26 34" xfId="33035"/>
    <cellStyle name="Suma 2 26 34 2" xfId="33036"/>
    <cellStyle name="Suma 2 26 34 3" xfId="33037"/>
    <cellStyle name="Suma 2 26 35" xfId="33038"/>
    <cellStyle name="Suma 2 26 35 2" xfId="33039"/>
    <cellStyle name="Suma 2 26 35 3" xfId="33040"/>
    <cellStyle name="Suma 2 26 36" xfId="33041"/>
    <cellStyle name="Suma 2 26 36 2" xfId="33042"/>
    <cellStyle name="Suma 2 26 36 3" xfId="33043"/>
    <cellStyle name="Suma 2 26 37" xfId="33044"/>
    <cellStyle name="Suma 2 26 37 2" xfId="33045"/>
    <cellStyle name="Suma 2 26 37 3" xfId="33046"/>
    <cellStyle name="Suma 2 26 38" xfId="33047"/>
    <cellStyle name="Suma 2 26 38 2" xfId="33048"/>
    <cellStyle name="Suma 2 26 38 3" xfId="33049"/>
    <cellStyle name="Suma 2 26 39" xfId="33050"/>
    <cellStyle name="Suma 2 26 39 2" xfId="33051"/>
    <cellStyle name="Suma 2 26 39 3" xfId="33052"/>
    <cellStyle name="Suma 2 26 4" xfId="33053"/>
    <cellStyle name="Suma 2 26 4 2" xfId="33054"/>
    <cellStyle name="Suma 2 26 4 3" xfId="33055"/>
    <cellStyle name="Suma 2 26 4 4" xfId="33056"/>
    <cellStyle name="Suma 2 26 40" xfId="33057"/>
    <cellStyle name="Suma 2 26 40 2" xfId="33058"/>
    <cellStyle name="Suma 2 26 40 3" xfId="33059"/>
    <cellStyle name="Suma 2 26 41" xfId="33060"/>
    <cellStyle name="Suma 2 26 41 2" xfId="33061"/>
    <cellStyle name="Suma 2 26 41 3" xfId="33062"/>
    <cellStyle name="Suma 2 26 42" xfId="33063"/>
    <cellStyle name="Suma 2 26 42 2" xfId="33064"/>
    <cellStyle name="Suma 2 26 42 3" xfId="33065"/>
    <cellStyle name="Suma 2 26 43" xfId="33066"/>
    <cellStyle name="Suma 2 26 43 2" xfId="33067"/>
    <cellStyle name="Suma 2 26 43 3" xfId="33068"/>
    <cellStyle name="Suma 2 26 44" xfId="33069"/>
    <cellStyle name="Suma 2 26 44 2" xfId="33070"/>
    <cellStyle name="Suma 2 26 44 3" xfId="33071"/>
    <cellStyle name="Suma 2 26 45" xfId="33072"/>
    <cellStyle name="Suma 2 26 45 2" xfId="33073"/>
    <cellStyle name="Suma 2 26 45 3" xfId="33074"/>
    <cellStyle name="Suma 2 26 46" xfId="33075"/>
    <cellStyle name="Suma 2 26 46 2" xfId="33076"/>
    <cellStyle name="Suma 2 26 46 3" xfId="33077"/>
    <cellStyle name="Suma 2 26 47" xfId="33078"/>
    <cellStyle name="Suma 2 26 47 2" xfId="33079"/>
    <cellStyle name="Suma 2 26 47 3" xfId="33080"/>
    <cellStyle name="Suma 2 26 48" xfId="33081"/>
    <cellStyle name="Suma 2 26 48 2" xfId="33082"/>
    <cellStyle name="Suma 2 26 48 3" xfId="33083"/>
    <cellStyle name="Suma 2 26 49" xfId="33084"/>
    <cellStyle name="Suma 2 26 49 2" xfId="33085"/>
    <cellStyle name="Suma 2 26 49 3" xfId="33086"/>
    <cellStyle name="Suma 2 26 5" xfId="33087"/>
    <cellStyle name="Suma 2 26 5 2" xfId="33088"/>
    <cellStyle name="Suma 2 26 5 3" xfId="33089"/>
    <cellStyle name="Suma 2 26 5 4" xfId="33090"/>
    <cellStyle name="Suma 2 26 50" xfId="33091"/>
    <cellStyle name="Suma 2 26 50 2" xfId="33092"/>
    <cellStyle name="Suma 2 26 50 3" xfId="33093"/>
    <cellStyle name="Suma 2 26 51" xfId="33094"/>
    <cellStyle name="Suma 2 26 51 2" xfId="33095"/>
    <cellStyle name="Suma 2 26 51 3" xfId="33096"/>
    <cellStyle name="Suma 2 26 52" xfId="33097"/>
    <cellStyle name="Suma 2 26 52 2" xfId="33098"/>
    <cellStyle name="Suma 2 26 52 3" xfId="33099"/>
    <cellStyle name="Suma 2 26 53" xfId="33100"/>
    <cellStyle name="Suma 2 26 53 2" xfId="33101"/>
    <cellStyle name="Suma 2 26 53 3" xfId="33102"/>
    <cellStyle name="Suma 2 26 54" xfId="33103"/>
    <cellStyle name="Suma 2 26 54 2" xfId="33104"/>
    <cellStyle name="Suma 2 26 54 3" xfId="33105"/>
    <cellStyle name="Suma 2 26 55" xfId="33106"/>
    <cellStyle name="Suma 2 26 55 2" xfId="33107"/>
    <cellStyle name="Suma 2 26 55 3" xfId="33108"/>
    <cellStyle name="Suma 2 26 56" xfId="33109"/>
    <cellStyle name="Suma 2 26 56 2" xfId="33110"/>
    <cellStyle name="Suma 2 26 56 3" xfId="33111"/>
    <cellStyle name="Suma 2 26 57" xfId="33112"/>
    <cellStyle name="Suma 2 26 58" xfId="33113"/>
    <cellStyle name="Suma 2 26 6" xfId="33114"/>
    <cellStyle name="Suma 2 26 6 2" xfId="33115"/>
    <cellStyle name="Suma 2 26 6 3" xfId="33116"/>
    <cellStyle name="Suma 2 26 6 4" xfId="33117"/>
    <cellStyle name="Suma 2 26 7" xfId="33118"/>
    <cellStyle name="Suma 2 26 7 2" xfId="33119"/>
    <cellStyle name="Suma 2 26 7 3" xfId="33120"/>
    <cellStyle name="Suma 2 26 7 4" xfId="33121"/>
    <cellStyle name="Suma 2 26 8" xfId="33122"/>
    <cellStyle name="Suma 2 26 8 2" xfId="33123"/>
    <cellStyle name="Suma 2 26 8 3" xfId="33124"/>
    <cellStyle name="Suma 2 26 8 4" xfId="33125"/>
    <cellStyle name="Suma 2 26 9" xfId="33126"/>
    <cellStyle name="Suma 2 26 9 2" xfId="33127"/>
    <cellStyle name="Suma 2 26 9 3" xfId="33128"/>
    <cellStyle name="Suma 2 26 9 4" xfId="33129"/>
    <cellStyle name="Suma 2 27" xfId="33130"/>
    <cellStyle name="Suma 2 27 10" xfId="33131"/>
    <cellStyle name="Suma 2 27 10 2" xfId="33132"/>
    <cellStyle name="Suma 2 27 10 3" xfId="33133"/>
    <cellStyle name="Suma 2 27 10 4" xfId="33134"/>
    <cellStyle name="Suma 2 27 11" xfId="33135"/>
    <cellStyle name="Suma 2 27 11 2" xfId="33136"/>
    <cellStyle name="Suma 2 27 11 3" xfId="33137"/>
    <cellStyle name="Suma 2 27 11 4" xfId="33138"/>
    <cellStyle name="Suma 2 27 12" xfId="33139"/>
    <cellStyle name="Suma 2 27 12 2" xfId="33140"/>
    <cellStyle name="Suma 2 27 12 3" xfId="33141"/>
    <cellStyle name="Suma 2 27 12 4" xfId="33142"/>
    <cellStyle name="Suma 2 27 13" xfId="33143"/>
    <cellStyle name="Suma 2 27 13 2" xfId="33144"/>
    <cellStyle name="Suma 2 27 13 3" xfId="33145"/>
    <cellStyle name="Suma 2 27 13 4" xfId="33146"/>
    <cellStyle name="Suma 2 27 14" xfId="33147"/>
    <cellStyle name="Suma 2 27 14 2" xfId="33148"/>
    <cellStyle name="Suma 2 27 14 3" xfId="33149"/>
    <cellStyle name="Suma 2 27 14 4" xfId="33150"/>
    <cellStyle name="Suma 2 27 15" xfId="33151"/>
    <cellStyle name="Suma 2 27 15 2" xfId="33152"/>
    <cellStyle name="Suma 2 27 15 3" xfId="33153"/>
    <cellStyle name="Suma 2 27 15 4" xfId="33154"/>
    <cellStyle name="Suma 2 27 16" xfId="33155"/>
    <cellStyle name="Suma 2 27 16 2" xfId="33156"/>
    <cellStyle name="Suma 2 27 16 3" xfId="33157"/>
    <cellStyle name="Suma 2 27 16 4" xfId="33158"/>
    <cellStyle name="Suma 2 27 17" xfId="33159"/>
    <cellStyle name="Suma 2 27 17 2" xfId="33160"/>
    <cellStyle name="Suma 2 27 17 3" xfId="33161"/>
    <cellStyle name="Suma 2 27 17 4" xfId="33162"/>
    <cellStyle name="Suma 2 27 18" xfId="33163"/>
    <cellStyle name="Suma 2 27 18 2" xfId="33164"/>
    <cellStyle name="Suma 2 27 18 3" xfId="33165"/>
    <cellStyle name="Suma 2 27 18 4" xfId="33166"/>
    <cellStyle name="Suma 2 27 19" xfId="33167"/>
    <cellStyle name="Suma 2 27 19 2" xfId="33168"/>
    <cellStyle name="Suma 2 27 19 3" xfId="33169"/>
    <cellStyle name="Suma 2 27 19 4" xfId="33170"/>
    <cellStyle name="Suma 2 27 2" xfId="33171"/>
    <cellStyle name="Suma 2 27 2 2" xfId="33172"/>
    <cellStyle name="Suma 2 27 2 3" xfId="33173"/>
    <cellStyle name="Suma 2 27 2 4" xfId="33174"/>
    <cellStyle name="Suma 2 27 20" xfId="33175"/>
    <cellStyle name="Suma 2 27 20 2" xfId="33176"/>
    <cellStyle name="Suma 2 27 20 3" xfId="33177"/>
    <cellStyle name="Suma 2 27 20 4" xfId="33178"/>
    <cellStyle name="Suma 2 27 21" xfId="33179"/>
    <cellStyle name="Suma 2 27 21 2" xfId="33180"/>
    <cellStyle name="Suma 2 27 21 3" xfId="33181"/>
    <cellStyle name="Suma 2 27 22" xfId="33182"/>
    <cellStyle name="Suma 2 27 22 2" xfId="33183"/>
    <cellStyle name="Suma 2 27 22 3" xfId="33184"/>
    <cellStyle name="Suma 2 27 23" xfId="33185"/>
    <cellStyle name="Suma 2 27 23 2" xfId="33186"/>
    <cellStyle name="Suma 2 27 23 3" xfId="33187"/>
    <cellStyle name="Suma 2 27 24" xfId="33188"/>
    <cellStyle name="Suma 2 27 24 2" xfId="33189"/>
    <cellStyle name="Suma 2 27 24 3" xfId="33190"/>
    <cellStyle name="Suma 2 27 25" xfId="33191"/>
    <cellStyle name="Suma 2 27 25 2" xfId="33192"/>
    <cellStyle name="Suma 2 27 25 3" xfId="33193"/>
    <cellStyle name="Suma 2 27 26" xfId="33194"/>
    <cellStyle name="Suma 2 27 26 2" xfId="33195"/>
    <cellStyle name="Suma 2 27 26 3" xfId="33196"/>
    <cellStyle name="Suma 2 27 27" xfId="33197"/>
    <cellStyle name="Suma 2 27 27 2" xfId="33198"/>
    <cellStyle name="Suma 2 27 27 3" xfId="33199"/>
    <cellStyle name="Suma 2 27 28" xfId="33200"/>
    <cellStyle name="Suma 2 27 28 2" xfId="33201"/>
    <cellStyle name="Suma 2 27 28 3" xfId="33202"/>
    <cellStyle name="Suma 2 27 29" xfId="33203"/>
    <cellStyle name="Suma 2 27 29 2" xfId="33204"/>
    <cellStyle name="Suma 2 27 29 3" xfId="33205"/>
    <cellStyle name="Suma 2 27 3" xfId="33206"/>
    <cellStyle name="Suma 2 27 3 2" xfId="33207"/>
    <cellStyle name="Suma 2 27 3 3" xfId="33208"/>
    <cellStyle name="Suma 2 27 3 4" xfId="33209"/>
    <cellStyle name="Suma 2 27 30" xfId="33210"/>
    <cellStyle name="Suma 2 27 30 2" xfId="33211"/>
    <cellStyle name="Suma 2 27 30 3" xfId="33212"/>
    <cellStyle name="Suma 2 27 31" xfId="33213"/>
    <cellStyle name="Suma 2 27 31 2" xfId="33214"/>
    <cellStyle name="Suma 2 27 31 3" xfId="33215"/>
    <cellStyle name="Suma 2 27 32" xfId="33216"/>
    <cellStyle name="Suma 2 27 32 2" xfId="33217"/>
    <cellStyle name="Suma 2 27 32 3" xfId="33218"/>
    <cellStyle name="Suma 2 27 33" xfId="33219"/>
    <cellStyle name="Suma 2 27 33 2" xfId="33220"/>
    <cellStyle name="Suma 2 27 33 3" xfId="33221"/>
    <cellStyle name="Suma 2 27 34" xfId="33222"/>
    <cellStyle name="Suma 2 27 34 2" xfId="33223"/>
    <cellStyle name="Suma 2 27 34 3" xfId="33224"/>
    <cellStyle name="Suma 2 27 35" xfId="33225"/>
    <cellStyle name="Suma 2 27 35 2" xfId="33226"/>
    <cellStyle name="Suma 2 27 35 3" xfId="33227"/>
    <cellStyle name="Suma 2 27 36" xfId="33228"/>
    <cellStyle name="Suma 2 27 36 2" xfId="33229"/>
    <cellStyle name="Suma 2 27 36 3" xfId="33230"/>
    <cellStyle name="Suma 2 27 37" xfId="33231"/>
    <cellStyle name="Suma 2 27 37 2" xfId="33232"/>
    <cellStyle name="Suma 2 27 37 3" xfId="33233"/>
    <cellStyle name="Suma 2 27 38" xfId="33234"/>
    <cellStyle name="Suma 2 27 38 2" xfId="33235"/>
    <cellStyle name="Suma 2 27 38 3" xfId="33236"/>
    <cellStyle name="Suma 2 27 39" xfId="33237"/>
    <cellStyle name="Suma 2 27 39 2" xfId="33238"/>
    <cellStyle name="Suma 2 27 39 3" xfId="33239"/>
    <cellStyle name="Suma 2 27 4" xfId="33240"/>
    <cellStyle name="Suma 2 27 4 2" xfId="33241"/>
    <cellStyle name="Suma 2 27 4 3" xfId="33242"/>
    <cellStyle name="Suma 2 27 4 4" xfId="33243"/>
    <cellStyle name="Suma 2 27 40" xfId="33244"/>
    <cellStyle name="Suma 2 27 40 2" xfId="33245"/>
    <cellStyle name="Suma 2 27 40 3" xfId="33246"/>
    <cellStyle name="Suma 2 27 41" xfId="33247"/>
    <cellStyle name="Suma 2 27 41 2" xfId="33248"/>
    <cellStyle name="Suma 2 27 41 3" xfId="33249"/>
    <cellStyle name="Suma 2 27 42" xfId="33250"/>
    <cellStyle name="Suma 2 27 42 2" xfId="33251"/>
    <cellStyle name="Suma 2 27 42 3" xfId="33252"/>
    <cellStyle name="Suma 2 27 43" xfId="33253"/>
    <cellStyle name="Suma 2 27 43 2" xfId="33254"/>
    <cellStyle name="Suma 2 27 43 3" xfId="33255"/>
    <cellStyle name="Suma 2 27 44" xfId="33256"/>
    <cellStyle name="Suma 2 27 44 2" xfId="33257"/>
    <cellStyle name="Suma 2 27 44 3" xfId="33258"/>
    <cellStyle name="Suma 2 27 45" xfId="33259"/>
    <cellStyle name="Suma 2 27 45 2" xfId="33260"/>
    <cellStyle name="Suma 2 27 45 3" xfId="33261"/>
    <cellStyle name="Suma 2 27 46" xfId="33262"/>
    <cellStyle name="Suma 2 27 46 2" xfId="33263"/>
    <cellStyle name="Suma 2 27 46 3" xfId="33264"/>
    <cellStyle name="Suma 2 27 47" xfId="33265"/>
    <cellStyle name="Suma 2 27 47 2" xfId="33266"/>
    <cellStyle name="Suma 2 27 47 3" xfId="33267"/>
    <cellStyle name="Suma 2 27 48" xfId="33268"/>
    <cellStyle name="Suma 2 27 48 2" xfId="33269"/>
    <cellStyle name="Suma 2 27 48 3" xfId="33270"/>
    <cellStyle name="Suma 2 27 49" xfId="33271"/>
    <cellStyle name="Suma 2 27 49 2" xfId="33272"/>
    <cellStyle name="Suma 2 27 49 3" xfId="33273"/>
    <cellStyle name="Suma 2 27 5" xfId="33274"/>
    <cellStyle name="Suma 2 27 5 2" xfId="33275"/>
    <cellStyle name="Suma 2 27 5 3" xfId="33276"/>
    <cellStyle name="Suma 2 27 5 4" xfId="33277"/>
    <cellStyle name="Suma 2 27 50" xfId="33278"/>
    <cellStyle name="Suma 2 27 50 2" xfId="33279"/>
    <cellStyle name="Suma 2 27 50 3" xfId="33280"/>
    <cellStyle name="Suma 2 27 51" xfId="33281"/>
    <cellStyle name="Suma 2 27 51 2" xfId="33282"/>
    <cellStyle name="Suma 2 27 51 3" xfId="33283"/>
    <cellStyle name="Suma 2 27 52" xfId="33284"/>
    <cellStyle name="Suma 2 27 52 2" xfId="33285"/>
    <cellStyle name="Suma 2 27 52 3" xfId="33286"/>
    <cellStyle name="Suma 2 27 53" xfId="33287"/>
    <cellStyle name="Suma 2 27 53 2" xfId="33288"/>
    <cellStyle name="Suma 2 27 53 3" xfId="33289"/>
    <cellStyle name="Suma 2 27 54" xfId="33290"/>
    <cellStyle name="Suma 2 27 54 2" xfId="33291"/>
    <cellStyle name="Suma 2 27 54 3" xfId="33292"/>
    <cellStyle name="Suma 2 27 55" xfId="33293"/>
    <cellStyle name="Suma 2 27 55 2" xfId="33294"/>
    <cellStyle name="Suma 2 27 55 3" xfId="33295"/>
    <cellStyle name="Suma 2 27 56" xfId="33296"/>
    <cellStyle name="Suma 2 27 56 2" xfId="33297"/>
    <cellStyle name="Suma 2 27 56 3" xfId="33298"/>
    <cellStyle name="Suma 2 27 57" xfId="33299"/>
    <cellStyle name="Suma 2 27 58" xfId="33300"/>
    <cellStyle name="Suma 2 27 6" xfId="33301"/>
    <cellStyle name="Suma 2 27 6 2" xfId="33302"/>
    <cellStyle name="Suma 2 27 6 3" xfId="33303"/>
    <cellStyle name="Suma 2 27 6 4" xfId="33304"/>
    <cellStyle name="Suma 2 27 7" xfId="33305"/>
    <cellStyle name="Suma 2 27 7 2" xfId="33306"/>
    <cellStyle name="Suma 2 27 7 3" xfId="33307"/>
    <cellStyle name="Suma 2 27 7 4" xfId="33308"/>
    <cellStyle name="Suma 2 27 8" xfId="33309"/>
    <cellStyle name="Suma 2 27 8 2" xfId="33310"/>
    <cellStyle name="Suma 2 27 8 3" xfId="33311"/>
    <cellStyle name="Suma 2 27 8 4" xfId="33312"/>
    <cellStyle name="Suma 2 27 9" xfId="33313"/>
    <cellStyle name="Suma 2 27 9 2" xfId="33314"/>
    <cellStyle name="Suma 2 27 9 3" xfId="33315"/>
    <cellStyle name="Suma 2 27 9 4" xfId="33316"/>
    <cellStyle name="Suma 2 28" xfId="33317"/>
    <cellStyle name="Suma 2 28 10" xfId="33318"/>
    <cellStyle name="Suma 2 28 10 2" xfId="33319"/>
    <cellStyle name="Suma 2 28 10 3" xfId="33320"/>
    <cellStyle name="Suma 2 28 10 4" xfId="33321"/>
    <cellStyle name="Suma 2 28 11" xfId="33322"/>
    <cellStyle name="Suma 2 28 11 2" xfId="33323"/>
    <cellStyle name="Suma 2 28 11 3" xfId="33324"/>
    <cellStyle name="Suma 2 28 11 4" xfId="33325"/>
    <cellStyle name="Suma 2 28 12" xfId="33326"/>
    <cellStyle name="Suma 2 28 12 2" xfId="33327"/>
    <cellStyle name="Suma 2 28 12 3" xfId="33328"/>
    <cellStyle name="Suma 2 28 12 4" xfId="33329"/>
    <cellStyle name="Suma 2 28 13" xfId="33330"/>
    <cellStyle name="Suma 2 28 13 2" xfId="33331"/>
    <cellStyle name="Suma 2 28 13 3" xfId="33332"/>
    <cellStyle name="Suma 2 28 13 4" xfId="33333"/>
    <cellStyle name="Suma 2 28 14" xfId="33334"/>
    <cellStyle name="Suma 2 28 14 2" xfId="33335"/>
    <cellStyle name="Suma 2 28 14 3" xfId="33336"/>
    <cellStyle name="Suma 2 28 14 4" xfId="33337"/>
    <cellStyle name="Suma 2 28 15" xfId="33338"/>
    <cellStyle name="Suma 2 28 15 2" xfId="33339"/>
    <cellStyle name="Suma 2 28 15 3" xfId="33340"/>
    <cellStyle name="Suma 2 28 15 4" xfId="33341"/>
    <cellStyle name="Suma 2 28 16" xfId="33342"/>
    <cellStyle name="Suma 2 28 16 2" xfId="33343"/>
    <cellStyle name="Suma 2 28 16 3" xfId="33344"/>
    <cellStyle name="Suma 2 28 16 4" xfId="33345"/>
    <cellStyle name="Suma 2 28 17" xfId="33346"/>
    <cellStyle name="Suma 2 28 17 2" xfId="33347"/>
    <cellStyle name="Suma 2 28 17 3" xfId="33348"/>
    <cellStyle name="Suma 2 28 17 4" xfId="33349"/>
    <cellStyle name="Suma 2 28 18" xfId="33350"/>
    <cellStyle name="Suma 2 28 18 2" xfId="33351"/>
    <cellStyle name="Suma 2 28 18 3" xfId="33352"/>
    <cellStyle name="Suma 2 28 18 4" xfId="33353"/>
    <cellStyle name="Suma 2 28 19" xfId="33354"/>
    <cellStyle name="Suma 2 28 19 2" xfId="33355"/>
    <cellStyle name="Suma 2 28 19 3" xfId="33356"/>
    <cellStyle name="Suma 2 28 19 4" xfId="33357"/>
    <cellStyle name="Suma 2 28 2" xfId="33358"/>
    <cellStyle name="Suma 2 28 2 2" xfId="33359"/>
    <cellStyle name="Suma 2 28 2 3" xfId="33360"/>
    <cellStyle name="Suma 2 28 2 4" xfId="33361"/>
    <cellStyle name="Suma 2 28 20" xfId="33362"/>
    <cellStyle name="Suma 2 28 20 2" xfId="33363"/>
    <cellStyle name="Suma 2 28 20 3" xfId="33364"/>
    <cellStyle name="Suma 2 28 20 4" xfId="33365"/>
    <cellStyle name="Suma 2 28 21" xfId="33366"/>
    <cellStyle name="Suma 2 28 21 2" xfId="33367"/>
    <cellStyle name="Suma 2 28 21 3" xfId="33368"/>
    <cellStyle name="Suma 2 28 22" xfId="33369"/>
    <cellStyle name="Suma 2 28 22 2" xfId="33370"/>
    <cellStyle name="Suma 2 28 22 3" xfId="33371"/>
    <cellStyle name="Suma 2 28 23" xfId="33372"/>
    <cellStyle name="Suma 2 28 23 2" xfId="33373"/>
    <cellStyle name="Suma 2 28 23 3" xfId="33374"/>
    <cellStyle name="Suma 2 28 24" xfId="33375"/>
    <cellStyle name="Suma 2 28 24 2" xfId="33376"/>
    <cellStyle name="Suma 2 28 24 3" xfId="33377"/>
    <cellStyle name="Suma 2 28 25" xfId="33378"/>
    <cellStyle name="Suma 2 28 25 2" xfId="33379"/>
    <cellStyle name="Suma 2 28 25 3" xfId="33380"/>
    <cellStyle name="Suma 2 28 26" xfId="33381"/>
    <cellStyle name="Suma 2 28 26 2" xfId="33382"/>
    <cellStyle name="Suma 2 28 26 3" xfId="33383"/>
    <cellStyle name="Suma 2 28 27" xfId="33384"/>
    <cellStyle name="Suma 2 28 27 2" xfId="33385"/>
    <cellStyle name="Suma 2 28 27 3" xfId="33386"/>
    <cellStyle name="Suma 2 28 28" xfId="33387"/>
    <cellStyle name="Suma 2 28 28 2" xfId="33388"/>
    <cellStyle name="Suma 2 28 28 3" xfId="33389"/>
    <cellStyle name="Suma 2 28 29" xfId="33390"/>
    <cellStyle name="Suma 2 28 29 2" xfId="33391"/>
    <cellStyle name="Suma 2 28 29 3" xfId="33392"/>
    <cellStyle name="Suma 2 28 3" xfId="33393"/>
    <cellStyle name="Suma 2 28 3 2" xfId="33394"/>
    <cellStyle name="Suma 2 28 3 3" xfId="33395"/>
    <cellStyle name="Suma 2 28 3 4" xfId="33396"/>
    <cellStyle name="Suma 2 28 30" xfId="33397"/>
    <cellStyle name="Suma 2 28 30 2" xfId="33398"/>
    <cellStyle name="Suma 2 28 30 3" xfId="33399"/>
    <cellStyle name="Suma 2 28 31" xfId="33400"/>
    <cellStyle name="Suma 2 28 31 2" xfId="33401"/>
    <cellStyle name="Suma 2 28 31 3" xfId="33402"/>
    <cellStyle name="Suma 2 28 32" xfId="33403"/>
    <cellStyle name="Suma 2 28 32 2" xfId="33404"/>
    <cellStyle name="Suma 2 28 32 3" xfId="33405"/>
    <cellStyle name="Suma 2 28 33" xfId="33406"/>
    <cellStyle name="Suma 2 28 33 2" xfId="33407"/>
    <cellStyle name="Suma 2 28 33 3" xfId="33408"/>
    <cellStyle name="Suma 2 28 34" xfId="33409"/>
    <cellStyle name="Suma 2 28 34 2" xfId="33410"/>
    <cellStyle name="Suma 2 28 34 3" xfId="33411"/>
    <cellStyle name="Suma 2 28 35" xfId="33412"/>
    <cellStyle name="Suma 2 28 35 2" xfId="33413"/>
    <cellStyle name="Suma 2 28 35 3" xfId="33414"/>
    <cellStyle name="Suma 2 28 36" xfId="33415"/>
    <cellStyle name="Suma 2 28 36 2" xfId="33416"/>
    <cellStyle name="Suma 2 28 36 3" xfId="33417"/>
    <cellStyle name="Suma 2 28 37" xfId="33418"/>
    <cellStyle name="Suma 2 28 37 2" xfId="33419"/>
    <cellStyle name="Suma 2 28 37 3" xfId="33420"/>
    <cellStyle name="Suma 2 28 38" xfId="33421"/>
    <cellStyle name="Suma 2 28 38 2" xfId="33422"/>
    <cellStyle name="Suma 2 28 38 3" xfId="33423"/>
    <cellStyle name="Suma 2 28 39" xfId="33424"/>
    <cellStyle name="Suma 2 28 39 2" xfId="33425"/>
    <cellStyle name="Suma 2 28 39 3" xfId="33426"/>
    <cellStyle name="Suma 2 28 4" xfId="33427"/>
    <cellStyle name="Suma 2 28 4 2" xfId="33428"/>
    <cellStyle name="Suma 2 28 4 3" xfId="33429"/>
    <cellStyle name="Suma 2 28 4 4" xfId="33430"/>
    <cellStyle name="Suma 2 28 40" xfId="33431"/>
    <cellStyle name="Suma 2 28 40 2" xfId="33432"/>
    <cellStyle name="Suma 2 28 40 3" xfId="33433"/>
    <cellStyle name="Suma 2 28 41" xfId="33434"/>
    <cellStyle name="Suma 2 28 41 2" xfId="33435"/>
    <cellStyle name="Suma 2 28 41 3" xfId="33436"/>
    <cellStyle name="Suma 2 28 42" xfId="33437"/>
    <cellStyle name="Suma 2 28 42 2" xfId="33438"/>
    <cellStyle name="Suma 2 28 42 3" xfId="33439"/>
    <cellStyle name="Suma 2 28 43" xfId="33440"/>
    <cellStyle name="Suma 2 28 43 2" xfId="33441"/>
    <cellStyle name="Suma 2 28 43 3" xfId="33442"/>
    <cellStyle name="Suma 2 28 44" xfId="33443"/>
    <cellStyle name="Suma 2 28 44 2" xfId="33444"/>
    <cellStyle name="Suma 2 28 44 3" xfId="33445"/>
    <cellStyle name="Suma 2 28 45" xfId="33446"/>
    <cellStyle name="Suma 2 28 45 2" xfId="33447"/>
    <cellStyle name="Suma 2 28 45 3" xfId="33448"/>
    <cellStyle name="Suma 2 28 46" xfId="33449"/>
    <cellStyle name="Suma 2 28 46 2" xfId="33450"/>
    <cellStyle name="Suma 2 28 46 3" xfId="33451"/>
    <cellStyle name="Suma 2 28 47" xfId="33452"/>
    <cellStyle name="Suma 2 28 47 2" xfId="33453"/>
    <cellStyle name="Suma 2 28 47 3" xfId="33454"/>
    <cellStyle name="Suma 2 28 48" xfId="33455"/>
    <cellStyle name="Suma 2 28 48 2" xfId="33456"/>
    <cellStyle name="Suma 2 28 48 3" xfId="33457"/>
    <cellStyle name="Suma 2 28 49" xfId="33458"/>
    <cellStyle name="Suma 2 28 49 2" xfId="33459"/>
    <cellStyle name="Suma 2 28 49 3" xfId="33460"/>
    <cellStyle name="Suma 2 28 5" xfId="33461"/>
    <cellStyle name="Suma 2 28 5 2" xfId="33462"/>
    <cellStyle name="Suma 2 28 5 3" xfId="33463"/>
    <cellStyle name="Suma 2 28 5 4" xfId="33464"/>
    <cellStyle name="Suma 2 28 50" xfId="33465"/>
    <cellStyle name="Suma 2 28 50 2" xfId="33466"/>
    <cellStyle name="Suma 2 28 50 3" xfId="33467"/>
    <cellStyle name="Suma 2 28 51" xfId="33468"/>
    <cellStyle name="Suma 2 28 51 2" xfId="33469"/>
    <cellStyle name="Suma 2 28 51 3" xfId="33470"/>
    <cellStyle name="Suma 2 28 52" xfId="33471"/>
    <cellStyle name="Suma 2 28 52 2" xfId="33472"/>
    <cellStyle name="Suma 2 28 52 3" xfId="33473"/>
    <cellStyle name="Suma 2 28 53" xfId="33474"/>
    <cellStyle name="Suma 2 28 53 2" xfId="33475"/>
    <cellStyle name="Suma 2 28 53 3" xfId="33476"/>
    <cellStyle name="Suma 2 28 54" xfId="33477"/>
    <cellStyle name="Suma 2 28 54 2" xfId="33478"/>
    <cellStyle name="Suma 2 28 54 3" xfId="33479"/>
    <cellStyle name="Suma 2 28 55" xfId="33480"/>
    <cellStyle name="Suma 2 28 55 2" xfId="33481"/>
    <cellStyle name="Suma 2 28 55 3" xfId="33482"/>
    <cellStyle name="Suma 2 28 56" xfId="33483"/>
    <cellStyle name="Suma 2 28 56 2" xfId="33484"/>
    <cellStyle name="Suma 2 28 56 3" xfId="33485"/>
    <cellStyle name="Suma 2 28 57" xfId="33486"/>
    <cellStyle name="Suma 2 28 58" xfId="33487"/>
    <cellStyle name="Suma 2 28 6" xfId="33488"/>
    <cellStyle name="Suma 2 28 6 2" xfId="33489"/>
    <cellStyle name="Suma 2 28 6 3" xfId="33490"/>
    <cellStyle name="Suma 2 28 6 4" xfId="33491"/>
    <cellStyle name="Suma 2 28 7" xfId="33492"/>
    <cellStyle name="Suma 2 28 7 2" xfId="33493"/>
    <cellStyle name="Suma 2 28 7 3" xfId="33494"/>
    <cellStyle name="Suma 2 28 7 4" xfId="33495"/>
    <cellStyle name="Suma 2 28 8" xfId="33496"/>
    <cellStyle name="Suma 2 28 8 2" xfId="33497"/>
    <cellStyle name="Suma 2 28 8 3" xfId="33498"/>
    <cellStyle name="Suma 2 28 8 4" xfId="33499"/>
    <cellStyle name="Suma 2 28 9" xfId="33500"/>
    <cellStyle name="Suma 2 28 9 2" xfId="33501"/>
    <cellStyle name="Suma 2 28 9 3" xfId="33502"/>
    <cellStyle name="Suma 2 28 9 4" xfId="33503"/>
    <cellStyle name="Suma 2 29" xfId="33504"/>
    <cellStyle name="Suma 2 29 2" xfId="33505"/>
    <cellStyle name="Suma 2 29 3" xfId="33506"/>
    <cellStyle name="Suma 2 29 4" xfId="33507"/>
    <cellStyle name="Suma 2 3" xfId="33508"/>
    <cellStyle name="Suma 2 3 10" xfId="33509"/>
    <cellStyle name="Suma 2 3 10 2" xfId="33510"/>
    <cellStyle name="Suma 2 3 10 3" xfId="33511"/>
    <cellStyle name="Suma 2 3 10 4" xfId="33512"/>
    <cellStyle name="Suma 2 3 11" xfId="33513"/>
    <cellStyle name="Suma 2 3 11 2" xfId="33514"/>
    <cellStyle name="Suma 2 3 11 3" xfId="33515"/>
    <cellStyle name="Suma 2 3 11 4" xfId="33516"/>
    <cellStyle name="Suma 2 3 12" xfId="33517"/>
    <cellStyle name="Suma 2 3 12 2" xfId="33518"/>
    <cellStyle name="Suma 2 3 12 3" xfId="33519"/>
    <cellStyle name="Suma 2 3 12 4" xfId="33520"/>
    <cellStyle name="Suma 2 3 13" xfId="33521"/>
    <cellStyle name="Suma 2 3 13 2" xfId="33522"/>
    <cellStyle name="Suma 2 3 13 3" xfId="33523"/>
    <cellStyle name="Suma 2 3 13 4" xfId="33524"/>
    <cellStyle name="Suma 2 3 14" xfId="33525"/>
    <cellStyle name="Suma 2 3 14 2" xfId="33526"/>
    <cellStyle name="Suma 2 3 14 3" xfId="33527"/>
    <cellStyle name="Suma 2 3 14 4" xfId="33528"/>
    <cellStyle name="Suma 2 3 15" xfId="33529"/>
    <cellStyle name="Suma 2 3 15 2" xfId="33530"/>
    <cellStyle name="Suma 2 3 15 3" xfId="33531"/>
    <cellStyle name="Suma 2 3 15 4" xfId="33532"/>
    <cellStyle name="Suma 2 3 16" xfId="33533"/>
    <cellStyle name="Suma 2 3 16 2" xfId="33534"/>
    <cellStyle name="Suma 2 3 16 3" xfId="33535"/>
    <cellStyle name="Suma 2 3 16 4" xfId="33536"/>
    <cellStyle name="Suma 2 3 17" xfId="33537"/>
    <cellStyle name="Suma 2 3 17 2" xfId="33538"/>
    <cellStyle name="Suma 2 3 17 3" xfId="33539"/>
    <cellStyle name="Suma 2 3 17 4" xfId="33540"/>
    <cellStyle name="Suma 2 3 18" xfId="33541"/>
    <cellStyle name="Suma 2 3 18 2" xfId="33542"/>
    <cellStyle name="Suma 2 3 18 3" xfId="33543"/>
    <cellStyle name="Suma 2 3 18 4" xfId="33544"/>
    <cellStyle name="Suma 2 3 19" xfId="33545"/>
    <cellStyle name="Suma 2 3 19 2" xfId="33546"/>
    <cellStyle name="Suma 2 3 19 3" xfId="33547"/>
    <cellStyle name="Suma 2 3 19 4" xfId="33548"/>
    <cellStyle name="Suma 2 3 2" xfId="33549"/>
    <cellStyle name="Suma 2 3 2 2" xfId="33550"/>
    <cellStyle name="Suma 2 3 2 3" xfId="33551"/>
    <cellStyle name="Suma 2 3 2 4" xfId="33552"/>
    <cellStyle name="Suma 2 3 20" xfId="33553"/>
    <cellStyle name="Suma 2 3 20 2" xfId="33554"/>
    <cellStyle name="Suma 2 3 20 3" xfId="33555"/>
    <cellStyle name="Suma 2 3 20 4" xfId="33556"/>
    <cellStyle name="Suma 2 3 21" xfId="33557"/>
    <cellStyle name="Suma 2 3 21 2" xfId="33558"/>
    <cellStyle name="Suma 2 3 21 3" xfId="33559"/>
    <cellStyle name="Suma 2 3 22" xfId="33560"/>
    <cellStyle name="Suma 2 3 22 2" xfId="33561"/>
    <cellStyle name="Suma 2 3 22 3" xfId="33562"/>
    <cellStyle name="Suma 2 3 23" xfId="33563"/>
    <cellStyle name="Suma 2 3 23 2" xfId="33564"/>
    <cellStyle name="Suma 2 3 23 3" xfId="33565"/>
    <cellStyle name="Suma 2 3 24" xfId="33566"/>
    <cellStyle name="Suma 2 3 24 2" xfId="33567"/>
    <cellStyle name="Suma 2 3 24 3" xfId="33568"/>
    <cellStyle name="Suma 2 3 25" xfId="33569"/>
    <cellStyle name="Suma 2 3 25 2" xfId="33570"/>
    <cellStyle name="Suma 2 3 25 3" xfId="33571"/>
    <cellStyle name="Suma 2 3 26" xfId="33572"/>
    <cellStyle name="Suma 2 3 26 2" xfId="33573"/>
    <cellStyle name="Suma 2 3 26 3" xfId="33574"/>
    <cellStyle name="Suma 2 3 27" xfId="33575"/>
    <cellStyle name="Suma 2 3 27 2" xfId="33576"/>
    <cellStyle name="Suma 2 3 27 3" xfId="33577"/>
    <cellStyle name="Suma 2 3 28" xfId="33578"/>
    <cellStyle name="Suma 2 3 28 2" xfId="33579"/>
    <cellStyle name="Suma 2 3 28 3" xfId="33580"/>
    <cellStyle name="Suma 2 3 29" xfId="33581"/>
    <cellStyle name="Suma 2 3 29 2" xfId="33582"/>
    <cellStyle name="Suma 2 3 29 3" xfId="33583"/>
    <cellStyle name="Suma 2 3 3" xfId="33584"/>
    <cellStyle name="Suma 2 3 3 2" xfId="33585"/>
    <cellStyle name="Suma 2 3 3 3" xfId="33586"/>
    <cellStyle name="Suma 2 3 3 4" xfId="33587"/>
    <cellStyle name="Suma 2 3 30" xfId="33588"/>
    <cellStyle name="Suma 2 3 30 2" xfId="33589"/>
    <cellStyle name="Suma 2 3 30 3" xfId="33590"/>
    <cellStyle name="Suma 2 3 31" xfId="33591"/>
    <cellStyle name="Suma 2 3 31 2" xfId="33592"/>
    <cellStyle name="Suma 2 3 31 3" xfId="33593"/>
    <cellStyle name="Suma 2 3 32" xfId="33594"/>
    <cellStyle name="Suma 2 3 32 2" xfId="33595"/>
    <cellStyle name="Suma 2 3 32 3" xfId="33596"/>
    <cellStyle name="Suma 2 3 33" xfId="33597"/>
    <cellStyle name="Suma 2 3 33 2" xfId="33598"/>
    <cellStyle name="Suma 2 3 33 3" xfId="33599"/>
    <cellStyle name="Suma 2 3 34" xfId="33600"/>
    <cellStyle name="Suma 2 3 34 2" xfId="33601"/>
    <cellStyle name="Suma 2 3 34 3" xfId="33602"/>
    <cellStyle name="Suma 2 3 35" xfId="33603"/>
    <cellStyle name="Suma 2 3 35 2" xfId="33604"/>
    <cellStyle name="Suma 2 3 35 3" xfId="33605"/>
    <cellStyle name="Suma 2 3 36" xfId="33606"/>
    <cellStyle name="Suma 2 3 36 2" xfId="33607"/>
    <cellStyle name="Suma 2 3 36 3" xfId="33608"/>
    <cellStyle name="Suma 2 3 37" xfId="33609"/>
    <cellStyle name="Suma 2 3 37 2" xfId="33610"/>
    <cellStyle name="Suma 2 3 37 3" xfId="33611"/>
    <cellStyle name="Suma 2 3 38" xfId="33612"/>
    <cellStyle name="Suma 2 3 38 2" xfId="33613"/>
    <cellStyle name="Suma 2 3 38 3" xfId="33614"/>
    <cellStyle name="Suma 2 3 39" xfId="33615"/>
    <cellStyle name="Suma 2 3 39 2" xfId="33616"/>
    <cellStyle name="Suma 2 3 39 3" xfId="33617"/>
    <cellStyle name="Suma 2 3 4" xfId="33618"/>
    <cellStyle name="Suma 2 3 4 2" xfId="33619"/>
    <cellStyle name="Suma 2 3 4 3" xfId="33620"/>
    <cellStyle name="Suma 2 3 4 4" xfId="33621"/>
    <cellStyle name="Suma 2 3 40" xfId="33622"/>
    <cellStyle name="Suma 2 3 40 2" xfId="33623"/>
    <cellStyle name="Suma 2 3 40 3" xfId="33624"/>
    <cellStyle name="Suma 2 3 41" xfId="33625"/>
    <cellStyle name="Suma 2 3 41 2" xfId="33626"/>
    <cellStyle name="Suma 2 3 41 3" xfId="33627"/>
    <cellStyle name="Suma 2 3 42" xfId="33628"/>
    <cellStyle name="Suma 2 3 42 2" xfId="33629"/>
    <cellStyle name="Suma 2 3 42 3" xfId="33630"/>
    <cellStyle name="Suma 2 3 43" xfId="33631"/>
    <cellStyle name="Suma 2 3 43 2" xfId="33632"/>
    <cellStyle name="Suma 2 3 43 3" xfId="33633"/>
    <cellStyle name="Suma 2 3 44" xfId="33634"/>
    <cellStyle name="Suma 2 3 44 2" xfId="33635"/>
    <cellStyle name="Suma 2 3 44 3" xfId="33636"/>
    <cellStyle name="Suma 2 3 45" xfId="33637"/>
    <cellStyle name="Suma 2 3 45 2" xfId="33638"/>
    <cellStyle name="Suma 2 3 45 3" xfId="33639"/>
    <cellStyle name="Suma 2 3 46" xfId="33640"/>
    <cellStyle name="Suma 2 3 46 2" xfId="33641"/>
    <cellStyle name="Suma 2 3 46 3" xfId="33642"/>
    <cellStyle name="Suma 2 3 47" xfId="33643"/>
    <cellStyle name="Suma 2 3 47 2" xfId="33644"/>
    <cellStyle name="Suma 2 3 47 3" xfId="33645"/>
    <cellStyle name="Suma 2 3 48" xfId="33646"/>
    <cellStyle name="Suma 2 3 48 2" xfId="33647"/>
    <cellStyle name="Suma 2 3 48 3" xfId="33648"/>
    <cellStyle name="Suma 2 3 49" xfId="33649"/>
    <cellStyle name="Suma 2 3 49 2" xfId="33650"/>
    <cellStyle name="Suma 2 3 49 3" xfId="33651"/>
    <cellStyle name="Suma 2 3 5" xfId="33652"/>
    <cellStyle name="Suma 2 3 5 2" xfId="33653"/>
    <cellStyle name="Suma 2 3 5 3" xfId="33654"/>
    <cellStyle name="Suma 2 3 5 4" xfId="33655"/>
    <cellStyle name="Suma 2 3 50" xfId="33656"/>
    <cellStyle name="Suma 2 3 50 2" xfId="33657"/>
    <cellStyle name="Suma 2 3 50 3" xfId="33658"/>
    <cellStyle name="Suma 2 3 51" xfId="33659"/>
    <cellStyle name="Suma 2 3 51 2" xfId="33660"/>
    <cellStyle name="Suma 2 3 51 3" xfId="33661"/>
    <cellStyle name="Suma 2 3 52" xfId="33662"/>
    <cellStyle name="Suma 2 3 52 2" xfId="33663"/>
    <cellStyle name="Suma 2 3 52 3" xfId="33664"/>
    <cellStyle name="Suma 2 3 53" xfId="33665"/>
    <cellStyle name="Suma 2 3 53 2" xfId="33666"/>
    <cellStyle name="Suma 2 3 53 3" xfId="33667"/>
    <cellStyle name="Suma 2 3 54" xfId="33668"/>
    <cellStyle name="Suma 2 3 54 2" xfId="33669"/>
    <cellStyle name="Suma 2 3 54 3" xfId="33670"/>
    <cellStyle name="Suma 2 3 55" xfId="33671"/>
    <cellStyle name="Suma 2 3 55 2" xfId="33672"/>
    <cellStyle name="Suma 2 3 55 3" xfId="33673"/>
    <cellStyle name="Suma 2 3 56" xfId="33674"/>
    <cellStyle name="Suma 2 3 56 2" xfId="33675"/>
    <cellStyle name="Suma 2 3 56 3" xfId="33676"/>
    <cellStyle name="Suma 2 3 57" xfId="33677"/>
    <cellStyle name="Suma 2 3 58" xfId="33678"/>
    <cellStyle name="Suma 2 3 6" xfId="33679"/>
    <cellStyle name="Suma 2 3 6 2" xfId="33680"/>
    <cellStyle name="Suma 2 3 6 3" xfId="33681"/>
    <cellStyle name="Suma 2 3 6 4" xfId="33682"/>
    <cellStyle name="Suma 2 3 7" xfId="33683"/>
    <cellStyle name="Suma 2 3 7 2" xfId="33684"/>
    <cellStyle name="Suma 2 3 7 3" xfId="33685"/>
    <cellStyle name="Suma 2 3 7 4" xfId="33686"/>
    <cellStyle name="Suma 2 3 8" xfId="33687"/>
    <cellStyle name="Suma 2 3 8 2" xfId="33688"/>
    <cellStyle name="Suma 2 3 8 3" xfId="33689"/>
    <cellStyle name="Suma 2 3 8 4" xfId="33690"/>
    <cellStyle name="Suma 2 3 9" xfId="33691"/>
    <cellStyle name="Suma 2 3 9 2" xfId="33692"/>
    <cellStyle name="Suma 2 3 9 3" xfId="33693"/>
    <cellStyle name="Suma 2 3 9 4" xfId="33694"/>
    <cellStyle name="Suma 2 30" xfId="33695"/>
    <cellStyle name="Suma 2 30 2" xfId="33696"/>
    <cellStyle name="Suma 2 30 3" xfId="33697"/>
    <cellStyle name="Suma 2 30 4" xfId="33698"/>
    <cellStyle name="Suma 2 31" xfId="33699"/>
    <cellStyle name="Suma 2 31 2" xfId="33700"/>
    <cellStyle name="Suma 2 31 3" xfId="33701"/>
    <cellStyle name="Suma 2 31 4" xfId="33702"/>
    <cellStyle name="Suma 2 32" xfId="33703"/>
    <cellStyle name="Suma 2 32 2" xfId="33704"/>
    <cellStyle name="Suma 2 32 3" xfId="33705"/>
    <cellStyle name="Suma 2 32 4" xfId="33706"/>
    <cellStyle name="Suma 2 33" xfId="33707"/>
    <cellStyle name="Suma 2 33 2" xfId="33708"/>
    <cellStyle name="Suma 2 33 3" xfId="33709"/>
    <cellStyle name="Suma 2 33 4" xfId="33710"/>
    <cellStyle name="Suma 2 34" xfId="33711"/>
    <cellStyle name="Suma 2 34 2" xfId="33712"/>
    <cellStyle name="Suma 2 34 3" xfId="33713"/>
    <cellStyle name="Suma 2 34 4" xfId="33714"/>
    <cellStyle name="Suma 2 35" xfId="33715"/>
    <cellStyle name="Suma 2 35 2" xfId="33716"/>
    <cellStyle name="Suma 2 35 3" xfId="33717"/>
    <cellStyle name="Suma 2 35 4" xfId="33718"/>
    <cellStyle name="Suma 2 36" xfId="33719"/>
    <cellStyle name="Suma 2 36 2" xfId="33720"/>
    <cellStyle name="Suma 2 36 3" xfId="33721"/>
    <cellStyle name="Suma 2 36 4" xfId="33722"/>
    <cellStyle name="Suma 2 37" xfId="33723"/>
    <cellStyle name="Suma 2 37 2" xfId="33724"/>
    <cellStyle name="Suma 2 37 3" xfId="33725"/>
    <cellStyle name="Suma 2 37 4" xfId="33726"/>
    <cellStyle name="Suma 2 38" xfId="33727"/>
    <cellStyle name="Suma 2 38 2" xfId="33728"/>
    <cellStyle name="Suma 2 38 3" xfId="33729"/>
    <cellStyle name="Suma 2 38 4" xfId="33730"/>
    <cellStyle name="Suma 2 39" xfId="33731"/>
    <cellStyle name="Suma 2 39 2" xfId="33732"/>
    <cellStyle name="Suma 2 39 3" xfId="33733"/>
    <cellStyle name="Suma 2 39 4" xfId="33734"/>
    <cellStyle name="Suma 2 4" xfId="33735"/>
    <cellStyle name="Suma 2 4 10" xfId="33736"/>
    <cellStyle name="Suma 2 4 10 2" xfId="33737"/>
    <cellStyle name="Suma 2 4 10 3" xfId="33738"/>
    <cellStyle name="Suma 2 4 10 4" xfId="33739"/>
    <cellStyle name="Suma 2 4 11" xfId="33740"/>
    <cellStyle name="Suma 2 4 11 2" xfId="33741"/>
    <cellStyle name="Suma 2 4 11 3" xfId="33742"/>
    <cellStyle name="Suma 2 4 11 4" xfId="33743"/>
    <cellStyle name="Suma 2 4 12" xfId="33744"/>
    <cellStyle name="Suma 2 4 12 2" xfId="33745"/>
    <cellStyle name="Suma 2 4 12 3" xfId="33746"/>
    <cellStyle name="Suma 2 4 12 4" xfId="33747"/>
    <cellStyle name="Suma 2 4 13" xfId="33748"/>
    <cellStyle name="Suma 2 4 13 2" xfId="33749"/>
    <cellStyle name="Suma 2 4 13 3" xfId="33750"/>
    <cellStyle name="Suma 2 4 13 4" xfId="33751"/>
    <cellStyle name="Suma 2 4 14" xfId="33752"/>
    <cellStyle name="Suma 2 4 14 2" xfId="33753"/>
    <cellStyle name="Suma 2 4 14 3" xfId="33754"/>
    <cellStyle name="Suma 2 4 14 4" xfId="33755"/>
    <cellStyle name="Suma 2 4 15" xfId="33756"/>
    <cellStyle name="Suma 2 4 15 2" xfId="33757"/>
    <cellStyle name="Suma 2 4 15 3" xfId="33758"/>
    <cellStyle name="Suma 2 4 15 4" xfId="33759"/>
    <cellStyle name="Suma 2 4 16" xfId="33760"/>
    <cellStyle name="Suma 2 4 16 2" xfId="33761"/>
    <cellStyle name="Suma 2 4 16 3" xfId="33762"/>
    <cellStyle name="Suma 2 4 16 4" xfId="33763"/>
    <cellStyle name="Suma 2 4 17" xfId="33764"/>
    <cellStyle name="Suma 2 4 17 2" xfId="33765"/>
    <cellStyle name="Suma 2 4 17 3" xfId="33766"/>
    <cellStyle name="Suma 2 4 17 4" xfId="33767"/>
    <cellStyle name="Suma 2 4 18" xfId="33768"/>
    <cellStyle name="Suma 2 4 18 2" xfId="33769"/>
    <cellStyle name="Suma 2 4 18 3" xfId="33770"/>
    <cellStyle name="Suma 2 4 18 4" xfId="33771"/>
    <cellStyle name="Suma 2 4 19" xfId="33772"/>
    <cellStyle name="Suma 2 4 19 2" xfId="33773"/>
    <cellStyle name="Suma 2 4 19 3" xfId="33774"/>
    <cellStyle name="Suma 2 4 19 4" xfId="33775"/>
    <cellStyle name="Suma 2 4 2" xfId="33776"/>
    <cellStyle name="Suma 2 4 2 2" xfId="33777"/>
    <cellStyle name="Suma 2 4 2 3" xfId="33778"/>
    <cellStyle name="Suma 2 4 2 4" xfId="33779"/>
    <cellStyle name="Suma 2 4 20" xfId="33780"/>
    <cellStyle name="Suma 2 4 20 2" xfId="33781"/>
    <cellStyle name="Suma 2 4 20 3" xfId="33782"/>
    <cellStyle name="Suma 2 4 20 4" xfId="33783"/>
    <cellStyle name="Suma 2 4 21" xfId="33784"/>
    <cellStyle name="Suma 2 4 21 2" xfId="33785"/>
    <cellStyle name="Suma 2 4 21 3" xfId="33786"/>
    <cellStyle name="Suma 2 4 22" xfId="33787"/>
    <cellStyle name="Suma 2 4 22 2" xfId="33788"/>
    <cellStyle name="Suma 2 4 22 3" xfId="33789"/>
    <cellStyle name="Suma 2 4 23" xfId="33790"/>
    <cellStyle name="Suma 2 4 23 2" xfId="33791"/>
    <cellStyle name="Suma 2 4 23 3" xfId="33792"/>
    <cellStyle name="Suma 2 4 24" xfId="33793"/>
    <cellStyle name="Suma 2 4 24 2" xfId="33794"/>
    <cellStyle name="Suma 2 4 24 3" xfId="33795"/>
    <cellStyle name="Suma 2 4 25" xfId="33796"/>
    <cellStyle name="Suma 2 4 25 2" xfId="33797"/>
    <cellStyle name="Suma 2 4 25 3" xfId="33798"/>
    <cellStyle name="Suma 2 4 26" xfId="33799"/>
    <cellStyle name="Suma 2 4 26 2" xfId="33800"/>
    <cellStyle name="Suma 2 4 26 3" xfId="33801"/>
    <cellStyle name="Suma 2 4 27" xfId="33802"/>
    <cellStyle name="Suma 2 4 27 2" xfId="33803"/>
    <cellStyle name="Suma 2 4 27 3" xfId="33804"/>
    <cellStyle name="Suma 2 4 28" xfId="33805"/>
    <cellStyle name="Suma 2 4 28 2" xfId="33806"/>
    <cellStyle name="Suma 2 4 28 3" xfId="33807"/>
    <cellStyle name="Suma 2 4 29" xfId="33808"/>
    <cellStyle name="Suma 2 4 29 2" xfId="33809"/>
    <cellStyle name="Suma 2 4 29 3" xfId="33810"/>
    <cellStyle name="Suma 2 4 3" xfId="33811"/>
    <cellStyle name="Suma 2 4 3 2" xfId="33812"/>
    <cellStyle name="Suma 2 4 3 3" xfId="33813"/>
    <cellStyle name="Suma 2 4 3 4" xfId="33814"/>
    <cellStyle name="Suma 2 4 30" xfId="33815"/>
    <cellStyle name="Suma 2 4 30 2" xfId="33816"/>
    <cellStyle name="Suma 2 4 30 3" xfId="33817"/>
    <cellStyle name="Suma 2 4 31" xfId="33818"/>
    <cellStyle name="Suma 2 4 31 2" xfId="33819"/>
    <cellStyle name="Suma 2 4 31 3" xfId="33820"/>
    <cellStyle name="Suma 2 4 32" xfId="33821"/>
    <cellStyle name="Suma 2 4 32 2" xfId="33822"/>
    <cellStyle name="Suma 2 4 32 3" xfId="33823"/>
    <cellStyle name="Suma 2 4 33" xfId="33824"/>
    <cellStyle name="Suma 2 4 33 2" xfId="33825"/>
    <cellStyle name="Suma 2 4 33 3" xfId="33826"/>
    <cellStyle name="Suma 2 4 34" xfId="33827"/>
    <cellStyle name="Suma 2 4 34 2" xfId="33828"/>
    <cellStyle name="Suma 2 4 34 3" xfId="33829"/>
    <cellStyle name="Suma 2 4 35" xfId="33830"/>
    <cellStyle name="Suma 2 4 35 2" xfId="33831"/>
    <cellStyle name="Suma 2 4 35 3" xfId="33832"/>
    <cellStyle name="Suma 2 4 36" xfId="33833"/>
    <cellStyle name="Suma 2 4 36 2" xfId="33834"/>
    <cellStyle name="Suma 2 4 36 3" xfId="33835"/>
    <cellStyle name="Suma 2 4 37" xfId="33836"/>
    <cellStyle name="Suma 2 4 37 2" xfId="33837"/>
    <cellStyle name="Suma 2 4 37 3" xfId="33838"/>
    <cellStyle name="Suma 2 4 38" xfId="33839"/>
    <cellStyle name="Suma 2 4 38 2" xfId="33840"/>
    <cellStyle name="Suma 2 4 38 3" xfId="33841"/>
    <cellStyle name="Suma 2 4 39" xfId="33842"/>
    <cellStyle name="Suma 2 4 39 2" xfId="33843"/>
    <cellStyle name="Suma 2 4 39 3" xfId="33844"/>
    <cellStyle name="Suma 2 4 4" xfId="33845"/>
    <cellStyle name="Suma 2 4 4 2" xfId="33846"/>
    <cellStyle name="Suma 2 4 4 3" xfId="33847"/>
    <cellStyle name="Suma 2 4 4 4" xfId="33848"/>
    <cellStyle name="Suma 2 4 40" xfId="33849"/>
    <cellStyle name="Suma 2 4 40 2" xfId="33850"/>
    <cellStyle name="Suma 2 4 40 3" xfId="33851"/>
    <cellStyle name="Suma 2 4 41" xfId="33852"/>
    <cellStyle name="Suma 2 4 41 2" xfId="33853"/>
    <cellStyle name="Suma 2 4 41 3" xfId="33854"/>
    <cellStyle name="Suma 2 4 42" xfId="33855"/>
    <cellStyle name="Suma 2 4 42 2" xfId="33856"/>
    <cellStyle name="Suma 2 4 42 3" xfId="33857"/>
    <cellStyle name="Suma 2 4 43" xfId="33858"/>
    <cellStyle name="Suma 2 4 43 2" xfId="33859"/>
    <cellStyle name="Suma 2 4 43 3" xfId="33860"/>
    <cellStyle name="Suma 2 4 44" xfId="33861"/>
    <cellStyle name="Suma 2 4 44 2" xfId="33862"/>
    <cellStyle name="Suma 2 4 44 3" xfId="33863"/>
    <cellStyle name="Suma 2 4 45" xfId="33864"/>
    <cellStyle name="Suma 2 4 45 2" xfId="33865"/>
    <cellStyle name="Suma 2 4 45 3" xfId="33866"/>
    <cellStyle name="Suma 2 4 46" xfId="33867"/>
    <cellStyle name="Suma 2 4 46 2" xfId="33868"/>
    <cellStyle name="Suma 2 4 46 3" xfId="33869"/>
    <cellStyle name="Suma 2 4 47" xfId="33870"/>
    <cellStyle name="Suma 2 4 47 2" xfId="33871"/>
    <cellStyle name="Suma 2 4 47 3" xfId="33872"/>
    <cellStyle name="Suma 2 4 48" xfId="33873"/>
    <cellStyle name="Suma 2 4 48 2" xfId="33874"/>
    <cellStyle name="Suma 2 4 48 3" xfId="33875"/>
    <cellStyle name="Suma 2 4 49" xfId="33876"/>
    <cellStyle name="Suma 2 4 49 2" xfId="33877"/>
    <cellStyle name="Suma 2 4 49 3" xfId="33878"/>
    <cellStyle name="Suma 2 4 5" xfId="33879"/>
    <cellStyle name="Suma 2 4 5 2" xfId="33880"/>
    <cellStyle name="Suma 2 4 5 3" xfId="33881"/>
    <cellStyle name="Suma 2 4 5 4" xfId="33882"/>
    <cellStyle name="Suma 2 4 50" xfId="33883"/>
    <cellStyle name="Suma 2 4 50 2" xfId="33884"/>
    <cellStyle name="Suma 2 4 50 3" xfId="33885"/>
    <cellStyle name="Suma 2 4 51" xfId="33886"/>
    <cellStyle name="Suma 2 4 51 2" xfId="33887"/>
    <cellStyle name="Suma 2 4 51 3" xfId="33888"/>
    <cellStyle name="Suma 2 4 52" xfId="33889"/>
    <cellStyle name="Suma 2 4 52 2" xfId="33890"/>
    <cellStyle name="Suma 2 4 52 3" xfId="33891"/>
    <cellStyle name="Suma 2 4 53" xfId="33892"/>
    <cellStyle name="Suma 2 4 53 2" xfId="33893"/>
    <cellStyle name="Suma 2 4 53 3" xfId="33894"/>
    <cellStyle name="Suma 2 4 54" xfId="33895"/>
    <cellStyle name="Suma 2 4 54 2" xfId="33896"/>
    <cellStyle name="Suma 2 4 54 3" xfId="33897"/>
    <cellStyle name="Suma 2 4 55" xfId="33898"/>
    <cellStyle name="Suma 2 4 55 2" xfId="33899"/>
    <cellStyle name="Suma 2 4 55 3" xfId="33900"/>
    <cellStyle name="Suma 2 4 56" xfId="33901"/>
    <cellStyle name="Suma 2 4 56 2" xfId="33902"/>
    <cellStyle name="Suma 2 4 56 3" xfId="33903"/>
    <cellStyle name="Suma 2 4 57" xfId="33904"/>
    <cellStyle name="Suma 2 4 58" xfId="33905"/>
    <cellStyle name="Suma 2 4 6" xfId="33906"/>
    <cellStyle name="Suma 2 4 6 2" xfId="33907"/>
    <cellStyle name="Suma 2 4 6 3" xfId="33908"/>
    <cellStyle name="Suma 2 4 6 4" xfId="33909"/>
    <cellStyle name="Suma 2 4 7" xfId="33910"/>
    <cellStyle name="Suma 2 4 7 2" xfId="33911"/>
    <cellStyle name="Suma 2 4 7 3" xfId="33912"/>
    <cellStyle name="Suma 2 4 7 4" xfId="33913"/>
    <cellStyle name="Suma 2 4 8" xfId="33914"/>
    <cellStyle name="Suma 2 4 8 2" xfId="33915"/>
    <cellStyle name="Suma 2 4 8 3" xfId="33916"/>
    <cellStyle name="Suma 2 4 8 4" xfId="33917"/>
    <cellStyle name="Suma 2 4 9" xfId="33918"/>
    <cellStyle name="Suma 2 4 9 2" xfId="33919"/>
    <cellStyle name="Suma 2 4 9 3" xfId="33920"/>
    <cellStyle name="Suma 2 4 9 4" xfId="33921"/>
    <cellStyle name="Suma 2 40" xfId="33922"/>
    <cellStyle name="Suma 2 40 2" xfId="33923"/>
    <cellStyle name="Suma 2 40 3" xfId="33924"/>
    <cellStyle name="Suma 2 40 4" xfId="33925"/>
    <cellStyle name="Suma 2 41" xfId="33926"/>
    <cellStyle name="Suma 2 41 2" xfId="33927"/>
    <cellStyle name="Suma 2 41 3" xfId="33928"/>
    <cellStyle name="Suma 2 41 4" xfId="33929"/>
    <cellStyle name="Suma 2 42" xfId="33930"/>
    <cellStyle name="Suma 2 42 2" xfId="33931"/>
    <cellStyle name="Suma 2 42 3" xfId="33932"/>
    <cellStyle name="Suma 2 42 4" xfId="33933"/>
    <cellStyle name="Suma 2 43" xfId="33934"/>
    <cellStyle name="Suma 2 43 2" xfId="33935"/>
    <cellStyle name="Suma 2 43 3" xfId="33936"/>
    <cellStyle name="Suma 2 43 4" xfId="33937"/>
    <cellStyle name="Suma 2 44" xfId="33938"/>
    <cellStyle name="Suma 2 44 2" xfId="33939"/>
    <cellStyle name="Suma 2 44 3" xfId="33940"/>
    <cellStyle name="Suma 2 44 4" xfId="33941"/>
    <cellStyle name="Suma 2 45" xfId="33942"/>
    <cellStyle name="Suma 2 45 2" xfId="33943"/>
    <cellStyle name="Suma 2 45 3" xfId="33944"/>
    <cellStyle name="Suma 2 45 4" xfId="33945"/>
    <cellStyle name="Suma 2 46" xfId="33946"/>
    <cellStyle name="Suma 2 46 2" xfId="33947"/>
    <cellStyle name="Suma 2 46 3" xfId="33948"/>
    <cellStyle name="Suma 2 46 4" xfId="33949"/>
    <cellStyle name="Suma 2 47" xfId="33950"/>
    <cellStyle name="Suma 2 47 2" xfId="33951"/>
    <cellStyle name="Suma 2 47 3" xfId="33952"/>
    <cellStyle name="Suma 2 47 4" xfId="33953"/>
    <cellStyle name="Suma 2 48" xfId="33954"/>
    <cellStyle name="Suma 2 48 2" xfId="33955"/>
    <cellStyle name="Suma 2 48 3" xfId="33956"/>
    <cellStyle name="Suma 2 48 4" xfId="33957"/>
    <cellStyle name="Suma 2 49" xfId="33958"/>
    <cellStyle name="Suma 2 49 2" xfId="33959"/>
    <cellStyle name="Suma 2 49 3" xfId="33960"/>
    <cellStyle name="Suma 2 49 4" xfId="33961"/>
    <cellStyle name="Suma 2 5" xfId="33962"/>
    <cellStyle name="Suma 2 5 10" xfId="33963"/>
    <cellStyle name="Suma 2 5 10 2" xfId="33964"/>
    <cellStyle name="Suma 2 5 10 3" xfId="33965"/>
    <cellStyle name="Suma 2 5 10 4" xfId="33966"/>
    <cellStyle name="Suma 2 5 11" xfId="33967"/>
    <cellStyle name="Suma 2 5 11 2" xfId="33968"/>
    <cellStyle name="Suma 2 5 11 3" xfId="33969"/>
    <cellStyle name="Suma 2 5 11 4" xfId="33970"/>
    <cellStyle name="Suma 2 5 12" xfId="33971"/>
    <cellStyle name="Suma 2 5 12 2" xfId="33972"/>
    <cellStyle name="Suma 2 5 12 3" xfId="33973"/>
    <cellStyle name="Suma 2 5 12 4" xfId="33974"/>
    <cellStyle name="Suma 2 5 13" xfId="33975"/>
    <cellStyle name="Suma 2 5 13 2" xfId="33976"/>
    <cellStyle name="Suma 2 5 13 3" xfId="33977"/>
    <cellStyle name="Suma 2 5 13 4" xfId="33978"/>
    <cellStyle name="Suma 2 5 14" xfId="33979"/>
    <cellStyle name="Suma 2 5 14 2" xfId="33980"/>
    <cellStyle name="Suma 2 5 14 3" xfId="33981"/>
    <cellStyle name="Suma 2 5 14 4" xfId="33982"/>
    <cellStyle name="Suma 2 5 15" xfId="33983"/>
    <cellStyle name="Suma 2 5 15 2" xfId="33984"/>
    <cellStyle name="Suma 2 5 15 3" xfId="33985"/>
    <cellStyle name="Suma 2 5 15 4" xfId="33986"/>
    <cellStyle name="Suma 2 5 16" xfId="33987"/>
    <cellStyle name="Suma 2 5 16 2" xfId="33988"/>
    <cellStyle name="Suma 2 5 16 3" xfId="33989"/>
    <cellStyle name="Suma 2 5 16 4" xfId="33990"/>
    <cellStyle name="Suma 2 5 17" xfId="33991"/>
    <cellStyle name="Suma 2 5 17 2" xfId="33992"/>
    <cellStyle name="Suma 2 5 17 3" xfId="33993"/>
    <cellStyle name="Suma 2 5 17 4" xfId="33994"/>
    <cellStyle name="Suma 2 5 18" xfId="33995"/>
    <cellStyle name="Suma 2 5 18 2" xfId="33996"/>
    <cellStyle name="Suma 2 5 18 3" xfId="33997"/>
    <cellStyle name="Suma 2 5 18 4" xfId="33998"/>
    <cellStyle name="Suma 2 5 19" xfId="33999"/>
    <cellStyle name="Suma 2 5 19 2" xfId="34000"/>
    <cellStyle name="Suma 2 5 19 3" xfId="34001"/>
    <cellStyle name="Suma 2 5 19 4" xfId="34002"/>
    <cellStyle name="Suma 2 5 2" xfId="34003"/>
    <cellStyle name="Suma 2 5 2 2" xfId="34004"/>
    <cellStyle name="Suma 2 5 2 3" xfId="34005"/>
    <cellStyle name="Suma 2 5 2 4" xfId="34006"/>
    <cellStyle name="Suma 2 5 20" xfId="34007"/>
    <cellStyle name="Suma 2 5 20 2" xfId="34008"/>
    <cellStyle name="Suma 2 5 20 3" xfId="34009"/>
    <cellStyle name="Suma 2 5 20 4" xfId="34010"/>
    <cellStyle name="Suma 2 5 21" xfId="34011"/>
    <cellStyle name="Suma 2 5 21 2" xfId="34012"/>
    <cellStyle name="Suma 2 5 21 3" xfId="34013"/>
    <cellStyle name="Suma 2 5 22" xfId="34014"/>
    <cellStyle name="Suma 2 5 22 2" xfId="34015"/>
    <cellStyle name="Suma 2 5 22 3" xfId="34016"/>
    <cellStyle name="Suma 2 5 23" xfId="34017"/>
    <cellStyle name="Suma 2 5 23 2" xfId="34018"/>
    <cellStyle name="Suma 2 5 23 3" xfId="34019"/>
    <cellStyle name="Suma 2 5 24" xfId="34020"/>
    <cellStyle name="Suma 2 5 24 2" xfId="34021"/>
    <cellStyle name="Suma 2 5 24 3" xfId="34022"/>
    <cellStyle name="Suma 2 5 25" xfId="34023"/>
    <cellStyle name="Suma 2 5 25 2" xfId="34024"/>
    <cellStyle name="Suma 2 5 25 3" xfId="34025"/>
    <cellStyle name="Suma 2 5 26" xfId="34026"/>
    <cellStyle name="Suma 2 5 26 2" xfId="34027"/>
    <cellStyle name="Suma 2 5 26 3" xfId="34028"/>
    <cellStyle name="Suma 2 5 27" xfId="34029"/>
    <cellStyle name="Suma 2 5 27 2" xfId="34030"/>
    <cellStyle name="Suma 2 5 27 3" xfId="34031"/>
    <cellStyle name="Suma 2 5 28" xfId="34032"/>
    <cellStyle name="Suma 2 5 28 2" xfId="34033"/>
    <cellStyle name="Suma 2 5 28 3" xfId="34034"/>
    <cellStyle name="Suma 2 5 29" xfId="34035"/>
    <cellStyle name="Suma 2 5 29 2" xfId="34036"/>
    <cellStyle name="Suma 2 5 29 3" xfId="34037"/>
    <cellStyle name="Suma 2 5 3" xfId="34038"/>
    <cellStyle name="Suma 2 5 3 2" xfId="34039"/>
    <cellStyle name="Suma 2 5 3 3" xfId="34040"/>
    <cellStyle name="Suma 2 5 3 4" xfId="34041"/>
    <cellStyle name="Suma 2 5 30" xfId="34042"/>
    <cellStyle name="Suma 2 5 30 2" xfId="34043"/>
    <cellStyle name="Suma 2 5 30 3" xfId="34044"/>
    <cellStyle name="Suma 2 5 31" xfId="34045"/>
    <cellStyle name="Suma 2 5 31 2" xfId="34046"/>
    <cellStyle name="Suma 2 5 31 3" xfId="34047"/>
    <cellStyle name="Suma 2 5 32" xfId="34048"/>
    <cellStyle name="Suma 2 5 32 2" xfId="34049"/>
    <cellStyle name="Suma 2 5 32 3" xfId="34050"/>
    <cellStyle name="Suma 2 5 33" xfId="34051"/>
    <cellStyle name="Suma 2 5 33 2" xfId="34052"/>
    <cellStyle name="Suma 2 5 33 3" xfId="34053"/>
    <cellStyle name="Suma 2 5 34" xfId="34054"/>
    <cellStyle name="Suma 2 5 34 2" xfId="34055"/>
    <cellStyle name="Suma 2 5 34 3" xfId="34056"/>
    <cellStyle name="Suma 2 5 35" xfId="34057"/>
    <cellStyle name="Suma 2 5 35 2" xfId="34058"/>
    <cellStyle name="Suma 2 5 35 3" xfId="34059"/>
    <cellStyle name="Suma 2 5 36" xfId="34060"/>
    <cellStyle name="Suma 2 5 36 2" xfId="34061"/>
    <cellStyle name="Suma 2 5 36 3" xfId="34062"/>
    <cellStyle name="Suma 2 5 37" xfId="34063"/>
    <cellStyle name="Suma 2 5 37 2" xfId="34064"/>
    <cellStyle name="Suma 2 5 37 3" xfId="34065"/>
    <cellStyle name="Suma 2 5 38" xfId="34066"/>
    <cellStyle name="Suma 2 5 38 2" xfId="34067"/>
    <cellStyle name="Suma 2 5 38 3" xfId="34068"/>
    <cellStyle name="Suma 2 5 39" xfId="34069"/>
    <cellStyle name="Suma 2 5 39 2" xfId="34070"/>
    <cellStyle name="Suma 2 5 39 3" xfId="34071"/>
    <cellStyle name="Suma 2 5 4" xfId="34072"/>
    <cellStyle name="Suma 2 5 4 2" xfId="34073"/>
    <cellStyle name="Suma 2 5 4 3" xfId="34074"/>
    <cellStyle name="Suma 2 5 4 4" xfId="34075"/>
    <cellStyle name="Suma 2 5 40" xfId="34076"/>
    <cellStyle name="Suma 2 5 40 2" xfId="34077"/>
    <cellStyle name="Suma 2 5 40 3" xfId="34078"/>
    <cellStyle name="Suma 2 5 41" xfId="34079"/>
    <cellStyle name="Suma 2 5 41 2" xfId="34080"/>
    <cellStyle name="Suma 2 5 41 3" xfId="34081"/>
    <cellStyle name="Suma 2 5 42" xfId="34082"/>
    <cellStyle name="Suma 2 5 42 2" xfId="34083"/>
    <cellStyle name="Suma 2 5 42 3" xfId="34084"/>
    <cellStyle name="Suma 2 5 43" xfId="34085"/>
    <cellStyle name="Suma 2 5 43 2" xfId="34086"/>
    <cellStyle name="Suma 2 5 43 3" xfId="34087"/>
    <cellStyle name="Suma 2 5 44" xfId="34088"/>
    <cellStyle name="Suma 2 5 44 2" xfId="34089"/>
    <cellStyle name="Suma 2 5 44 3" xfId="34090"/>
    <cellStyle name="Suma 2 5 45" xfId="34091"/>
    <cellStyle name="Suma 2 5 45 2" xfId="34092"/>
    <cellStyle name="Suma 2 5 45 3" xfId="34093"/>
    <cellStyle name="Suma 2 5 46" xfId="34094"/>
    <cellStyle name="Suma 2 5 46 2" xfId="34095"/>
    <cellStyle name="Suma 2 5 46 3" xfId="34096"/>
    <cellStyle name="Suma 2 5 47" xfId="34097"/>
    <cellStyle name="Suma 2 5 47 2" xfId="34098"/>
    <cellStyle name="Suma 2 5 47 3" xfId="34099"/>
    <cellStyle name="Suma 2 5 48" xfId="34100"/>
    <cellStyle name="Suma 2 5 48 2" xfId="34101"/>
    <cellStyle name="Suma 2 5 48 3" xfId="34102"/>
    <cellStyle name="Suma 2 5 49" xfId="34103"/>
    <cellStyle name="Suma 2 5 49 2" xfId="34104"/>
    <cellStyle name="Suma 2 5 49 3" xfId="34105"/>
    <cellStyle name="Suma 2 5 5" xfId="34106"/>
    <cellStyle name="Suma 2 5 5 2" xfId="34107"/>
    <cellStyle name="Suma 2 5 5 3" xfId="34108"/>
    <cellStyle name="Suma 2 5 5 4" xfId="34109"/>
    <cellStyle name="Suma 2 5 50" xfId="34110"/>
    <cellStyle name="Suma 2 5 50 2" xfId="34111"/>
    <cellStyle name="Suma 2 5 50 3" xfId="34112"/>
    <cellStyle name="Suma 2 5 51" xfId="34113"/>
    <cellStyle name="Suma 2 5 51 2" xfId="34114"/>
    <cellStyle name="Suma 2 5 51 3" xfId="34115"/>
    <cellStyle name="Suma 2 5 52" xfId="34116"/>
    <cellStyle name="Suma 2 5 52 2" xfId="34117"/>
    <cellStyle name="Suma 2 5 52 3" xfId="34118"/>
    <cellStyle name="Suma 2 5 53" xfId="34119"/>
    <cellStyle name="Suma 2 5 53 2" xfId="34120"/>
    <cellStyle name="Suma 2 5 53 3" xfId="34121"/>
    <cellStyle name="Suma 2 5 54" xfId="34122"/>
    <cellStyle name="Suma 2 5 54 2" xfId="34123"/>
    <cellStyle name="Suma 2 5 54 3" xfId="34124"/>
    <cellStyle name="Suma 2 5 55" xfId="34125"/>
    <cellStyle name="Suma 2 5 55 2" xfId="34126"/>
    <cellStyle name="Suma 2 5 55 3" xfId="34127"/>
    <cellStyle name="Suma 2 5 56" xfId="34128"/>
    <cellStyle name="Suma 2 5 56 2" xfId="34129"/>
    <cellStyle name="Suma 2 5 56 3" xfId="34130"/>
    <cellStyle name="Suma 2 5 57" xfId="34131"/>
    <cellStyle name="Suma 2 5 58" xfId="34132"/>
    <cellStyle name="Suma 2 5 6" xfId="34133"/>
    <cellStyle name="Suma 2 5 6 2" xfId="34134"/>
    <cellStyle name="Suma 2 5 6 3" xfId="34135"/>
    <cellStyle name="Suma 2 5 6 4" xfId="34136"/>
    <cellStyle name="Suma 2 5 7" xfId="34137"/>
    <cellStyle name="Suma 2 5 7 2" xfId="34138"/>
    <cellStyle name="Suma 2 5 7 3" xfId="34139"/>
    <cellStyle name="Suma 2 5 7 4" xfId="34140"/>
    <cellStyle name="Suma 2 5 8" xfId="34141"/>
    <cellStyle name="Suma 2 5 8 2" xfId="34142"/>
    <cellStyle name="Suma 2 5 8 3" xfId="34143"/>
    <cellStyle name="Suma 2 5 8 4" xfId="34144"/>
    <cellStyle name="Suma 2 5 9" xfId="34145"/>
    <cellStyle name="Suma 2 5 9 2" xfId="34146"/>
    <cellStyle name="Suma 2 5 9 3" xfId="34147"/>
    <cellStyle name="Suma 2 5 9 4" xfId="34148"/>
    <cellStyle name="Suma 2 50" xfId="34149"/>
    <cellStyle name="Suma 2 50 2" xfId="34150"/>
    <cellStyle name="Suma 2 50 3" xfId="34151"/>
    <cellStyle name="Suma 2 50 4" xfId="34152"/>
    <cellStyle name="Suma 2 51" xfId="34153"/>
    <cellStyle name="Suma 2 51 2" xfId="34154"/>
    <cellStyle name="Suma 2 51 3" xfId="34155"/>
    <cellStyle name="Suma 2 51 4" xfId="34156"/>
    <cellStyle name="Suma 2 52" xfId="34157"/>
    <cellStyle name="Suma 2 52 2" xfId="34158"/>
    <cellStyle name="Suma 2 52 3" xfId="34159"/>
    <cellStyle name="Suma 2 52 4" xfId="34160"/>
    <cellStyle name="Suma 2 53" xfId="34161"/>
    <cellStyle name="Suma 2 53 2" xfId="34162"/>
    <cellStyle name="Suma 2 53 3" xfId="34163"/>
    <cellStyle name="Suma 2 53 4" xfId="34164"/>
    <cellStyle name="Suma 2 54" xfId="34165"/>
    <cellStyle name="Suma 2 54 2" xfId="34166"/>
    <cellStyle name="Suma 2 54 3" xfId="34167"/>
    <cellStyle name="Suma 2 54 4" xfId="34168"/>
    <cellStyle name="Suma 2 55" xfId="34169"/>
    <cellStyle name="Suma 2 55 2" xfId="34170"/>
    <cellStyle name="Suma 2 55 3" xfId="34171"/>
    <cellStyle name="Suma 2 55 4" xfId="34172"/>
    <cellStyle name="Suma 2 56" xfId="34173"/>
    <cellStyle name="Suma 2 56 2" xfId="34174"/>
    <cellStyle name="Suma 2 56 3" xfId="34175"/>
    <cellStyle name="Suma 2 56 4" xfId="34176"/>
    <cellStyle name="Suma 2 57" xfId="34177"/>
    <cellStyle name="Suma 2 57 2" xfId="34178"/>
    <cellStyle name="Suma 2 57 3" xfId="34179"/>
    <cellStyle name="Suma 2 57 4" xfId="34180"/>
    <cellStyle name="Suma 2 58" xfId="34181"/>
    <cellStyle name="Suma 2 58 2" xfId="34182"/>
    <cellStyle name="Suma 2 58 3" xfId="34183"/>
    <cellStyle name="Suma 2 58 4" xfId="34184"/>
    <cellStyle name="Suma 2 59" xfId="34185"/>
    <cellStyle name="Suma 2 59 2" xfId="34186"/>
    <cellStyle name="Suma 2 59 3" xfId="34187"/>
    <cellStyle name="Suma 2 59 4" xfId="34188"/>
    <cellStyle name="Suma 2 6" xfId="34189"/>
    <cellStyle name="Suma 2 6 10" xfId="34190"/>
    <cellStyle name="Suma 2 6 10 2" xfId="34191"/>
    <cellStyle name="Suma 2 6 10 3" xfId="34192"/>
    <cellStyle name="Suma 2 6 10 4" xfId="34193"/>
    <cellStyle name="Suma 2 6 11" xfId="34194"/>
    <cellStyle name="Suma 2 6 11 2" xfId="34195"/>
    <cellStyle name="Suma 2 6 11 3" xfId="34196"/>
    <cellStyle name="Suma 2 6 11 4" xfId="34197"/>
    <cellStyle name="Suma 2 6 12" xfId="34198"/>
    <cellStyle name="Suma 2 6 12 2" xfId="34199"/>
    <cellStyle name="Suma 2 6 12 3" xfId="34200"/>
    <cellStyle name="Suma 2 6 12 4" xfId="34201"/>
    <cellStyle name="Suma 2 6 13" xfId="34202"/>
    <cellStyle name="Suma 2 6 13 2" xfId="34203"/>
    <cellStyle name="Suma 2 6 13 3" xfId="34204"/>
    <cellStyle name="Suma 2 6 13 4" xfId="34205"/>
    <cellStyle name="Suma 2 6 14" xfId="34206"/>
    <cellStyle name="Suma 2 6 14 2" xfId="34207"/>
    <cellStyle name="Suma 2 6 14 3" xfId="34208"/>
    <cellStyle name="Suma 2 6 14 4" xfId="34209"/>
    <cellStyle name="Suma 2 6 15" xfId="34210"/>
    <cellStyle name="Suma 2 6 15 2" xfId="34211"/>
    <cellStyle name="Suma 2 6 15 3" xfId="34212"/>
    <cellStyle name="Suma 2 6 15 4" xfId="34213"/>
    <cellStyle name="Suma 2 6 16" xfId="34214"/>
    <cellStyle name="Suma 2 6 16 2" xfId="34215"/>
    <cellStyle name="Suma 2 6 16 3" xfId="34216"/>
    <cellStyle name="Suma 2 6 16 4" xfId="34217"/>
    <cellStyle name="Suma 2 6 17" xfId="34218"/>
    <cellStyle name="Suma 2 6 17 2" xfId="34219"/>
    <cellStyle name="Suma 2 6 17 3" xfId="34220"/>
    <cellStyle name="Suma 2 6 17 4" xfId="34221"/>
    <cellStyle name="Suma 2 6 18" xfId="34222"/>
    <cellStyle name="Suma 2 6 18 2" xfId="34223"/>
    <cellStyle name="Suma 2 6 18 3" xfId="34224"/>
    <cellStyle name="Suma 2 6 18 4" xfId="34225"/>
    <cellStyle name="Suma 2 6 19" xfId="34226"/>
    <cellStyle name="Suma 2 6 19 2" xfId="34227"/>
    <cellStyle name="Suma 2 6 19 3" xfId="34228"/>
    <cellStyle name="Suma 2 6 19 4" xfId="34229"/>
    <cellStyle name="Suma 2 6 2" xfId="34230"/>
    <cellStyle name="Suma 2 6 2 2" xfId="34231"/>
    <cellStyle name="Suma 2 6 2 3" xfId="34232"/>
    <cellStyle name="Suma 2 6 2 4" xfId="34233"/>
    <cellStyle name="Suma 2 6 20" xfId="34234"/>
    <cellStyle name="Suma 2 6 20 2" xfId="34235"/>
    <cellStyle name="Suma 2 6 20 3" xfId="34236"/>
    <cellStyle name="Suma 2 6 20 4" xfId="34237"/>
    <cellStyle name="Suma 2 6 21" xfId="34238"/>
    <cellStyle name="Suma 2 6 21 2" xfId="34239"/>
    <cellStyle name="Suma 2 6 21 3" xfId="34240"/>
    <cellStyle name="Suma 2 6 22" xfId="34241"/>
    <cellStyle name="Suma 2 6 22 2" xfId="34242"/>
    <cellStyle name="Suma 2 6 22 3" xfId="34243"/>
    <cellStyle name="Suma 2 6 23" xfId="34244"/>
    <cellStyle name="Suma 2 6 23 2" xfId="34245"/>
    <cellStyle name="Suma 2 6 23 3" xfId="34246"/>
    <cellStyle name="Suma 2 6 24" xfId="34247"/>
    <cellStyle name="Suma 2 6 24 2" xfId="34248"/>
    <cellStyle name="Suma 2 6 24 3" xfId="34249"/>
    <cellStyle name="Suma 2 6 25" xfId="34250"/>
    <cellStyle name="Suma 2 6 25 2" xfId="34251"/>
    <cellStyle name="Suma 2 6 25 3" xfId="34252"/>
    <cellStyle name="Suma 2 6 26" xfId="34253"/>
    <cellStyle name="Suma 2 6 26 2" xfId="34254"/>
    <cellStyle name="Suma 2 6 26 3" xfId="34255"/>
    <cellStyle name="Suma 2 6 27" xfId="34256"/>
    <cellStyle name="Suma 2 6 27 2" xfId="34257"/>
    <cellStyle name="Suma 2 6 27 3" xfId="34258"/>
    <cellStyle name="Suma 2 6 28" xfId="34259"/>
    <cellStyle name="Suma 2 6 28 2" xfId="34260"/>
    <cellStyle name="Suma 2 6 28 3" xfId="34261"/>
    <cellStyle name="Suma 2 6 29" xfId="34262"/>
    <cellStyle name="Suma 2 6 29 2" xfId="34263"/>
    <cellStyle name="Suma 2 6 29 3" xfId="34264"/>
    <cellStyle name="Suma 2 6 3" xfId="34265"/>
    <cellStyle name="Suma 2 6 3 2" xfId="34266"/>
    <cellStyle name="Suma 2 6 3 3" xfId="34267"/>
    <cellStyle name="Suma 2 6 3 4" xfId="34268"/>
    <cellStyle name="Suma 2 6 30" xfId="34269"/>
    <cellStyle name="Suma 2 6 30 2" xfId="34270"/>
    <cellStyle name="Suma 2 6 30 3" xfId="34271"/>
    <cellStyle name="Suma 2 6 31" xfId="34272"/>
    <cellStyle name="Suma 2 6 31 2" xfId="34273"/>
    <cellStyle name="Suma 2 6 31 3" xfId="34274"/>
    <cellStyle name="Suma 2 6 32" xfId="34275"/>
    <cellStyle name="Suma 2 6 32 2" xfId="34276"/>
    <cellStyle name="Suma 2 6 32 3" xfId="34277"/>
    <cellStyle name="Suma 2 6 33" xfId="34278"/>
    <cellStyle name="Suma 2 6 33 2" xfId="34279"/>
    <cellStyle name="Suma 2 6 33 3" xfId="34280"/>
    <cellStyle name="Suma 2 6 34" xfId="34281"/>
    <cellStyle name="Suma 2 6 34 2" xfId="34282"/>
    <cellStyle name="Suma 2 6 34 3" xfId="34283"/>
    <cellStyle name="Suma 2 6 35" xfId="34284"/>
    <cellStyle name="Suma 2 6 35 2" xfId="34285"/>
    <cellStyle name="Suma 2 6 35 3" xfId="34286"/>
    <cellStyle name="Suma 2 6 36" xfId="34287"/>
    <cellStyle name="Suma 2 6 36 2" xfId="34288"/>
    <cellStyle name="Suma 2 6 36 3" xfId="34289"/>
    <cellStyle name="Suma 2 6 37" xfId="34290"/>
    <cellStyle name="Suma 2 6 37 2" xfId="34291"/>
    <cellStyle name="Suma 2 6 37 3" xfId="34292"/>
    <cellStyle name="Suma 2 6 38" xfId="34293"/>
    <cellStyle name="Suma 2 6 38 2" xfId="34294"/>
    <cellStyle name="Suma 2 6 38 3" xfId="34295"/>
    <cellStyle name="Suma 2 6 39" xfId="34296"/>
    <cellStyle name="Suma 2 6 39 2" xfId="34297"/>
    <cellStyle name="Suma 2 6 39 3" xfId="34298"/>
    <cellStyle name="Suma 2 6 4" xfId="34299"/>
    <cellStyle name="Suma 2 6 4 2" xfId="34300"/>
    <cellStyle name="Suma 2 6 4 3" xfId="34301"/>
    <cellStyle name="Suma 2 6 4 4" xfId="34302"/>
    <cellStyle name="Suma 2 6 40" xfId="34303"/>
    <cellStyle name="Suma 2 6 40 2" xfId="34304"/>
    <cellStyle name="Suma 2 6 40 3" xfId="34305"/>
    <cellStyle name="Suma 2 6 41" xfId="34306"/>
    <cellStyle name="Suma 2 6 41 2" xfId="34307"/>
    <cellStyle name="Suma 2 6 41 3" xfId="34308"/>
    <cellStyle name="Suma 2 6 42" xfId="34309"/>
    <cellStyle name="Suma 2 6 42 2" xfId="34310"/>
    <cellStyle name="Suma 2 6 42 3" xfId="34311"/>
    <cellStyle name="Suma 2 6 43" xfId="34312"/>
    <cellStyle name="Suma 2 6 43 2" xfId="34313"/>
    <cellStyle name="Suma 2 6 43 3" xfId="34314"/>
    <cellStyle name="Suma 2 6 44" xfId="34315"/>
    <cellStyle name="Suma 2 6 44 2" xfId="34316"/>
    <cellStyle name="Suma 2 6 44 3" xfId="34317"/>
    <cellStyle name="Suma 2 6 45" xfId="34318"/>
    <cellStyle name="Suma 2 6 45 2" xfId="34319"/>
    <cellStyle name="Suma 2 6 45 3" xfId="34320"/>
    <cellStyle name="Suma 2 6 46" xfId="34321"/>
    <cellStyle name="Suma 2 6 46 2" xfId="34322"/>
    <cellStyle name="Suma 2 6 46 3" xfId="34323"/>
    <cellStyle name="Suma 2 6 47" xfId="34324"/>
    <cellStyle name="Suma 2 6 47 2" xfId="34325"/>
    <cellStyle name="Suma 2 6 47 3" xfId="34326"/>
    <cellStyle name="Suma 2 6 48" xfId="34327"/>
    <cellStyle name="Suma 2 6 48 2" xfId="34328"/>
    <cellStyle name="Suma 2 6 48 3" xfId="34329"/>
    <cellStyle name="Suma 2 6 49" xfId="34330"/>
    <cellStyle name="Suma 2 6 49 2" xfId="34331"/>
    <cellStyle name="Suma 2 6 49 3" xfId="34332"/>
    <cellStyle name="Suma 2 6 5" xfId="34333"/>
    <cellStyle name="Suma 2 6 5 2" xfId="34334"/>
    <cellStyle name="Suma 2 6 5 3" xfId="34335"/>
    <cellStyle name="Suma 2 6 5 4" xfId="34336"/>
    <cellStyle name="Suma 2 6 50" xfId="34337"/>
    <cellStyle name="Suma 2 6 50 2" xfId="34338"/>
    <cellStyle name="Suma 2 6 50 3" xfId="34339"/>
    <cellStyle name="Suma 2 6 51" xfId="34340"/>
    <cellStyle name="Suma 2 6 51 2" xfId="34341"/>
    <cellStyle name="Suma 2 6 51 3" xfId="34342"/>
    <cellStyle name="Suma 2 6 52" xfId="34343"/>
    <cellStyle name="Suma 2 6 52 2" xfId="34344"/>
    <cellStyle name="Suma 2 6 52 3" xfId="34345"/>
    <cellStyle name="Suma 2 6 53" xfId="34346"/>
    <cellStyle name="Suma 2 6 53 2" xfId="34347"/>
    <cellStyle name="Suma 2 6 53 3" xfId="34348"/>
    <cellStyle name="Suma 2 6 54" xfId="34349"/>
    <cellStyle name="Suma 2 6 54 2" xfId="34350"/>
    <cellStyle name="Suma 2 6 54 3" xfId="34351"/>
    <cellStyle name="Suma 2 6 55" xfId="34352"/>
    <cellStyle name="Suma 2 6 55 2" xfId="34353"/>
    <cellStyle name="Suma 2 6 55 3" xfId="34354"/>
    <cellStyle name="Suma 2 6 56" xfId="34355"/>
    <cellStyle name="Suma 2 6 56 2" xfId="34356"/>
    <cellStyle name="Suma 2 6 56 3" xfId="34357"/>
    <cellStyle name="Suma 2 6 57" xfId="34358"/>
    <cellStyle name="Suma 2 6 58" xfId="34359"/>
    <cellStyle name="Suma 2 6 6" xfId="34360"/>
    <cellStyle name="Suma 2 6 6 2" xfId="34361"/>
    <cellStyle name="Suma 2 6 6 3" xfId="34362"/>
    <cellStyle name="Suma 2 6 6 4" xfId="34363"/>
    <cellStyle name="Suma 2 6 7" xfId="34364"/>
    <cellStyle name="Suma 2 6 7 2" xfId="34365"/>
    <cellStyle name="Suma 2 6 7 3" xfId="34366"/>
    <cellStyle name="Suma 2 6 7 4" xfId="34367"/>
    <cellStyle name="Suma 2 6 8" xfId="34368"/>
    <cellStyle name="Suma 2 6 8 2" xfId="34369"/>
    <cellStyle name="Suma 2 6 8 3" xfId="34370"/>
    <cellStyle name="Suma 2 6 8 4" xfId="34371"/>
    <cellStyle name="Suma 2 6 9" xfId="34372"/>
    <cellStyle name="Suma 2 6 9 2" xfId="34373"/>
    <cellStyle name="Suma 2 6 9 3" xfId="34374"/>
    <cellStyle name="Suma 2 6 9 4" xfId="34375"/>
    <cellStyle name="Suma 2 60" xfId="34376"/>
    <cellStyle name="Suma 2 60 2" xfId="34377"/>
    <cellStyle name="Suma 2 60 3" xfId="34378"/>
    <cellStyle name="Suma 2 60 4" xfId="34379"/>
    <cellStyle name="Suma 2 61" xfId="34380"/>
    <cellStyle name="Suma 2 61 2" xfId="34381"/>
    <cellStyle name="Suma 2 61 3" xfId="34382"/>
    <cellStyle name="Suma 2 61 4" xfId="34383"/>
    <cellStyle name="Suma 2 62" xfId="34384"/>
    <cellStyle name="Suma 2 62 2" xfId="34385"/>
    <cellStyle name="Suma 2 62 3" xfId="34386"/>
    <cellStyle name="Suma 2 62 4" xfId="34387"/>
    <cellStyle name="Suma 2 63" xfId="34388"/>
    <cellStyle name="Suma 2 63 2" xfId="34389"/>
    <cellStyle name="Suma 2 63 3" xfId="34390"/>
    <cellStyle name="Suma 2 63 4" xfId="34391"/>
    <cellStyle name="Suma 2 64" xfId="34392"/>
    <cellStyle name="Suma 2 64 2" xfId="34393"/>
    <cellStyle name="Suma 2 64 3" xfId="34394"/>
    <cellStyle name="Suma 2 64 4" xfId="34395"/>
    <cellStyle name="Suma 2 65" xfId="34396"/>
    <cellStyle name="Suma 2 65 2" xfId="34397"/>
    <cellStyle name="Suma 2 65 3" xfId="34398"/>
    <cellStyle name="Suma 2 65 4" xfId="34399"/>
    <cellStyle name="Suma 2 66" xfId="34400"/>
    <cellStyle name="Suma 2 66 2" xfId="34401"/>
    <cellStyle name="Suma 2 66 3" xfId="34402"/>
    <cellStyle name="Suma 2 66 4" xfId="34403"/>
    <cellStyle name="Suma 2 67" xfId="34404"/>
    <cellStyle name="Suma 2 67 2" xfId="34405"/>
    <cellStyle name="Suma 2 67 3" xfId="34406"/>
    <cellStyle name="Suma 2 68" xfId="34407"/>
    <cellStyle name="Suma 2 68 2" xfId="34408"/>
    <cellStyle name="Suma 2 68 3" xfId="34409"/>
    <cellStyle name="Suma 2 69" xfId="34410"/>
    <cellStyle name="Suma 2 69 2" xfId="34411"/>
    <cellStyle name="Suma 2 69 3" xfId="34412"/>
    <cellStyle name="Suma 2 7" xfId="34413"/>
    <cellStyle name="Suma 2 7 10" xfId="34414"/>
    <cellStyle name="Suma 2 7 10 2" xfId="34415"/>
    <cellStyle name="Suma 2 7 10 3" xfId="34416"/>
    <cellStyle name="Suma 2 7 10 4" xfId="34417"/>
    <cellStyle name="Suma 2 7 11" xfId="34418"/>
    <cellStyle name="Suma 2 7 11 2" xfId="34419"/>
    <cellStyle name="Suma 2 7 11 3" xfId="34420"/>
    <cellStyle name="Suma 2 7 11 4" xfId="34421"/>
    <cellStyle name="Suma 2 7 12" xfId="34422"/>
    <cellStyle name="Suma 2 7 12 2" xfId="34423"/>
    <cellStyle name="Suma 2 7 12 3" xfId="34424"/>
    <cellStyle name="Suma 2 7 12 4" xfId="34425"/>
    <cellStyle name="Suma 2 7 13" xfId="34426"/>
    <cellStyle name="Suma 2 7 13 2" xfId="34427"/>
    <cellStyle name="Suma 2 7 13 3" xfId="34428"/>
    <cellStyle name="Suma 2 7 13 4" xfId="34429"/>
    <cellStyle name="Suma 2 7 14" xfId="34430"/>
    <cellStyle name="Suma 2 7 14 2" xfId="34431"/>
    <cellStyle name="Suma 2 7 14 3" xfId="34432"/>
    <cellStyle name="Suma 2 7 14 4" xfId="34433"/>
    <cellStyle name="Suma 2 7 15" xfId="34434"/>
    <cellStyle name="Suma 2 7 15 2" xfId="34435"/>
    <cellStyle name="Suma 2 7 15 3" xfId="34436"/>
    <cellStyle name="Suma 2 7 15 4" xfId="34437"/>
    <cellStyle name="Suma 2 7 16" xfId="34438"/>
    <cellStyle name="Suma 2 7 16 2" xfId="34439"/>
    <cellStyle name="Suma 2 7 16 3" xfId="34440"/>
    <cellStyle name="Suma 2 7 16 4" xfId="34441"/>
    <cellStyle name="Suma 2 7 17" xfId="34442"/>
    <cellStyle name="Suma 2 7 17 2" xfId="34443"/>
    <cellStyle name="Suma 2 7 17 3" xfId="34444"/>
    <cellStyle name="Suma 2 7 17 4" xfId="34445"/>
    <cellStyle name="Suma 2 7 18" xfId="34446"/>
    <cellStyle name="Suma 2 7 18 2" xfId="34447"/>
    <cellStyle name="Suma 2 7 18 3" xfId="34448"/>
    <cellStyle name="Suma 2 7 18 4" xfId="34449"/>
    <cellStyle name="Suma 2 7 19" xfId="34450"/>
    <cellStyle name="Suma 2 7 19 2" xfId="34451"/>
    <cellStyle name="Suma 2 7 19 3" xfId="34452"/>
    <cellStyle name="Suma 2 7 19 4" xfId="34453"/>
    <cellStyle name="Suma 2 7 2" xfId="34454"/>
    <cellStyle name="Suma 2 7 2 2" xfId="34455"/>
    <cellStyle name="Suma 2 7 2 3" xfId="34456"/>
    <cellStyle name="Suma 2 7 2 4" xfId="34457"/>
    <cellStyle name="Suma 2 7 20" xfId="34458"/>
    <cellStyle name="Suma 2 7 20 2" xfId="34459"/>
    <cellStyle name="Suma 2 7 20 3" xfId="34460"/>
    <cellStyle name="Suma 2 7 20 4" xfId="34461"/>
    <cellStyle name="Suma 2 7 21" xfId="34462"/>
    <cellStyle name="Suma 2 7 21 2" xfId="34463"/>
    <cellStyle name="Suma 2 7 21 3" xfId="34464"/>
    <cellStyle name="Suma 2 7 22" xfId="34465"/>
    <cellStyle name="Suma 2 7 22 2" xfId="34466"/>
    <cellStyle name="Suma 2 7 22 3" xfId="34467"/>
    <cellStyle name="Suma 2 7 23" xfId="34468"/>
    <cellStyle name="Suma 2 7 23 2" xfId="34469"/>
    <cellStyle name="Suma 2 7 23 3" xfId="34470"/>
    <cellStyle name="Suma 2 7 24" xfId="34471"/>
    <cellStyle name="Suma 2 7 24 2" xfId="34472"/>
    <cellStyle name="Suma 2 7 24 3" xfId="34473"/>
    <cellStyle name="Suma 2 7 25" xfId="34474"/>
    <cellStyle name="Suma 2 7 25 2" xfId="34475"/>
    <cellStyle name="Suma 2 7 25 3" xfId="34476"/>
    <cellStyle name="Suma 2 7 26" xfId="34477"/>
    <cellStyle name="Suma 2 7 26 2" xfId="34478"/>
    <cellStyle name="Suma 2 7 26 3" xfId="34479"/>
    <cellStyle name="Suma 2 7 27" xfId="34480"/>
    <cellStyle name="Suma 2 7 27 2" xfId="34481"/>
    <cellStyle name="Suma 2 7 27 3" xfId="34482"/>
    <cellStyle name="Suma 2 7 28" xfId="34483"/>
    <cellStyle name="Suma 2 7 28 2" xfId="34484"/>
    <cellStyle name="Suma 2 7 28 3" xfId="34485"/>
    <cellStyle name="Suma 2 7 29" xfId="34486"/>
    <cellStyle name="Suma 2 7 29 2" xfId="34487"/>
    <cellStyle name="Suma 2 7 29 3" xfId="34488"/>
    <cellStyle name="Suma 2 7 3" xfId="34489"/>
    <cellStyle name="Suma 2 7 3 2" xfId="34490"/>
    <cellStyle name="Suma 2 7 3 3" xfId="34491"/>
    <cellStyle name="Suma 2 7 3 4" xfId="34492"/>
    <cellStyle name="Suma 2 7 30" xfId="34493"/>
    <cellStyle name="Suma 2 7 30 2" xfId="34494"/>
    <cellStyle name="Suma 2 7 30 3" xfId="34495"/>
    <cellStyle name="Suma 2 7 31" xfId="34496"/>
    <cellStyle name="Suma 2 7 31 2" xfId="34497"/>
    <cellStyle name="Suma 2 7 31 3" xfId="34498"/>
    <cellStyle name="Suma 2 7 32" xfId="34499"/>
    <cellStyle name="Suma 2 7 32 2" xfId="34500"/>
    <cellStyle name="Suma 2 7 32 3" xfId="34501"/>
    <cellStyle name="Suma 2 7 33" xfId="34502"/>
    <cellStyle name="Suma 2 7 33 2" xfId="34503"/>
    <cellStyle name="Suma 2 7 33 3" xfId="34504"/>
    <cellStyle name="Suma 2 7 34" xfId="34505"/>
    <cellStyle name="Suma 2 7 34 2" xfId="34506"/>
    <cellStyle name="Suma 2 7 34 3" xfId="34507"/>
    <cellStyle name="Suma 2 7 35" xfId="34508"/>
    <cellStyle name="Suma 2 7 35 2" xfId="34509"/>
    <cellStyle name="Suma 2 7 35 3" xfId="34510"/>
    <cellStyle name="Suma 2 7 36" xfId="34511"/>
    <cellStyle name="Suma 2 7 36 2" xfId="34512"/>
    <cellStyle name="Suma 2 7 36 3" xfId="34513"/>
    <cellStyle name="Suma 2 7 37" xfId="34514"/>
    <cellStyle name="Suma 2 7 37 2" xfId="34515"/>
    <cellStyle name="Suma 2 7 37 3" xfId="34516"/>
    <cellStyle name="Suma 2 7 38" xfId="34517"/>
    <cellStyle name="Suma 2 7 38 2" xfId="34518"/>
    <cellStyle name="Suma 2 7 38 3" xfId="34519"/>
    <cellStyle name="Suma 2 7 39" xfId="34520"/>
    <cellStyle name="Suma 2 7 39 2" xfId="34521"/>
    <cellStyle name="Suma 2 7 39 3" xfId="34522"/>
    <cellStyle name="Suma 2 7 4" xfId="34523"/>
    <cellStyle name="Suma 2 7 4 2" xfId="34524"/>
    <cellStyle name="Suma 2 7 4 3" xfId="34525"/>
    <cellStyle name="Suma 2 7 4 4" xfId="34526"/>
    <cellStyle name="Suma 2 7 40" xfId="34527"/>
    <cellStyle name="Suma 2 7 40 2" xfId="34528"/>
    <cellStyle name="Suma 2 7 40 3" xfId="34529"/>
    <cellStyle name="Suma 2 7 41" xfId="34530"/>
    <cellStyle name="Suma 2 7 41 2" xfId="34531"/>
    <cellStyle name="Suma 2 7 41 3" xfId="34532"/>
    <cellStyle name="Suma 2 7 42" xfId="34533"/>
    <cellStyle name="Suma 2 7 42 2" xfId="34534"/>
    <cellStyle name="Suma 2 7 42 3" xfId="34535"/>
    <cellStyle name="Suma 2 7 43" xfId="34536"/>
    <cellStyle name="Suma 2 7 43 2" xfId="34537"/>
    <cellStyle name="Suma 2 7 43 3" xfId="34538"/>
    <cellStyle name="Suma 2 7 44" xfId="34539"/>
    <cellStyle name="Suma 2 7 44 2" xfId="34540"/>
    <cellStyle name="Suma 2 7 44 3" xfId="34541"/>
    <cellStyle name="Suma 2 7 45" xfId="34542"/>
    <cellStyle name="Suma 2 7 45 2" xfId="34543"/>
    <cellStyle name="Suma 2 7 45 3" xfId="34544"/>
    <cellStyle name="Suma 2 7 46" xfId="34545"/>
    <cellStyle name="Suma 2 7 46 2" xfId="34546"/>
    <cellStyle name="Suma 2 7 46 3" xfId="34547"/>
    <cellStyle name="Suma 2 7 47" xfId="34548"/>
    <cellStyle name="Suma 2 7 47 2" xfId="34549"/>
    <cellStyle name="Suma 2 7 47 3" xfId="34550"/>
    <cellStyle name="Suma 2 7 48" xfId="34551"/>
    <cellStyle name="Suma 2 7 48 2" xfId="34552"/>
    <cellStyle name="Suma 2 7 48 3" xfId="34553"/>
    <cellStyle name="Suma 2 7 49" xfId="34554"/>
    <cellStyle name="Suma 2 7 49 2" xfId="34555"/>
    <cellStyle name="Suma 2 7 49 3" xfId="34556"/>
    <cellStyle name="Suma 2 7 5" xfId="34557"/>
    <cellStyle name="Suma 2 7 5 2" xfId="34558"/>
    <cellStyle name="Suma 2 7 5 3" xfId="34559"/>
    <cellStyle name="Suma 2 7 5 4" xfId="34560"/>
    <cellStyle name="Suma 2 7 50" xfId="34561"/>
    <cellStyle name="Suma 2 7 50 2" xfId="34562"/>
    <cellStyle name="Suma 2 7 50 3" xfId="34563"/>
    <cellStyle name="Suma 2 7 51" xfId="34564"/>
    <cellStyle name="Suma 2 7 51 2" xfId="34565"/>
    <cellStyle name="Suma 2 7 51 3" xfId="34566"/>
    <cellStyle name="Suma 2 7 52" xfId="34567"/>
    <cellStyle name="Suma 2 7 52 2" xfId="34568"/>
    <cellStyle name="Suma 2 7 52 3" xfId="34569"/>
    <cellStyle name="Suma 2 7 53" xfId="34570"/>
    <cellStyle name="Suma 2 7 53 2" xfId="34571"/>
    <cellStyle name="Suma 2 7 53 3" xfId="34572"/>
    <cellStyle name="Suma 2 7 54" xfId="34573"/>
    <cellStyle name="Suma 2 7 54 2" xfId="34574"/>
    <cellStyle name="Suma 2 7 54 3" xfId="34575"/>
    <cellStyle name="Suma 2 7 55" xfId="34576"/>
    <cellStyle name="Suma 2 7 55 2" xfId="34577"/>
    <cellStyle name="Suma 2 7 55 3" xfId="34578"/>
    <cellStyle name="Suma 2 7 56" xfId="34579"/>
    <cellStyle name="Suma 2 7 56 2" xfId="34580"/>
    <cellStyle name="Suma 2 7 56 3" xfId="34581"/>
    <cellStyle name="Suma 2 7 57" xfId="34582"/>
    <cellStyle name="Suma 2 7 58" xfId="34583"/>
    <cellStyle name="Suma 2 7 6" xfId="34584"/>
    <cellStyle name="Suma 2 7 6 2" xfId="34585"/>
    <cellStyle name="Suma 2 7 6 3" xfId="34586"/>
    <cellStyle name="Suma 2 7 6 4" xfId="34587"/>
    <cellStyle name="Suma 2 7 7" xfId="34588"/>
    <cellStyle name="Suma 2 7 7 2" xfId="34589"/>
    <cellStyle name="Suma 2 7 7 3" xfId="34590"/>
    <cellStyle name="Suma 2 7 7 4" xfId="34591"/>
    <cellStyle name="Suma 2 7 8" xfId="34592"/>
    <cellStyle name="Suma 2 7 8 2" xfId="34593"/>
    <cellStyle name="Suma 2 7 8 3" xfId="34594"/>
    <cellStyle name="Suma 2 7 8 4" xfId="34595"/>
    <cellStyle name="Suma 2 7 9" xfId="34596"/>
    <cellStyle name="Suma 2 7 9 2" xfId="34597"/>
    <cellStyle name="Suma 2 7 9 3" xfId="34598"/>
    <cellStyle name="Suma 2 7 9 4" xfId="34599"/>
    <cellStyle name="Suma 2 70" xfId="34600"/>
    <cellStyle name="Suma 2 70 2" xfId="34601"/>
    <cellStyle name="Suma 2 70 3" xfId="34602"/>
    <cellStyle name="Suma 2 71" xfId="34603"/>
    <cellStyle name="Suma 2 71 2" xfId="34604"/>
    <cellStyle name="Suma 2 71 3" xfId="34605"/>
    <cellStyle name="Suma 2 72" xfId="34606"/>
    <cellStyle name="Suma 2 72 2" xfId="34607"/>
    <cellStyle name="Suma 2 72 3" xfId="34608"/>
    <cellStyle name="Suma 2 73" xfId="34609"/>
    <cellStyle name="Suma 2 73 2" xfId="34610"/>
    <cellStyle name="Suma 2 73 3" xfId="34611"/>
    <cellStyle name="Suma 2 74" xfId="34612"/>
    <cellStyle name="Suma 2 74 2" xfId="34613"/>
    <cellStyle name="Suma 2 74 3" xfId="34614"/>
    <cellStyle name="Suma 2 75" xfId="34615"/>
    <cellStyle name="Suma 2 75 2" xfId="34616"/>
    <cellStyle name="Suma 2 75 3" xfId="34617"/>
    <cellStyle name="Suma 2 76" xfId="34618"/>
    <cellStyle name="Suma 2 76 2" xfId="34619"/>
    <cellStyle name="Suma 2 76 3" xfId="34620"/>
    <cellStyle name="Suma 2 77" xfId="34621"/>
    <cellStyle name="Suma 2 77 2" xfId="34622"/>
    <cellStyle name="Suma 2 77 3" xfId="34623"/>
    <cellStyle name="Suma 2 78" xfId="34624"/>
    <cellStyle name="Suma 2 78 2" xfId="34625"/>
    <cellStyle name="Suma 2 78 3" xfId="34626"/>
    <cellStyle name="Suma 2 79" xfId="34627"/>
    <cellStyle name="Suma 2 79 2" xfId="34628"/>
    <cellStyle name="Suma 2 79 3" xfId="34629"/>
    <cellStyle name="Suma 2 8" xfId="34630"/>
    <cellStyle name="Suma 2 8 10" xfId="34631"/>
    <cellStyle name="Suma 2 8 10 2" xfId="34632"/>
    <cellStyle name="Suma 2 8 10 3" xfId="34633"/>
    <cellStyle name="Suma 2 8 10 4" xfId="34634"/>
    <cellStyle name="Suma 2 8 11" xfId="34635"/>
    <cellStyle name="Suma 2 8 11 2" xfId="34636"/>
    <cellStyle name="Suma 2 8 11 3" xfId="34637"/>
    <cellStyle name="Suma 2 8 11 4" xfId="34638"/>
    <cellStyle name="Suma 2 8 12" xfId="34639"/>
    <cellStyle name="Suma 2 8 12 2" xfId="34640"/>
    <cellStyle name="Suma 2 8 12 3" xfId="34641"/>
    <cellStyle name="Suma 2 8 12 4" xfId="34642"/>
    <cellStyle name="Suma 2 8 13" xfId="34643"/>
    <cellStyle name="Suma 2 8 13 2" xfId="34644"/>
    <cellStyle name="Suma 2 8 13 3" xfId="34645"/>
    <cellStyle name="Suma 2 8 13 4" xfId="34646"/>
    <cellStyle name="Suma 2 8 14" xfId="34647"/>
    <cellStyle name="Suma 2 8 14 2" xfId="34648"/>
    <cellStyle name="Suma 2 8 14 3" xfId="34649"/>
    <cellStyle name="Suma 2 8 14 4" xfId="34650"/>
    <cellStyle name="Suma 2 8 15" xfId="34651"/>
    <cellStyle name="Suma 2 8 15 2" xfId="34652"/>
    <cellStyle name="Suma 2 8 15 3" xfId="34653"/>
    <cellStyle name="Suma 2 8 15 4" xfId="34654"/>
    <cellStyle name="Suma 2 8 16" xfId="34655"/>
    <cellStyle name="Suma 2 8 16 2" xfId="34656"/>
    <cellStyle name="Suma 2 8 16 3" xfId="34657"/>
    <cellStyle name="Suma 2 8 16 4" xfId="34658"/>
    <cellStyle name="Suma 2 8 17" xfId="34659"/>
    <cellStyle name="Suma 2 8 17 2" xfId="34660"/>
    <cellStyle name="Suma 2 8 17 3" xfId="34661"/>
    <cellStyle name="Suma 2 8 17 4" xfId="34662"/>
    <cellStyle name="Suma 2 8 18" xfId="34663"/>
    <cellStyle name="Suma 2 8 18 2" xfId="34664"/>
    <cellStyle name="Suma 2 8 18 3" xfId="34665"/>
    <cellStyle name="Suma 2 8 18 4" xfId="34666"/>
    <cellStyle name="Suma 2 8 19" xfId="34667"/>
    <cellStyle name="Suma 2 8 19 2" xfId="34668"/>
    <cellStyle name="Suma 2 8 19 3" xfId="34669"/>
    <cellStyle name="Suma 2 8 19 4" xfId="34670"/>
    <cellStyle name="Suma 2 8 2" xfId="34671"/>
    <cellStyle name="Suma 2 8 2 2" xfId="34672"/>
    <cellStyle name="Suma 2 8 2 3" xfId="34673"/>
    <cellStyle name="Suma 2 8 2 4" xfId="34674"/>
    <cellStyle name="Suma 2 8 20" xfId="34675"/>
    <cellStyle name="Suma 2 8 20 2" xfId="34676"/>
    <cellStyle name="Suma 2 8 20 3" xfId="34677"/>
    <cellStyle name="Suma 2 8 20 4" xfId="34678"/>
    <cellStyle name="Suma 2 8 21" xfId="34679"/>
    <cellStyle name="Suma 2 8 21 2" xfId="34680"/>
    <cellStyle name="Suma 2 8 21 3" xfId="34681"/>
    <cellStyle name="Suma 2 8 22" xfId="34682"/>
    <cellStyle name="Suma 2 8 22 2" xfId="34683"/>
    <cellStyle name="Suma 2 8 22 3" xfId="34684"/>
    <cellStyle name="Suma 2 8 23" xfId="34685"/>
    <cellStyle name="Suma 2 8 23 2" xfId="34686"/>
    <cellStyle name="Suma 2 8 23 3" xfId="34687"/>
    <cellStyle name="Suma 2 8 24" xfId="34688"/>
    <cellStyle name="Suma 2 8 24 2" xfId="34689"/>
    <cellStyle name="Suma 2 8 24 3" xfId="34690"/>
    <cellStyle name="Suma 2 8 25" xfId="34691"/>
    <cellStyle name="Suma 2 8 25 2" xfId="34692"/>
    <cellStyle name="Suma 2 8 25 3" xfId="34693"/>
    <cellStyle name="Suma 2 8 26" xfId="34694"/>
    <cellStyle name="Suma 2 8 26 2" xfId="34695"/>
    <cellStyle name="Suma 2 8 26 3" xfId="34696"/>
    <cellStyle name="Suma 2 8 27" xfId="34697"/>
    <cellStyle name="Suma 2 8 27 2" xfId="34698"/>
    <cellStyle name="Suma 2 8 27 3" xfId="34699"/>
    <cellStyle name="Suma 2 8 28" xfId="34700"/>
    <cellStyle name="Suma 2 8 28 2" xfId="34701"/>
    <cellStyle name="Suma 2 8 28 3" xfId="34702"/>
    <cellStyle name="Suma 2 8 29" xfId="34703"/>
    <cellStyle name="Suma 2 8 29 2" xfId="34704"/>
    <cellStyle name="Suma 2 8 29 3" xfId="34705"/>
    <cellStyle name="Suma 2 8 3" xfId="34706"/>
    <cellStyle name="Suma 2 8 3 2" xfId="34707"/>
    <cellStyle name="Suma 2 8 3 3" xfId="34708"/>
    <cellStyle name="Suma 2 8 3 4" xfId="34709"/>
    <cellStyle name="Suma 2 8 30" xfId="34710"/>
    <cellStyle name="Suma 2 8 30 2" xfId="34711"/>
    <cellStyle name="Suma 2 8 30 3" xfId="34712"/>
    <cellStyle name="Suma 2 8 31" xfId="34713"/>
    <cellStyle name="Suma 2 8 31 2" xfId="34714"/>
    <cellStyle name="Suma 2 8 31 3" xfId="34715"/>
    <cellStyle name="Suma 2 8 32" xfId="34716"/>
    <cellStyle name="Suma 2 8 32 2" xfId="34717"/>
    <cellStyle name="Suma 2 8 32 3" xfId="34718"/>
    <cellStyle name="Suma 2 8 33" xfId="34719"/>
    <cellStyle name="Suma 2 8 33 2" xfId="34720"/>
    <cellStyle name="Suma 2 8 33 3" xfId="34721"/>
    <cellStyle name="Suma 2 8 34" xfId="34722"/>
    <cellStyle name="Suma 2 8 34 2" xfId="34723"/>
    <cellStyle name="Suma 2 8 34 3" xfId="34724"/>
    <cellStyle name="Suma 2 8 35" xfId="34725"/>
    <cellStyle name="Suma 2 8 35 2" xfId="34726"/>
    <cellStyle name="Suma 2 8 35 3" xfId="34727"/>
    <cellStyle name="Suma 2 8 36" xfId="34728"/>
    <cellStyle name="Suma 2 8 36 2" xfId="34729"/>
    <cellStyle name="Suma 2 8 36 3" xfId="34730"/>
    <cellStyle name="Suma 2 8 37" xfId="34731"/>
    <cellStyle name="Suma 2 8 37 2" xfId="34732"/>
    <cellStyle name="Suma 2 8 37 3" xfId="34733"/>
    <cellStyle name="Suma 2 8 38" xfId="34734"/>
    <cellStyle name="Suma 2 8 38 2" xfId="34735"/>
    <cellStyle name="Suma 2 8 38 3" xfId="34736"/>
    <cellStyle name="Suma 2 8 39" xfId="34737"/>
    <cellStyle name="Suma 2 8 39 2" xfId="34738"/>
    <cellStyle name="Suma 2 8 39 3" xfId="34739"/>
    <cellStyle name="Suma 2 8 4" xfId="34740"/>
    <cellStyle name="Suma 2 8 4 2" xfId="34741"/>
    <cellStyle name="Suma 2 8 4 3" xfId="34742"/>
    <cellStyle name="Suma 2 8 4 4" xfId="34743"/>
    <cellStyle name="Suma 2 8 40" xfId="34744"/>
    <cellStyle name="Suma 2 8 40 2" xfId="34745"/>
    <cellStyle name="Suma 2 8 40 3" xfId="34746"/>
    <cellStyle name="Suma 2 8 41" xfId="34747"/>
    <cellStyle name="Suma 2 8 41 2" xfId="34748"/>
    <cellStyle name="Suma 2 8 41 3" xfId="34749"/>
    <cellStyle name="Suma 2 8 42" xfId="34750"/>
    <cellStyle name="Suma 2 8 42 2" xfId="34751"/>
    <cellStyle name="Suma 2 8 42 3" xfId="34752"/>
    <cellStyle name="Suma 2 8 43" xfId="34753"/>
    <cellStyle name="Suma 2 8 43 2" xfId="34754"/>
    <cellStyle name="Suma 2 8 43 3" xfId="34755"/>
    <cellStyle name="Suma 2 8 44" xfId="34756"/>
    <cellStyle name="Suma 2 8 44 2" xfId="34757"/>
    <cellStyle name="Suma 2 8 44 3" xfId="34758"/>
    <cellStyle name="Suma 2 8 45" xfId="34759"/>
    <cellStyle name="Suma 2 8 45 2" xfId="34760"/>
    <cellStyle name="Suma 2 8 45 3" xfId="34761"/>
    <cellStyle name="Suma 2 8 46" xfId="34762"/>
    <cellStyle name="Suma 2 8 46 2" xfId="34763"/>
    <cellStyle name="Suma 2 8 46 3" xfId="34764"/>
    <cellStyle name="Suma 2 8 47" xfId="34765"/>
    <cellStyle name="Suma 2 8 47 2" xfId="34766"/>
    <cellStyle name="Suma 2 8 47 3" xfId="34767"/>
    <cellStyle name="Suma 2 8 48" xfId="34768"/>
    <cellStyle name="Suma 2 8 48 2" xfId="34769"/>
    <cellStyle name="Suma 2 8 48 3" xfId="34770"/>
    <cellStyle name="Suma 2 8 49" xfId="34771"/>
    <cellStyle name="Suma 2 8 49 2" xfId="34772"/>
    <cellStyle name="Suma 2 8 49 3" xfId="34773"/>
    <cellStyle name="Suma 2 8 5" xfId="34774"/>
    <cellStyle name="Suma 2 8 5 2" xfId="34775"/>
    <cellStyle name="Suma 2 8 5 3" xfId="34776"/>
    <cellStyle name="Suma 2 8 5 4" xfId="34777"/>
    <cellStyle name="Suma 2 8 50" xfId="34778"/>
    <cellStyle name="Suma 2 8 50 2" xfId="34779"/>
    <cellStyle name="Suma 2 8 50 3" xfId="34780"/>
    <cellStyle name="Suma 2 8 51" xfId="34781"/>
    <cellStyle name="Suma 2 8 51 2" xfId="34782"/>
    <cellStyle name="Suma 2 8 51 3" xfId="34783"/>
    <cellStyle name="Suma 2 8 52" xfId="34784"/>
    <cellStyle name="Suma 2 8 52 2" xfId="34785"/>
    <cellStyle name="Suma 2 8 52 3" xfId="34786"/>
    <cellStyle name="Suma 2 8 53" xfId="34787"/>
    <cellStyle name="Suma 2 8 53 2" xfId="34788"/>
    <cellStyle name="Suma 2 8 53 3" xfId="34789"/>
    <cellStyle name="Suma 2 8 54" xfId="34790"/>
    <cellStyle name="Suma 2 8 54 2" xfId="34791"/>
    <cellStyle name="Suma 2 8 54 3" xfId="34792"/>
    <cellStyle name="Suma 2 8 55" xfId="34793"/>
    <cellStyle name="Suma 2 8 55 2" xfId="34794"/>
    <cellStyle name="Suma 2 8 55 3" xfId="34795"/>
    <cellStyle name="Suma 2 8 56" xfId="34796"/>
    <cellStyle name="Suma 2 8 56 2" xfId="34797"/>
    <cellStyle name="Suma 2 8 56 3" xfId="34798"/>
    <cellStyle name="Suma 2 8 57" xfId="34799"/>
    <cellStyle name="Suma 2 8 58" xfId="34800"/>
    <cellStyle name="Suma 2 8 6" xfId="34801"/>
    <cellStyle name="Suma 2 8 6 2" xfId="34802"/>
    <cellStyle name="Suma 2 8 6 3" xfId="34803"/>
    <cellStyle name="Suma 2 8 6 4" xfId="34804"/>
    <cellStyle name="Suma 2 8 7" xfId="34805"/>
    <cellStyle name="Suma 2 8 7 2" xfId="34806"/>
    <cellStyle name="Suma 2 8 7 3" xfId="34807"/>
    <cellStyle name="Suma 2 8 7 4" xfId="34808"/>
    <cellStyle name="Suma 2 8 8" xfId="34809"/>
    <cellStyle name="Suma 2 8 8 2" xfId="34810"/>
    <cellStyle name="Suma 2 8 8 3" xfId="34811"/>
    <cellStyle name="Suma 2 8 8 4" xfId="34812"/>
    <cellStyle name="Suma 2 8 9" xfId="34813"/>
    <cellStyle name="Suma 2 8 9 2" xfId="34814"/>
    <cellStyle name="Suma 2 8 9 3" xfId="34815"/>
    <cellStyle name="Suma 2 8 9 4" xfId="34816"/>
    <cellStyle name="Suma 2 80" xfId="34817"/>
    <cellStyle name="Suma 2 80 2" xfId="34818"/>
    <cellStyle name="Suma 2 80 3" xfId="34819"/>
    <cellStyle name="Suma 2 81" xfId="34820"/>
    <cellStyle name="Suma 2 81 2" xfId="34821"/>
    <cellStyle name="Suma 2 81 3" xfId="34822"/>
    <cellStyle name="Suma 2 82" xfId="34823"/>
    <cellStyle name="Suma 2 82 2" xfId="34824"/>
    <cellStyle name="Suma 2 82 3" xfId="34825"/>
    <cellStyle name="Suma 2 83" xfId="34826"/>
    <cellStyle name="Suma 2 83 2" xfId="34827"/>
    <cellStyle name="Suma 2 83 3" xfId="34828"/>
    <cellStyle name="Suma 2 84" xfId="34829"/>
    <cellStyle name="Suma 2 84 2" xfId="34830"/>
    <cellStyle name="Suma 2 84 3" xfId="34831"/>
    <cellStyle name="Suma 2 85" xfId="34832"/>
    <cellStyle name="Suma 2 85 2" xfId="34833"/>
    <cellStyle name="Suma 2 85 3" xfId="34834"/>
    <cellStyle name="Suma 2 86" xfId="34835"/>
    <cellStyle name="Suma 2 86 2" xfId="34836"/>
    <cellStyle name="Suma 2 86 3" xfId="34837"/>
    <cellStyle name="Suma 2 87" xfId="34838"/>
    <cellStyle name="Suma 2 87 2" xfId="34839"/>
    <cellStyle name="Suma 2 87 3" xfId="34840"/>
    <cellStyle name="Suma 2 88" xfId="34841"/>
    <cellStyle name="Suma 2 89" xfId="34842"/>
    <cellStyle name="Suma 2 9" xfId="34843"/>
    <cellStyle name="Suma 2 9 10" xfId="34844"/>
    <cellStyle name="Suma 2 9 10 2" xfId="34845"/>
    <cellStyle name="Suma 2 9 10 3" xfId="34846"/>
    <cellStyle name="Suma 2 9 10 4" xfId="34847"/>
    <cellStyle name="Suma 2 9 11" xfId="34848"/>
    <cellStyle name="Suma 2 9 11 2" xfId="34849"/>
    <cellStyle name="Suma 2 9 11 3" xfId="34850"/>
    <cellStyle name="Suma 2 9 11 4" xfId="34851"/>
    <cellStyle name="Suma 2 9 12" xfId="34852"/>
    <cellStyle name="Suma 2 9 12 2" xfId="34853"/>
    <cellStyle name="Suma 2 9 12 3" xfId="34854"/>
    <cellStyle name="Suma 2 9 12 4" xfId="34855"/>
    <cellStyle name="Suma 2 9 13" xfId="34856"/>
    <cellStyle name="Suma 2 9 13 2" xfId="34857"/>
    <cellStyle name="Suma 2 9 13 3" xfId="34858"/>
    <cellStyle name="Suma 2 9 13 4" xfId="34859"/>
    <cellStyle name="Suma 2 9 14" xfId="34860"/>
    <cellStyle name="Suma 2 9 14 2" xfId="34861"/>
    <cellStyle name="Suma 2 9 14 3" xfId="34862"/>
    <cellStyle name="Suma 2 9 14 4" xfId="34863"/>
    <cellStyle name="Suma 2 9 15" xfId="34864"/>
    <cellStyle name="Suma 2 9 15 2" xfId="34865"/>
    <cellStyle name="Suma 2 9 15 3" xfId="34866"/>
    <cellStyle name="Suma 2 9 15 4" xfId="34867"/>
    <cellStyle name="Suma 2 9 16" xfId="34868"/>
    <cellStyle name="Suma 2 9 16 2" xfId="34869"/>
    <cellStyle name="Suma 2 9 16 3" xfId="34870"/>
    <cellStyle name="Suma 2 9 16 4" xfId="34871"/>
    <cellStyle name="Suma 2 9 17" xfId="34872"/>
    <cellStyle name="Suma 2 9 17 2" xfId="34873"/>
    <cellStyle name="Suma 2 9 17 3" xfId="34874"/>
    <cellStyle name="Suma 2 9 17 4" xfId="34875"/>
    <cellStyle name="Suma 2 9 18" xfId="34876"/>
    <cellStyle name="Suma 2 9 18 2" xfId="34877"/>
    <cellStyle name="Suma 2 9 18 3" xfId="34878"/>
    <cellStyle name="Suma 2 9 18 4" xfId="34879"/>
    <cellStyle name="Suma 2 9 19" xfId="34880"/>
    <cellStyle name="Suma 2 9 19 2" xfId="34881"/>
    <cellStyle name="Suma 2 9 19 3" xfId="34882"/>
    <cellStyle name="Suma 2 9 19 4" xfId="34883"/>
    <cellStyle name="Suma 2 9 2" xfId="34884"/>
    <cellStyle name="Suma 2 9 2 2" xfId="34885"/>
    <cellStyle name="Suma 2 9 2 3" xfId="34886"/>
    <cellStyle name="Suma 2 9 2 4" xfId="34887"/>
    <cellStyle name="Suma 2 9 20" xfId="34888"/>
    <cellStyle name="Suma 2 9 20 2" xfId="34889"/>
    <cellStyle name="Suma 2 9 20 3" xfId="34890"/>
    <cellStyle name="Suma 2 9 20 4" xfId="34891"/>
    <cellStyle name="Suma 2 9 21" xfId="34892"/>
    <cellStyle name="Suma 2 9 21 2" xfId="34893"/>
    <cellStyle name="Suma 2 9 21 3" xfId="34894"/>
    <cellStyle name="Suma 2 9 22" xfId="34895"/>
    <cellStyle name="Suma 2 9 22 2" xfId="34896"/>
    <cellStyle name="Suma 2 9 22 3" xfId="34897"/>
    <cellStyle name="Suma 2 9 23" xfId="34898"/>
    <cellStyle name="Suma 2 9 23 2" xfId="34899"/>
    <cellStyle name="Suma 2 9 23 3" xfId="34900"/>
    <cellStyle name="Suma 2 9 24" xfId="34901"/>
    <cellStyle name="Suma 2 9 24 2" xfId="34902"/>
    <cellStyle name="Suma 2 9 24 3" xfId="34903"/>
    <cellStyle name="Suma 2 9 25" xfId="34904"/>
    <cellStyle name="Suma 2 9 25 2" xfId="34905"/>
    <cellStyle name="Suma 2 9 25 3" xfId="34906"/>
    <cellStyle name="Suma 2 9 26" xfId="34907"/>
    <cellStyle name="Suma 2 9 26 2" xfId="34908"/>
    <cellStyle name="Suma 2 9 26 3" xfId="34909"/>
    <cellStyle name="Suma 2 9 27" xfId="34910"/>
    <cellStyle name="Suma 2 9 27 2" xfId="34911"/>
    <cellStyle name="Suma 2 9 27 3" xfId="34912"/>
    <cellStyle name="Suma 2 9 28" xfId="34913"/>
    <cellStyle name="Suma 2 9 28 2" xfId="34914"/>
    <cellStyle name="Suma 2 9 28 3" xfId="34915"/>
    <cellStyle name="Suma 2 9 29" xfId="34916"/>
    <cellStyle name="Suma 2 9 29 2" xfId="34917"/>
    <cellStyle name="Suma 2 9 29 3" xfId="34918"/>
    <cellStyle name="Suma 2 9 3" xfId="34919"/>
    <cellStyle name="Suma 2 9 3 2" xfId="34920"/>
    <cellStyle name="Suma 2 9 3 3" xfId="34921"/>
    <cellStyle name="Suma 2 9 3 4" xfId="34922"/>
    <cellStyle name="Suma 2 9 30" xfId="34923"/>
    <cellStyle name="Suma 2 9 30 2" xfId="34924"/>
    <cellStyle name="Suma 2 9 30 3" xfId="34925"/>
    <cellStyle name="Suma 2 9 31" xfId="34926"/>
    <cellStyle name="Suma 2 9 31 2" xfId="34927"/>
    <cellStyle name="Suma 2 9 31 3" xfId="34928"/>
    <cellStyle name="Suma 2 9 32" xfId="34929"/>
    <cellStyle name="Suma 2 9 32 2" xfId="34930"/>
    <cellStyle name="Suma 2 9 32 3" xfId="34931"/>
    <cellStyle name="Suma 2 9 33" xfId="34932"/>
    <cellStyle name="Suma 2 9 33 2" xfId="34933"/>
    <cellStyle name="Suma 2 9 33 3" xfId="34934"/>
    <cellStyle name="Suma 2 9 34" xfId="34935"/>
    <cellStyle name="Suma 2 9 34 2" xfId="34936"/>
    <cellStyle name="Suma 2 9 34 3" xfId="34937"/>
    <cellStyle name="Suma 2 9 35" xfId="34938"/>
    <cellStyle name="Suma 2 9 35 2" xfId="34939"/>
    <cellStyle name="Suma 2 9 35 3" xfId="34940"/>
    <cellStyle name="Suma 2 9 36" xfId="34941"/>
    <cellStyle name="Suma 2 9 36 2" xfId="34942"/>
    <cellStyle name="Suma 2 9 36 3" xfId="34943"/>
    <cellStyle name="Suma 2 9 37" xfId="34944"/>
    <cellStyle name="Suma 2 9 37 2" xfId="34945"/>
    <cellStyle name="Suma 2 9 37 3" xfId="34946"/>
    <cellStyle name="Suma 2 9 38" xfId="34947"/>
    <cellStyle name="Suma 2 9 38 2" xfId="34948"/>
    <cellStyle name="Suma 2 9 38 3" xfId="34949"/>
    <cellStyle name="Suma 2 9 39" xfId="34950"/>
    <cellStyle name="Suma 2 9 39 2" xfId="34951"/>
    <cellStyle name="Suma 2 9 39 3" xfId="34952"/>
    <cellStyle name="Suma 2 9 4" xfId="34953"/>
    <cellStyle name="Suma 2 9 4 2" xfId="34954"/>
    <cellStyle name="Suma 2 9 4 3" xfId="34955"/>
    <cellStyle name="Suma 2 9 4 4" xfId="34956"/>
    <cellStyle name="Suma 2 9 40" xfId="34957"/>
    <cellStyle name="Suma 2 9 40 2" xfId="34958"/>
    <cellStyle name="Suma 2 9 40 3" xfId="34959"/>
    <cellStyle name="Suma 2 9 41" xfId="34960"/>
    <cellStyle name="Suma 2 9 41 2" xfId="34961"/>
    <cellStyle name="Suma 2 9 41 3" xfId="34962"/>
    <cellStyle name="Suma 2 9 42" xfId="34963"/>
    <cellStyle name="Suma 2 9 42 2" xfId="34964"/>
    <cellStyle name="Suma 2 9 42 3" xfId="34965"/>
    <cellStyle name="Suma 2 9 43" xfId="34966"/>
    <cellStyle name="Suma 2 9 43 2" xfId="34967"/>
    <cellStyle name="Suma 2 9 43 3" xfId="34968"/>
    <cellStyle name="Suma 2 9 44" xfId="34969"/>
    <cellStyle name="Suma 2 9 44 2" xfId="34970"/>
    <cellStyle name="Suma 2 9 44 3" xfId="34971"/>
    <cellStyle name="Suma 2 9 45" xfId="34972"/>
    <cellStyle name="Suma 2 9 45 2" xfId="34973"/>
    <cellStyle name="Suma 2 9 45 3" xfId="34974"/>
    <cellStyle name="Suma 2 9 46" xfId="34975"/>
    <cellStyle name="Suma 2 9 46 2" xfId="34976"/>
    <cellStyle name="Suma 2 9 46 3" xfId="34977"/>
    <cellStyle name="Suma 2 9 47" xfId="34978"/>
    <cellStyle name="Suma 2 9 47 2" xfId="34979"/>
    <cellStyle name="Suma 2 9 47 3" xfId="34980"/>
    <cellStyle name="Suma 2 9 48" xfId="34981"/>
    <cellStyle name="Suma 2 9 48 2" xfId="34982"/>
    <cellStyle name="Suma 2 9 48 3" xfId="34983"/>
    <cellStyle name="Suma 2 9 49" xfId="34984"/>
    <cellStyle name="Suma 2 9 49 2" xfId="34985"/>
    <cellStyle name="Suma 2 9 49 3" xfId="34986"/>
    <cellStyle name="Suma 2 9 5" xfId="34987"/>
    <cellStyle name="Suma 2 9 5 2" xfId="34988"/>
    <cellStyle name="Suma 2 9 5 3" xfId="34989"/>
    <cellStyle name="Suma 2 9 5 4" xfId="34990"/>
    <cellStyle name="Suma 2 9 50" xfId="34991"/>
    <cellStyle name="Suma 2 9 50 2" xfId="34992"/>
    <cellStyle name="Suma 2 9 50 3" xfId="34993"/>
    <cellStyle name="Suma 2 9 51" xfId="34994"/>
    <cellStyle name="Suma 2 9 51 2" xfId="34995"/>
    <cellStyle name="Suma 2 9 51 3" xfId="34996"/>
    <cellStyle name="Suma 2 9 52" xfId="34997"/>
    <cellStyle name="Suma 2 9 52 2" xfId="34998"/>
    <cellStyle name="Suma 2 9 52 3" xfId="34999"/>
    <cellStyle name="Suma 2 9 53" xfId="35000"/>
    <cellStyle name="Suma 2 9 53 2" xfId="35001"/>
    <cellStyle name="Suma 2 9 53 3" xfId="35002"/>
    <cellStyle name="Suma 2 9 54" xfId="35003"/>
    <cellStyle name="Suma 2 9 54 2" xfId="35004"/>
    <cellStyle name="Suma 2 9 54 3" xfId="35005"/>
    <cellStyle name="Suma 2 9 55" xfId="35006"/>
    <cellStyle name="Suma 2 9 55 2" xfId="35007"/>
    <cellStyle name="Suma 2 9 55 3" xfId="35008"/>
    <cellStyle name="Suma 2 9 56" xfId="35009"/>
    <cellStyle name="Suma 2 9 56 2" xfId="35010"/>
    <cellStyle name="Suma 2 9 56 3" xfId="35011"/>
    <cellStyle name="Suma 2 9 57" xfId="35012"/>
    <cellStyle name="Suma 2 9 58" xfId="35013"/>
    <cellStyle name="Suma 2 9 6" xfId="35014"/>
    <cellStyle name="Suma 2 9 6 2" xfId="35015"/>
    <cellStyle name="Suma 2 9 6 3" xfId="35016"/>
    <cellStyle name="Suma 2 9 6 4" xfId="35017"/>
    <cellStyle name="Suma 2 9 7" xfId="35018"/>
    <cellStyle name="Suma 2 9 7 2" xfId="35019"/>
    <cellStyle name="Suma 2 9 7 3" xfId="35020"/>
    <cellStyle name="Suma 2 9 7 4" xfId="35021"/>
    <cellStyle name="Suma 2 9 8" xfId="35022"/>
    <cellStyle name="Suma 2 9 8 2" xfId="35023"/>
    <cellStyle name="Suma 2 9 8 3" xfId="35024"/>
    <cellStyle name="Suma 2 9 8 4" xfId="35025"/>
    <cellStyle name="Suma 2 9 9" xfId="35026"/>
    <cellStyle name="Suma 2 9 9 2" xfId="35027"/>
    <cellStyle name="Suma 2 9 9 3" xfId="35028"/>
    <cellStyle name="Suma 2 9 9 4" xfId="35029"/>
    <cellStyle name="Suma 3" xfId="35030"/>
    <cellStyle name="Suma 3 2" xfId="35031"/>
    <cellStyle name="Suma 3 2 2" xfId="35032"/>
    <cellStyle name="Suma 3 3" xfId="35033"/>
    <cellStyle name="Suma 3 4" xfId="35034"/>
    <cellStyle name="Suma 3 5" xfId="35035"/>
    <cellStyle name="Suma 3 6" xfId="35036"/>
    <cellStyle name="Suma 3 7" xfId="35037"/>
    <cellStyle name="Suma 3 8" xfId="35038"/>
    <cellStyle name="Suma 3 9" xfId="35039"/>
    <cellStyle name="Suma 4" xfId="35040"/>
    <cellStyle name="Suma 4 2" xfId="35041"/>
    <cellStyle name="Suma 4 3" xfId="35042"/>
    <cellStyle name="Suma 4 4" xfId="35043"/>
    <cellStyle name="Suma 4 5" xfId="35044"/>
    <cellStyle name="Suma 4 6" xfId="35045"/>
    <cellStyle name="Suma 4 7" xfId="35046"/>
    <cellStyle name="Suma 4 8" xfId="35047"/>
    <cellStyle name="Suma 4 9" xfId="35048"/>
    <cellStyle name="Suma 5" xfId="35049"/>
    <cellStyle name="Suma 5 2" xfId="35050"/>
    <cellStyle name="Suma 5 3" xfId="35051"/>
    <cellStyle name="Suma 6" xfId="35052"/>
    <cellStyle name="Suma 6 2" xfId="35053"/>
    <cellStyle name="Suma 7" xfId="35054"/>
    <cellStyle name="Tekst objaśnienia 2" xfId="35055"/>
    <cellStyle name="Tekst objaśnienia 2 10" xfId="35056"/>
    <cellStyle name="Tekst objaśnienia 2 10 2" xfId="35057"/>
    <cellStyle name="Tekst objaśnienia 2 10 3" xfId="35058"/>
    <cellStyle name="Tekst objaśnienia 2 10 4" xfId="35059"/>
    <cellStyle name="Tekst objaśnienia 2 10 5" xfId="35060"/>
    <cellStyle name="Tekst objaśnienia 2 10 6" xfId="35061"/>
    <cellStyle name="Tekst objaśnienia 2 10 7" xfId="35062"/>
    <cellStyle name="Tekst objaśnienia 2 11" xfId="35063"/>
    <cellStyle name="Tekst objaśnienia 2 11 2" xfId="35064"/>
    <cellStyle name="Tekst objaśnienia 2 11 3" xfId="35065"/>
    <cellStyle name="Tekst objaśnienia 2 11 4" xfId="35066"/>
    <cellStyle name="Tekst objaśnienia 2 11 5" xfId="35067"/>
    <cellStyle name="Tekst objaśnienia 2 11 6" xfId="35068"/>
    <cellStyle name="Tekst objaśnienia 2 11 7" xfId="35069"/>
    <cellStyle name="Tekst objaśnienia 2 12" xfId="35070"/>
    <cellStyle name="Tekst objaśnienia 2 12 2" xfId="35071"/>
    <cellStyle name="Tekst objaśnienia 2 12 3" xfId="35072"/>
    <cellStyle name="Tekst objaśnienia 2 12 4" xfId="35073"/>
    <cellStyle name="Tekst objaśnienia 2 12 5" xfId="35074"/>
    <cellStyle name="Tekst objaśnienia 2 12 6" xfId="35075"/>
    <cellStyle name="Tekst objaśnienia 2 12 7" xfId="35076"/>
    <cellStyle name="Tekst objaśnienia 2 13" xfId="35077"/>
    <cellStyle name="Tekst objaśnienia 2 13 2" xfId="35078"/>
    <cellStyle name="Tekst objaśnienia 2 13 3" xfId="35079"/>
    <cellStyle name="Tekst objaśnienia 2 13 4" xfId="35080"/>
    <cellStyle name="Tekst objaśnienia 2 13 5" xfId="35081"/>
    <cellStyle name="Tekst objaśnienia 2 13 6" xfId="35082"/>
    <cellStyle name="Tekst objaśnienia 2 13 7" xfId="35083"/>
    <cellStyle name="Tekst objaśnienia 2 14" xfId="35084"/>
    <cellStyle name="Tekst objaśnienia 2 14 2" xfId="35085"/>
    <cellStyle name="Tekst objaśnienia 2 14 3" xfId="35086"/>
    <cellStyle name="Tekst objaśnienia 2 14 4" xfId="35087"/>
    <cellStyle name="Tekst objaśnienia 2 14 5" xfId="35088"/>
    <cellStyle name="Tekst objaśnienia 2 14 6" xfId="35089"/>
    <cellStyle name="Tekst objaśnienia 2 14 7" xfId="35090"/>
    <cellStyle name="Tekst objaśnienia 2 15" xfId="35091"/>
    <cellStyle name="Tekst objaśnienia 2 15 2" xfId="35092"/>
    <cellStyle name="Tekst objaśnienia 2 15 3" xfId="35093"/>
    <cellStyle name="Tekst objaśnienia 2 15 4" xfId="35094"/>
    <cellStyle name="Tekst objaśnienia 2 15 5" xfId="35095"/>
    <cellStyle name="Tekst objaśnienia 2 15 6" xfId="35096"/>
    <cellStyle name="Tekst objaśnienia 2 15 7" xfId="35097"/>
    <cellStyle name="Tekst objaśnienia 2 16" xfId="35098"/>
    <cellStyle name="Tekst objaśnienia 2 16 2" xfId="35099"/>
    <cellStyle name="Tekst objaśnienia 2 16 3" xfId="35100"/>
    <cellStyle name="Tekst objaśnienia 2 16 4" xfId="35101"/>
    <cellStyle name="Tekst objaśnienia 2 16 5" xfId="35102"/>
    <cellStyle name="Tekst objaśnienia 2 16 6" xfId="35103"/>
    <cellStyle name="Tekst objaśnienia 2 16 7" xfId="35104"/>
    <cellStyle name="Tekst objaśnienia 2 17" xfId="35105"/>
    <cellStyle name="Tekst objaśnienia 2 17 2" xfId="35106"/>
    <cellStyle name="Tekst objaśnienia 2 17 3" xfId="35107"/>
    <cellStyle name="Tekst objaśnienia 2 17 4" xfId="35108"/>
    <cellStyle name="Tekst objaśnienia 2 17 5" xfId="35109"/>
    <cellStyle name="Tekst objaśnienia 2 17 6" xfId="35110"/>
    <cellStyle name="Tekst objaśnienia 2 17 7" xfId="35111"/>
    <cellStyle name="Tekst objaśnienia 2 18" xfId="35112"/>
    <cellStyle name="Tekst objaśnienia 2 18 2" xfId="35113"/>
    <cellStyle name="Tekst objaśnienia 2 18 3" xfId="35114"/>
    <cellStyle name="Tekst objaśnienia 2 18 4" xfId="35115"/>
    <cellStyle name="Tekst objaśnienia 2 18 5" xfId="35116"/>
    <cellStyle name="Tekst objaśnienia 2 18 6" xfId="35117"/>
    <cellStyle name="Tekst objaśnienia 2 18 7" xfId="35118"/>
    <cellStyle name="Tekst objaśnienia 2 19" xfId="35119"/>
    <cellStyle name="Tekst objaśnienia 2 19 2" xfId="35120"/>
    <cellStyle name="Tekst objaśnienia 2 19 3" xfId="35121"/>
    <cellStyle name="Tekst objaśnienia 2 19 4" xfId="35122"/>
    <cellStyle name="Tekst objaśnienia 2 19 5" xfId="35123"/>
    <cellStyle name="Tekst objaśnienia 2 19 6" xfId="35124"/>
    <cellStyle name="Tekst objaśnienia 2 19 7" xfId="35125"/>
    <cellStyle name="Tekst objaśnienia 2 2" xfId="35126"/>
    <cellStyle name="Tekst objaśnienia 2 2 2" xfId="35127"/>
    <cellStyle name="Tekst objaśnienia 2 2 3" xfId="35128"/>
    <cellStyle name="Tekst objaśnienia 2 2 4" xfId="35129"/>
    <cellStyle name="Tekst objaśnienia 2 2 5" xfId="35130"/>
    <cellStyle name="Tekst objaśnienia 2 2 6" xfId="35131"/>
    <cellStyle name="Tekst objaśnienia 2 2 7" xfId="35132"/>
    <cellStyle name="Tekst objaśnienia 2 2 8" xfId="35133"/>
    <cellStyle name="Tekst objaśnienia 2 20" xfId="35134"/>
    <cellStyle name="Tekst objaśnienia 2 20 2" xfId="35135"/>
    <cellStyle name="Tekst objaśnienia 2 20 3" xfId="35136"/>
    <cellStyle name="Tekst objaśnienia 2 20 4" xfId="35137"/>
    <cellStyle name="Tekst objaśnienia 2 20 5" xfId="35138"/>
    <cellStyle name="Tekst objaśnienia 2 20 6" xfId="35139"/>
    <cellStyle name="Tekst objaśnienia 2 20 7" xfId="35140"/>
    <cellStyle name="Tekst objaśnienia 2 21" xfId="35141"/>
    <cellStyle name="Tekst objaśnienia 2 21 2" xfId="35142"/>
    <cellStyle name="Tekst objaśnienia 2 21 3" xfId="35143"/>
    <cellStyle name="Tekst objaśnienia 2 21 4" xfId="35144"/>
    <cellStyle name="Tekst objaśnienia 2 21 5" xfId="35145"/>
    <cellStyle name="Tekst objaśnienia 2 21 6" xfId="35146"/>
    <cellStyle name="Tekst objaśnienia 2 21 7" xfId="35147"/>
    <cellStyle name="Tekst objaśnienia 2 22" xfId="35148"/>
    <cellStyle name="Tekst objaśnienia 2 22 2" xfId="35149"/>
    <cellStyle name="Tekst objaśnienia 2 22 3" xfId="35150"/>
    <cellStyle name="Tekst objaśnienia 2 22 4" xfId="35151"/>
    <cellStyle name="Tekst objaśnienia 2 22 5" xfId="35152"/>
    <cellStyle name="Tekst objaśnienia 2 22 6" xfId="35153"/>
    <cellStyle name="Tekst objaśnienia 2 22 7" xfId="35154"/>
    <cellStyle name="Tekst objaśnienia 2 23" xfId="35155"/>
    <cellStyle name="Tekst objaśnienia 2 23 2" xfId="35156"/>
    <cellStyle name="Tekst objaśnienia 2 23 3" xfId="35157"/>
    <cellStyle name="Tekst objaśnienia 2 23 4" xfId="35158"/>
    <cellStyle name="Tekst objaśnienia 2 23 5" xfId="35159"/>
    <cellStyle name="Tekst objaśnienia 2 23 6" xfId="35160"/>
    <cellStyle name="Tekst objaśnienia 2 23 7" xfId="35161"/>
    <cellStyle name="Tekst objaśnienia 2 24" xfId="35162"/>
    <cellStyle name="Tekst objaśnienia 2 24 2" xfId="35163"/>
    <cellStyle name="Tekst objaśnienia 2 24 3" xfId="35164"/>
    <cellStyle name="Tekst objaśnienia 2 24 4" xfId="35165"/>
    <cellStyle name="Tekst objaśnienia 2 24 5" xfId="35166"/>
    <cellStyle name="Tekst objaśnienia 2 24 6" xfId="35167"/>
    <cellStyle name="Tekst objaśnienia 2 24 7" xfId="35168"/>
    <cellStyle name="Tekst objaśnienia 2 25" xfId="35169"/>
    <cellStyle name="Tekst objaśnienia 2 25 2" xfId="35170"/>
    <cellStyle name="Tekst objaśnienia 2 25 3" xfId="35171"/>
    <cellStyle name="Tekst objaśnienia 2 25 4" xfId="35172"/>
    <cellStyle name="Tekst objaśnienia 2 25 5" xfId="35173"/>
    <cellStyle name="Tekst objaśnienia 2 25 6" xfId="35174"/>
    <cellStyle name="Tekst objaśnienia 2 25 7" xfId="35175"/>
    <cellStyle name="Tekst objaśnienia 2 26" xfId="35176"/>
    <cellStyle name="Tekst objaśnienia 2 26 2" xfId="35177"/>
    <cellStyle name="Tekst objaśnienia 2 26 3" xfId="35178"/>
    <cellStyle name="Tekst objaśnienia 2 26 4" xfId="35179"/>
    <cellStyle name="Tekst objaśnienia 2 26 5" xfId="35180"/>
    <cellStyle name="Tekst objaśnienia 2 26 6" xfId="35181"/>
    <cellStyle name="Tekst objaśnienia 2 26 7" xfId="35182"/>
    <cellStyle name="Tekst objaśnienia 2 27" xfId="35183"/>
    <cellStyle name="Tekst objaśnienia 2 27 2" xfId="35184"/>
    <cellStyle name="Tekst objaśnienia 2 27 3" xfId="35185"/>
    <cellStyle name="Tekst objaśnienia 2 27 4" xfId="35186"/>
    <cellStyle name="Tekst objaśnienia 2 27 5" xfId="35187"/>
    <cellStyle name="Tekst objaśnienia 2 27 6" xfId="35188"/>
    <cellStyle name="Tekst objaśnienia 2 27 7" xfId="35189"/>
    <cellStyle name="Tekst objaśnienia 2 28" xfId="35190"/>
    <cellStyle name="Tekst objaśnienia 2 28 2" xfId="35191"/>
    <cellStyle name="Tekst objaśnienia 2 28 3" xfId="35192"/>
    <cellStyle name="Tekst objaśnienia 2 28 4" xfId="35193"/>
    <cellStyle name="Tekst objaśnienia 2 28 5" xfId="35194"/>
    <cellStyle name="Tekst objaśnienia 2 28 6" xfId="35195"/>
    <cellStyle name="Tekst objaśnienia 2 28 7" xfId="35196"/>
    <cellStyle name="Tekst objaśnienia 2 29" xfId="35197"/>
    <cellStyle name="Tekst objaśnienia 2 29 2" xfId="35198"/>
    <cellStyle name="Tekst objaśnienia 2 3" xfId="35199"/>
    <cellStyle name="Tekst objaśnienia 2 3 2" xfId="35200"/>
    <cellStyle name="Tekst objaśnienia 2 3 3" xfId="35201"/>
    <cellStyle name="Tekst objaśnienia 2 3 4" xfId="35202"/>
    <cellStyle name="Tekst objaśnienia 2 3 5" xfId="35203"/>
    <cellStyle name="Tekst objaśnienia 2 3 6" xfId="35204"/>
    <cellStyle name="Tekst objaśnienia 2 3 7" xfId="35205"/>
    <cellStyle name="Tekst objaśnienia 2 30" xfId="35206"/>
    <cellStyle name="Tekst objaśnienia 2 30 2" xfId="35207"/>
    <cellStyle name="Tekst objaśnienia 2 31" xfId="35208"/>
    <cellStyle name="Tekst objaśnienia 2 31 2" xfId="35209"/>
    <cellStyle name="Tekst objaśnienia 2 32" xfId="35210"/>
    <cellStyle name="Tekst objaśnienia 2 32 2" xfId="35211"/>
    <cellStyle name="Tekst objaśnienia 2 33" xfId="35212"/>
    <cellStyle name="Tekst objaśnienia 2 34" xfId="35213"/>
    <cellStyle name="Tekst objaśnienia 2 35" xfId="35214"/>
    <cellStyle name="Tekst objaśnienia 2 36" xfId="35215"/>
    <cellStyle name="Tekst objaśnienia 2 37" xfId="35216"/>
    <cellStyle name="Tekst objaśnienia 2 38" xfId="35217"/>
    <cellStyle name="Tekst objaśnienia 2 39" xfId="35218"/>
    <cellStyle name="Tekst objaśnienia 2 4" xfId="35219"/>
    <cellStyle name="Tekst objaśnienia 2 4 2" xfId="35220"/>
    <cellStyle name="Tekst objaśnienia 2 4 3" xfId="35221"/>
    <cellStyle name="Tekst objaśnienia 2 4 4" xfId="35222"/>
    <cellStyle name="Tekst objaśnienia 2 4 5" xfId="35223"/>
    <cellStyle name="Tekst objaśnienia 2 4 6" xfId="35224"/>
    <cellStyle name="Tekst objaśnienia 2 4 7" xfId="35225"/>
    <cellStyle name="Tekst objaśnienia 2 5" xfId="35226"/>
    <cellStyle name="Tekst objaśnienia 2 5 2" xfId="35227"/>
    <cellStyle name="Tekst objaśnienia 2 5 3" xfId="35228"/>
    <cellStyle name="Tekst objaśnienia 2 5 4" xfId="35229"/>
    <cellStyle name="Tekst objaśnienia 2 5 5" xfId="35230"/>
    <cellStyle name="Tekst objaśnienia 2 5 6" xfId="35231"/>
    <cellStyle name="Tekst objaśnienia 2 5 7" xfId="35232"/>
    <cellStyle name="Tekst objaśnienia 2 6" xfId="35233"/>
    <cellStyle name="Tekst objaśnienia 2 6 2" xfId="35234"/>
    <cellStyle name="Tekst objaśnienia 2 6 3" xfId="35235"/>
    <cellStyle name="Tekst objaśnienia 2 6 4" xfId="35236"/>
    <cellStyle name="Tekst objaśnienia 2 6 5" xfId="35237"/>
    <cellStyle name="Tekst objaśnienia 2 6 6" xfId="35238"/>
    <cellStyle name="Tekst objaśnienia 2 6 7" xfId="35239"/>
    <cellStyle name="Tekst objaśnienia 2 7" xfId="35240"/>
    <cellStyle name="Tekst objaśnienia 2 7 2" xfId="35241"/>
    <cellStyle name="Tekst objaśnienia 2 7 3" xfId="35242"/>
    <cellStyle name="Tekst objaśnienia 2 7 4" xfId="35243"/>
    <cellStyle name="Tekst objaśnienia 2 7 5" xfId="35244"/>
    <cellStyle name="Tekst objaśnienia 2 7 6" xfId="35245"/>
    <cellStyle name="Tekst objaśnienia 2 7 7" xfId="35246"/>
    <cellStyle name="Tekst objaśnienia 2 8" xfId="35247"/>
    <cellStyle name="Tekst objaśnienia 2 8 2" xfId="35248"/>
    <cellStyle name="Tekst objaśnienia 2 8 3" xfId="35249"/>
    <cellStyle name="Tekst objaśnienia 2 8 4" xfId="35250"/>
    <cellStyle name="Tekst objaśnienia 2 8 5" xfId="35251"/>
    <cellStyle name="Tekst objaśnienia 2 8 6" xfId="35252"/>
    <cellStyle name="Tekst objaśnienia 2 8 7" xfId="35253"/>
    <cellStyle name="Tekst objaśnienia 2 9" xfId="35254"/>
    <cellStyle name="Tekst objaśnienia 2 9 2" xfId="35255"/>
    <cellStyle name="Tekst objaśnienia 2 9 3" xfId="35256"/>
    <cellStyle name="Tekst objaśnienia 2 9 4" xfId="35257"/>
    <cellStyle name="Tekst objaśnienia 2 9 5" xfId="35258"/>
    <cellStyle name="Tekst objaśnienia 2 9 6" xfId="35259"/>
    <cellStyle name="Tekst objaśnienia 2 9 7" xfId="35260"/>
    <cellStyle name="Tekst objaśnienia 3" xfId="35261"/>
    <cellStyle name="Tekst objaśnienia 3 2" xfId="35262"/>
    <cellStyle name="Tekst objaśnienia 3 2 2" xfId="35263"/>
    <cellStyle name="Tekst objaśnienia 3 3" xfId="35264"/>
    <cellStyle name="Tekst objaśnienia 3 4" xfId="35265"/>
    <cellStyle name="Tekst objaśnienia 3 5" xfId="35266"/>
    <cellStyle name="Tekst objaśnienia 3 6" xfId="35267"/>
    <cellStyle name="Tekst objaśnienia 3 7" xfId="35268"/>
    <cellStyle name="Tekst objaśnienia 3 8" xfId="35269"/>
    <cellStyle name="Tekst objaśnienia 3 9" xfId="35270"/>
    <cellStyle name="Tekst objaśnienia 4" xfId="35271"/>
    <cellStyle name="Tekst objaśnienia 4 2" xfId="35272"/>
    <cellStyle name="Tekst objaśnienia 4 3" xfId="35273"/>
    <cellStyle name="Tekst objaśnienia 4 4" xfId="35274"/>
    <cellStyle name="Tekst objaśnienia 4 5" xfId="35275"/>
    <cellStyle name="Tekst objaśnienia 4 6" xfId="35276"/>
    <cellStyle name="Tekst objaśnienia 4 7" xfId="35277"/>
    <cellStyle name="Tekst objaśnienia 4 8" xfId="35278"/>
    <cellStyle name="Tekst objaśnienia 4 9" xfId="35279"/>
    <cellStyle name="Tekst objaśnienia 5" xfId="35280"/>
    <cellStyle name="Tekst objaśnienia 5 2" xfId="35281"/>
    <cellStyle name="Tekst objaśnienia 5 3" xfId="35282"/>
    <cellStyle name="Tekst objaśnienia 6" xfId="35283"/>
    <cellStyle name="Tekst objaśnienia 6 2" xfId="35284"/>
    <cellStyle name="Tekst objaśnienia 7" xfId="35285"/>
    <cellStyle name="Tekst ostrzeżenia 2" xfId="35286"/>
    <cellStyle name="Tekst ostrzeżenia 2 10" xfId="35287"/>
    <cellStyle name="Tekst ostrzeżenia 2 10 2" xfId="35288"/>
    <cellStyle name="Tekst ostrzeżenia 2 10 3" xfId="35289"/>
    <cellStyle name="Tekst ostrzeżenia 2 10 4" xfId="35290"/>
    <cellStyle name="Tekst ostrzeżenia 2 10 5" xfId="35291"/>
    <cellStyle name="Tekst ostrzeżenia 2 10 6" xfId="35292"/>
    <cellStyle name="Tekst ostrzeżenia 2 10 7" xfId="35293"/>
    <cellStyle name="Tekst ostrzeżenia 2 11" xfId="35294"/>
    <cellStyle name="Tekst ostrzeżenia 2 11 2" xfId="35295"/>
    <cellStyle name="Tekst ostrzeżenia 2 11 3" xfId="35296"/>
    <cellStyle name="Tekst ostrzeżenia 2 11 4" xfId="35297"/>
    <cellStyle name="Tekst ostrzeżenia 2 11 5" xfId="35298"/>
    <cellStyle name="Tekst ostrzeżenia 2 11 6" xfId="35299"/>
    <cellStyle name="Tekst ostrzeżenia 2 11 7" xfId="35300"/>
    <cellStyle name="Tekst ostrzeżenia 2 12" xfId="35301"/>
    <cellStyle name="Tekst ostrzeżenia 2 12 2" xfId="35302"/>
    <cellStyle name="Tekst ostrzeżenia 2 12 3" xfId="35303"/>
    <cellStyle name="Tekst ostrzeżenia 2 12 4" xfId="35304"/>
    <cellStyle name="Tekst ostrzeżenia 2 12 5" xfId="35305"/>
    <cellStyle name="Tekst ostrzeżenia 2 12 6" xfId="35306"/>
    <cellStyle name="Tekst ostrzeżenia 2 12 7" xfId="35307"/>
    <cellStyle name="Tekst ostrzeżenia 2 13" xfId="35308"/>
    <cellStyle name="Tekst ostrzeżenia 2 13 2" xfId="35309"/>
    <cellStyle name="Tekst ostrzeżenia 2 13 3" xfId="35310"/>
    <cellStyle name="Tekst ostrzeżenia 2 13 4" xfId="35311"/>
    <cellStyle name="Tekst ostrzeżenia 2 13 5" xfId="35312"/>
    <cellStyle name="Tekst ostrzeżenia 2 13 6" xfId="35313"/>
    <cellStyle name="Tekst ostrzeżenia 2 13 7" xfId="35314"/>
    <cellStyle name="Tekst ostrzeżenia 2 14" xfId="35315"/>
    <cellStyle name="Tekst ostrzeżenia 2 14 2" xfId="35316"/>
    <cellStyle name="Tekst ostrzeżenia 2 14 3" xfId="35317"/>
    <cellStyle name="Tekst ostrzeżenia 2 14 4" xfId="35318"/>
    <cellStyle name="Tekst ostrzeżenia 2 14 5" xfId="35319"/>
    <cellStyle name="Tekst ostrzeżenia 2 14 6" xfId="35320"/>
    <cellStyle name="Tekst ostrzeżenia 2 14 7" xfId="35321"/>
    <cellStyle name="Tekst ostrzeżenia 2 15" xfId="35322"/>
    <cellStyle name="Tekst ostrzeżenia 2 15 2" xfId="35323"/>
    <cellStyle name="Tekst ostrzeżenia 2 15 3" xfId="35324"/>
    <cellStyle name="Tekst ostrzeżenia 2 15 4" xfId="35325"/>
    <cellStyle name="Tekst ostrzeżenia 2 15 5" xfId="35326"/>
    <cellStyle name="Tekst ostrzeżenia 2 15 6" xfId="35327"/>
    <cellStyle name="Tekst ostrzeżenia 2 15 7" xfId="35328"/>
    <cellStyle name="Tekst ostrzeżenia 2 16" xfId="35329"/>
    <cellStyle name="Tekst ostrzeżenia 2 16 2" xfId="35330"/>
    <cellStyle name="Tekst ostrzeżenia 2 16 3" xfId="35331"/>
    <cellStyle name="Tekst ostrzeżenia 2 16 4" xfId="35332"/>
    <cellStyle name="Tekst ostrzeżenia 2 16 5" xfId="35333"/>
    <cellStyle name="Tekst ostrzeżenia 2 16 6" xfId="35334"/>
    <cellStyle name="Tekst ostrzeżenia 2 16 7" xfId="35335"/>
    <cellStyle name="Tekst ostrzeżenia 2 17" xfId="35336"/>
    <cellStyle name="Tekst ostrzeżenia 2 17 2" xfId="35337"/>
    <cellStyle name="Tekst ostrzeżenia 2 17 3" xfId="35338"/>
    <cellStyle name="Tekst ostrzeżenia 2 17 4" xfId="35339"/>
    <cellStyle name="Tekst ostrzeżenia 2 17 5" xfId="35340"/>
    <cellStyle name="Tekst ostrzeżenia 2 17 6" xfId="35341"/>
    <cellStyle name="Tekst ostrzeżenia 2 17 7" xfId="35342"/>
    <cellStyle name="Tekst ostrzeżenia 2 18" xfId="35343"/>
    <cellStyle name="Tekst ostrzeżenia 2 18 2" xfId="35344"/>
    <cellStyle name="Tekst ostrzeżenia 2 18 3" xfId="35345"/>
    <cellStyle name="Tekst ostrzeżenia 2 18 4" xfId="35346"/>
    <cellStyle name="Tekst ostrzeżenia 2 18 5" xfId="35347"/>
    <cellStyle name="Tekst ostrzeżenia 2 18 6" xfId="35348"/>
    <cellStyle name="Tekst ostrzeżenia 2 18 7" xfId="35349"/>
    <cellStyle name="Tekst ostrzeżenia 2 19" xfId="35350"/>
    <cellStyle name="Tekst ostrzeżenia 2 19 2" xfId="35351"/>
    <cellStyle name="Tekst ostrzeżenia 2 19 3" xfId="35352"/>
    <cellStyle name="Tekst ostrzeżenia 2 19 4" xfId="35353"/>
    <cellStyle name="Tekst ostrzeżenia 2 19 5" xfId="35354"/>
    <cellStyle name="Tekst ostrzeżenia 2 19 6" xfId="35355"/>
    <cellStyle name="Tekst ostrzeżenia 2 19 7" xfId="35356"/>
    <cellStyle name="Tekst ostrzeżenia 2 2" xfId="35357"/>
    <cellStyle name="Tekst ostrzeżenia 2 2 2" xfId="35358"/>
    <cellStyle name="Tekst ostrzeżenia 2 2 3" xfId="35359"/>
    <cellStyle name="Tekst ostrzeżenia 2 2 4" xfId="35360"/>
    <cellStyle name="Tekst ostrzeżenia 2 2 5" xfId="35361"/>
    <cellStyle name="Tekst ostrzeżenia 2 2 6" xfId="35362"/>
    <cellStyle name="Tekst ostrzeżenia 2 2 7" xfId="35363"/>
    <cellStyle name="Tekst ostrzeżenia 2 2 8" xfId="35364"/>
    <cellStyle name="Tekst ostrzeżenia 2 20" xfId="35365"/>
    <cellStyle name="Tekst ostrzeżenia 2 20 2" xfId="35366"/>
    <cellStyle name="Tekst ostrzeżenia 2 20 3" xfId="35367"/>
    <cellStyle name="Tekst ostrzeżenia 2 20 4" xfId="35368"/>
    <cellStyle name="Tekst ostrzeżenia 2 20 5" xfId="35369"/>
    <cellStyle name="Tekst ostrzeżenia 2 20 6" xfId="35370"/>
    <cellStyle name="Tekst ostrzeżenia 2 20 7" xfId="35371"/>
    <cellStyle name="Tekst ostrzeżenia 2 21" xfId="35372"/>
    <cellStyle name="Tekst ostrzeżenia 2 21 2" xfId="35373"/>
    <cellStyle name="Tekst ostrzeżenia 2 21 3" xfId="35374"/>
    <cellStyle name="Tekst ostrzeżenia 2 21 4" xfId="35375"/>
    <cellStyle name="Tekst ostrzeżenia 2 21 5" xfId="35376"/>
    <cellStyle name="Tekst ostrzeżenia 2 21 6" xfId="35377"/>
    <cellStyle name="Tekst ostrzeżenia 2 21 7" xfId="35378"/>
    <cellStyle name="Tekst ostrzeżenia 2 22" xfId="35379"/>
    <cellStyle name="Tekst ostrzeżenia 2 22 2" xfId="35380"/>
    <cellStyle name="Tekst ostrzeżenia 2 22 3" xfId="35381"/>
    <cellStyle name="Tekst ostrzeżenia 2 22 4" xfId="35382"/>
    <cellStyle name="Tekst ostrzeżenia 2 22 5" xfId="35383"/>
    <cellStyle name="Tekst ostrzeżenia 2 22 6" xfId="35384"/>
    <cellStyle name="Tekst ostrzeżenia 2 22 7" xfId="35385"/>
    <cellStyle name="Tekst ostrzeżenia 2 23" xfId="35386"/>
    <cellStyle name="Tekst ostrzeżenia 2 23 2" xfId="35387"/>
    <cellStyle name="Tekst ostrzeżenia 2 23 3" xfId="35388"/>
    <cellStyle name="Tekst ostrzeżenia 2 23 4" xfId="35389"/>
    <cellStyle name="Tekst ostrzeżenia 2 23 5" xfId="35390"/>
    <cellStyle name="Tekst ostrzeżenia 2 23 6" xfId="35391"/>
    <cellStyle name="Tekst ostrzeżenia 2 23 7" xfId="35392"/>
    <cellStyle name="Tekst ostrzeżenia 2 24" xfId="35393"/>
    <cellStyle name="Tekst ostrzeżenia 2 24 2" xfId="35394"/>
    <cellStyle name="Tekst ostrzeżenia 2 24 3" xfId="35395"/>
    <cellStyle name="Tekst ostrzeżenia 2 24 4" xfId="35396"/>
    <cellStyle name="Tekst ostrzeżenia 2 24 5" xfId="35397"/>
    <cellStyle name="Tekst ostrzeżenia 2 24 6" xfId="35398"/>
    <cellStyle name="Tekst ostrzeżenia 2 24 7" xfId="35399"/>
    <cellStyle name="Tekst ostrzeżenia 2 25" xfId="35400"/>
    <cellStyle name="Tekst ostrzeżenia 2 25 2" xfId="35401"/>
    <cellStyle name="Tekst ostrzeżenia 2 25 3" xfId="35402"/>
    <cellStyle name="Tekst ostrzeżenia 2 25 4" xfId="35403"/>
    <cellStyle name="Tekst ostrzeżenia 2 25 5" xfId="35404"/>
    <cellStyle name="Tekst ostrzeżenia 2 25 6" xfId="35405"/>
    <cellStyle name="Tekst ostrzeżenia 2 25 7" xfId="35406"/>
    <cellStyle name="Tekst ostrzeżenia 2 26" xfId="35407"/>
    <cellStyle name="Tekst ostrzeżenia 2 26 2" xfId="35408"/>
    <cellStyle name="Tekst ostrzeżenia 2 26 3" xfId="35409"/>
    <cellStyle name="Tekst ostrzeżenia 2 26 4" xfId="35410"/>
    <cellStyle name="Tekst ostrzeżenia 2 26 5" xfId="35411"/>
    <cellStyle name="Tekst ostrzeżenia 2 26 6" xfId="35412"/>
    <cellStyle name="Tekst ostrzeżenia 2 26 7" xfId="35413"/>
    <cellStyle name="Tekst ostrzeżenia 2 27" xfId="35414"/>
    <cellStyle name="Tekst ostrzeżenia 2 27 2" xfId="35415"/>
    <cellStyle name="Tekst ostrzeżenia 2 27 3" xfId="35416"/>
    <cellStyle name="Tekst ostrzeżenia 2 27 4" xfId="35417"/>
    <cellStyle name="Tekst ostrzeżenia 2 27 5" xfId="35418"/>
    <cellStyle name="Tekst ostrzeżenia 2 27 6" xfId="35419"/>
    <cellStyle name="Tekst ostrzeżenia 2 27 7" xfId="35420"/>
    <cellStyle name="Tekst ostrzeżenia 2 28" xfId="35421"/>
    <cellStyle name="Tekst ostrzeżenia 2 28 2" xfId="35422"/>
    <cellStyle name="Tekst ostrzeżenia 2 28 3" xfId="35423"/>
    <cellStyle name="Tekst ostrzeżenia 2 28 4" xfId="35424"/>
    <cellStyle name="Tekst ostrzeżenia 2 28 5" xfId="35425"/>
    <cellStyle name="Tekst ostrzeżenia 2 28 6" xfId="35426"/>
    <cellStyle name="Tekst ostrzeżenia 2 28 7" xfId="35427"/>
    <cellStyle name="Tekst ostrzeżenia 2 29" xfId="35428"/>
    <cellStyle name="Tekst ostrzeżenia 2 29 2" xfId="35429"/>
    <cellStyle name="Tekst ostrzeżenia 2 3" xfId="35430"/>
    <cellStyle name="Tekst ostrzeżenia 2 3 2" xfId="35431"/>
    <cellStyle name="Tekst ostrzeżenia 2 3 3" xfId="35432"/>
    <cellStyle name="Tekst ostrzeżenia 2 3 4" xfId="35433"/>
    <cellStyle name="Tekst ostrzeżenia 2 3 5" xfId="35434"/>
    <cellStyle name="Tekst ostrzeżenia 2 3 6" xfId="35435"/>
    <cellStyle name="Tekst ostrzeżenia 2 3 7" xfId="35436"/>
    <cellStyle name="Tekst ostrzeżenia 2 30" xfId="35437"/>
    <cellStyle name="Tekst ostrzeżenia 2 30 2" xfId="35438"/>
    <cellStyle name="Tekst ostrzeżenia 2 31" xfId="35439"/>
    <cellStyle name="Tekst ostrzeżenia 2 31 2" xfId="35440"/>
    <cellStyle name="Tekst ostrzeżenia 2 32" xfId="35441"/>
    <cellStyle name="Tekst ostrzeżenia 2 32 2" xfId="35442"/>
    <cellStyle name="Tekst ostrzeżenia 2 33" xfId="35443"/>
    <cellStyle name="Tekst ostrzeżenia 2 34" xfId="35444"/>
    <cellStyle name="Tekst ostrzeżenia 2 35" xfId="35445"/>
    <cellStyle name="Tekst ostrzeżenia 2 36" xfId="35446"/>
    <cellStyle name="Tekst ostrzeżenia 2 37" xfId="35447"/>
    <cellStyle name="Tekst ostrzeżenia 2 38" xfId="35448"/>
    <cellStyle name="Tekst ostrzeżenia 2 39" xfId="35449"/>
    <cellStyle name="Tekst ostrzeżenia 2 4" xfId="35450"/>
    <cellStyle name="Tekst ostrzeżenia 2 4 2" xfId="35451"/>
    <cellStyle name="Tekst ostrzeżenia 2 4 3" xfId="35452"/>
    <cellStyle name="Tekst ostrzeżenia 2 4 4" xfId="35453"/>
    <cellStyle name="Tekst ostrzeżenia 2 4 5" xfId="35454"/>
    <cellStyle name="Tekst ostrzeżenia 2 4 6" xfId="35455"/>
    <cellStyle name="Tekst ostrzeżenia 2 4 7" xfId="35456"/>
    <cellStyle name="Tekst ostrzeżenia 2 40" xfId="35457"/>
    <cellStyle name="Tekst ostrzeżenia 2 41" xfId="35458"/>
    <cellStyle name="Tekst ostrzeżenia 2 42" xfId="35459"/>
    <cellStyle name="Tekst ostrzeżenia 2 43" xfId="35460"/>
    <cellStyle name="Tekst ostrzeżenia 2 44" xfId="35461"/>
    <cellStyle name="Tekst ostrzeżenia 2 45" xfId="35462"/>
    <cellStyle name="Tekst ostrzeżenia 2 46" xfId="35463"/>
    <cellStyle name="Tekst ostrzeżenia 2 47" xfId="35464"/>
    <cellStyle name="Tekst ostrzeżenia 2 48" xfId="35465"/>
    <cellStyle name="Tekst ostrzeżenia 2 49" xfId="35466"/>
    <cellStyle name="Tekst ostrzeżenia 2 5" xfId="35467"/>
    <cellStyle name="Tekst ostrzeżenia 2 5 2" xfId="35468"/>
    <cellStyle name="Tekst ostrzeżenia 2 5 3" xfId="35469"/>
    <cellStyle name="Tekst ostrzeżenia 2 5 4" xfId="35470"/>
    <cellStyle name="Tekst ostrzeżenia 2 5 5" xfId="35471"/>
    <cellStyle name="Tekst ostrzeżenia 2 5 6" xfId="35472"/>
    <cellStyle name="Tekst ostrzeżenia 2 5 7" xfId="35473"/>
    <cellStyle name="Tekst ostrzeżenia 2 50" xfId="35474"/>
    <cellStyle name="Tekst ostrzeżenia 2 51" xfId="35475"/>
    <cellStyle name="Tekst ostrzeżenia 2 52" xfId="35476"/>
    <cellStyle name="Tekst ostrzeżenia 2 6" xfId="35477"/>
    <cellStyle name="Tekst ostrzeżenia 2 6 2" xfId="35478"/>
    <cellStyle name="Tekst ostrzeżenia 2 6 3" xfId="35479"/>
    <cellStyle name="Tekst ostrzeżenia 2 6 4" xfId="35480"/>
    <cellStyle name="Tekst ostrzeżenia 2 6 5" xfId="35481"/>
    <cellStyle name="Tekst ostrzeżenia 2 6 6" xfId="35482"/>
    <cellStyle name="Tekst ostrzeżenia 2 6 7" xfId="35483"/>
    <cellStyle name="Tekst ostrzeżenia 2 7" xfId="35484"/>
    <cellStyle name="Tekst ostrzeżenia 2 7 2" xfId="35485"/>
    <cellStyle name="Tekst ostrzeżenia 2 7 3" xfId="35486"/>
    <cellStyle name="Tekst ostrzeżenia 2 7 4" xfId="35487"/>
    <cellStyle name="Tekst ostrzeżenia 2 7 5" xfId="35488"/>
    <cellStyle name="Tekst ostrzeżenia 2 7 6" xfId="35489"/>
    <cellStyle name="Tekst ostrzeżenia 2 7 7" xfId="35490"/>
    <cellStyle name="Tekst ostrzeżenia 2 8" xfId="35491"/>
    <cellStyle name="Tekst ostrzeżenia 2 8 2" xfId="35492"/>
    <cellStyle name="Tekst ostrzeżenia 2 8 3" xfId="35493"/>
    <cellStyle name="Tekst ostrzeżenia 2 8 4" xfId="35494"/>
    <cellStyle name="Tekst ostrzeżenia 2 8 5" xfId="35495"/>
    <cellStyle name="Tekst ostrzeżenia 2 8 6" xfId="35496"/>
    <cellStyle name="Tekst ostrzeżenia 2 8 7" xfId="35497"/>
    <cellStyle name="Tekst ostrzeżenia 2 9" xfId="35498"/>
    <cellStyle name="Tekst ostrzeżenia 2 9 2" xfId="35499"/>
    <cellStyle name="Tekst ostrzeżenia 2 9 3" xfId="35500"/>
    <cellStyle name="Tekst ostrzeżenia 2 9 4" xfId="35501"/>
    <cellStyle name="Tekst ostrzeżenia 2 9 5" xfId="35502"/>
    <cellStyle name="Tekst ostrzeżenia 2 9 6" xfId="35503"/>
    <cellStyle name="Tekst ostrzeżenia 2 9 7" xfId="35504"/>
    <cellStyle name="Tekst ostrzeżenia 3" xfId="35505"/>
    <cellStyle name="Tekst ostrzeżenia 3 2" xfId="35506"/>
    <cellStyle name="Tekst ostrzeżenia 3 2 2" xfId="35507"/>
    <cellStyle name="Tekst ostrzeżenia 3 3" xfId="35508"/>
    <cellStyle name="Tekst ostrzeżenia 3 4" xfId="35509"/>
    <cellStyle name="Tekst ostrzeżenia 3 5" xfId="35510"/>
    <cellStyle name="Tekst ostrzeżenia 3 6" xfId="35511"/>
    <cellStyle name="Tekst ostrzeżenia 3 7" xfId="35512"/>
    <cellStyle name="Tekst ostrzeżenia 3 8" xfId="35513"/>
    <cellStyle name="Tekst ostrzeżenia 3 9" xfId="35514"/>
    <cellStyle name="Tekst ostrzeżenia 4" xfId="35515"/>
    <cellStyle name="Tekst ostrzeżenia 4 2" xfId="35516"/>
    <cellStyle name="Tekst ostrzeżenia 4 3" xfId="35517"/>
    <cellStyle name="Tekst ostrzeżenia 4 4" xfId="35518"/>
    <cellStyle name="Tekst ostrzeżenia 4 5" xfId="35519"/>
    <cellStyle name="Tekst ostrzeżenia 4 6" xfId="35520"/>
    <cellStyle name="Tekst ostrzeżenia 4 7" xfId="35521"/>
    <cellStyle name="Tekst ostrzeżenia 4 8" xfId="35522"/>
    <cellStyle name="Tekst ostrzeżenia 4 9" xfId="35523"/>
    <cellStyle name="Tekst ostrzeżenia 5" xfId="35524"/>
    <cellStyle name="Tekst ostrzeżenia 5 2" xfId="35525"/>
    <cellStyle name="Tekst ostrzeżenia 6" xfId="35526"/>
    <cellStyle name="Tekst ostrzeżenia 7" xfId="35527"/>
    <cellStyle name="Tytuł 2" xfId="35528"/>
    <cellStyle name="Tytuł 2 10" xfId="35529"/>
    <cellStyle name="Tytuł 2 10 2" xfId="35530"/>
    <cellStyle name="Tytuł 2 10 3" xfId="35531"/>
    <cellStyle name="Tytuł 2 10 4" xfId="35532"/>
    <cellStyle name="Tytuł 2 10 5" xfId="35533"/>
    <cellStyle name="Tytuł 2 10 6" xfId="35534"/>
    <cellStyle name="Tytuł 2 10 7" xfId="35535"/>
    <cellStyle name="Tytuł 2 11" xfId="35536"/>
    <cellStyle name="Tytuł 2 11 2" xfId="35537"/>
    <cellStyle name="Tytuł 2 11 3" xfId="35538"/>
    <cellStyle name="Tytuł 2 11 4" xfId="35539"/>
    <cellStyle name="Tytuł 2 11 5" xfId="35540"/>
    <cellStyle name="Tytuł 2 11 6" xfId="35541"/>
    <cellStyle name="Tytuł 2 11 7" xfId="35542"/>
    <cellStyle name="Tytuł 2 12" xfId="35543"/>
    <cellStyle name="Tytuł 2 12 2" xfId="35544"/>
    <cellStyle name="Tytuł 2 12 3" xfId="35545"/>
    <cellStyle name="Tytuł 2 12 4" xfId="35546"/>
    <cellStyle name="Tytuł 2 12 5" xfId="35547"/>
    <cellStyle name="Tytuł 2 12 6" xfId="35548"/>
    <cellStyle name="Tytuł 2 12 7" xfId="35549"/>
    <cellStyle name="Tytuł 2 13" xfId="35550"/>
    <cellStyle name="Tytuł 2 13 2" xfId="35551"/>
    <cellStyle name="Tytuł 2 13 3" xfId="35552"/>
    <cellStyle name="Tytuł 2 13 4" xfId="35553"/>
    <cellStyle name="Tytuł 2 13 5" xfId="35554"/>
    <cellStyle name="Tytuł 2 13 6" xfId="35555"/>
    <cellStyle name="Tytuł 2 13 7" xfId="35556"/>
    <cellStyle name="Tytuł 2 14" xfId="35557"/>
    <cellStyle name="Tytuł 2 14 2" xfId="35558"/>
    <cellStyle name="Tytuł 2 14 3" xfId="35559"/>
    <cellStyle name="Tytuł 2 14 4" xfId="35560"/>
    <cellStyle name="Tytuł 2 14 5" xfId="35561"/>
    <cellStyle name="Tytuł 2 14 6" xfId="35562"/>
    <cellStyle name="Tytuł 2 14 7" xfId="35563"/>
    <cellStyle name="Tytuł 2 15" xfId="35564"/>
    <cellStyle name="Tytuł 2 15 2" xfId="35565"/>
    <cellStyle name="Tytuł 2 15 3" xfId="35566"/>
    <cellStyle name="Tytuł 2 15 4" xfId="35567"/>
    <cellStyle name="Tytuł 2 15 5" xfId="35568"/>
    <cellStyle name="Tytuł 2 15 6" xfId="35569"/>
    <cellStyle name="Tytuł 2 15 7" xfId="35570"/>
    <cellStyle name="Tytuł 2 16" xfId="35571"/>
    <cellStyle name="Tytuł 2 16 2" xfId="35572"/>
    <cellStyle name="Tytuł 2 16 3" xfId="35573"/>
    <cellStyle name="Tytuł 2 16 4" xfId="35574"/>
    <cellStyle name="Tytuł 2 16 5" xfId="35575"/>
    <cellStyle name="Tytuł 2 16 6" xfId="35576"/>
    <cellStyle name="Tytuł 2 16 7" xfId="35577"/>
    <cellStyle name="Tytuł 2 17" xfId="35578"/>
    <cellStyle name="Tytuł 2 17 2" xfId="35579"/>
    <cellStyle name="Tytuł 2 17 3" xfId="35580"/>
    <cellStyle name="Tytuł 2 17 4" xfId="35581"/>
    <cellStyle name="Tytuł 2 17 5" xfId="35582"/>
    <cellStyle name="Tytuł 2 17 6" xfId="35583"/>
    <cellStyle name="Tytuł 2 17 7" xfId="35584"/>
    <cellStyle name="Tytuł 2 18" xfId="35585"/>
    <cellStyle name="Tytuł 2 18 2" xfId="35586"/>
    <cellStyle name="Tytuł 2 18 3" xfId="35587"/>
    <cellStyle name="Tytuł 2 18 4" xfId="35588"/>
    <cellStyle name="Tytuł 2 18 5" xfId="35589"/>
    <cellStyle name="Tytuł 2 18 6" xfId="35590"/>
    <cellStyle name="Tytuł 2 18 7" xfId="35591"/>
    <cellStyle name="Tytuł 2 19" xfId="35592"/>
    <cellStyle name="Tytuł 2 19 2" xfId="35593"/>
    <cellStyle name="Tytuł 2 19 3" xfId="35594"/>
    <cellStyle name="Tytuł 2 19 4" xfId="35595"/>
    <cellStyle name="Tytuł 2 19 5" xfId="35596"/>
    <cellStyle name="Tytuł 2 19 6" xfId="35597"/>
    <cellStyle name="Tytuł 2 19 7" xfId="35598"/>
    <cellStyle name="Tytuł 2 2" xfId="35599"/>
    <cellStyle name="Tytuł 2 2 2" xfId="35600"/>
    <cellStyle name="Tytuł 2 2 3" xfId="35601"/>
    <cellStyle name="Tytuł 2 2 4" xfId="35602"/>
    <cellStyle name="Tytuł 2 2 5" xfId="35603"/>
    <cellStyle name="Tytuł 2 2 6" xfId="35604"/>
    <cellStyle name="Tytuł 2 2 7" xfId="35605"/>
    <cellStyle name="Tytuł 2 2 8" xfId="35606"/>
    <cellStyle name="Tytuł 2 20" xfId="35607"/>
    <cellStyle name="Tytuł 2 20 2" xfId="35608"/>
    <cellStyle name="Tytuł 2 20 3" xfId="35609"/>
    <cellStyle name="Tytuł 2 20 4" xfId="35610"/>
    <cellStyle name="Tytuł 2 20 5" xfId="35611"/>
    <cellStyle name="Tytuł 2 20 6" xfId="35612"/>
    <cellStyle name="Tytuł 2 20 7" xfId="35613"/>
    <cellStyle name="Tytuł 2 21" xfId="35614"/>
    <cellStyle name="Tytuł 2 21 2" xfId="35615"/>
    <cellStyle name="Tytuł 2 21 3" xfId="35616"/>
    <cellStyle name="Tytuł 2 21 4" xfId="35617"/>
    <cellStyle name="Tytuł 2 21 5" xfId="35618"/>
    <cellStyle name="Tytuł 2 21 6" xfId="35619"/>
    <cellStyle name="Tytuł 2 21 7" xfId="35620"/>
    <cellStyle name="Tytuł 2 22" xfId="35621"/>
    <cellStyle name="Tytuł 2 22 2" xfId="35622"/>
    <cellStyle name="Tytuł 2 22 3" xfId="35623"/>
    <cellStyle name="Tytuł 2 22 4" xfId="35624"/>
    <cellStyle name="Tytuł 2 22 5" xfId="35625"/>
    <cellStyle name="Tytuł 2 22 6" xfId="35626"/>
    <cellStyle name="Tytuł 2 22 7" xfId="35627"/>
    <cellStyle name="Tytuł 2 23" xfId="35628"/>
    <cellStyle name="Tytuł 2 23 2" xfId="35629"/>
    <cellStyle name="Tytuł 2 23 3" xfId="35630"/>
    <cellStyle name="Tytuł 2 23 4" xfId="35631"/>
    <cellStyle name="Tytuł 2 23 5" xfId="35632"/>
    <cellStyle name="Tytuł 2 23 6" xfId="35633"/>
    <cellStyle name="Tytuł 2 23 7" xfId="35634"/>
    <cellStyle name="Tytuł 2 24" xfId="35635"/>
    <cellStyle name="Tytuł 2 24 2" xfId="35636"/>
    <cellStyle name="Tytuł 2 24 3" xfId="35637"/>
    <cellStyle name="Tytuł 2 24 4" xfId="35638"/>
    <cellStyle name="Tytuł 2 24 5" xfId="35639"/>
    <cellStyle name="Tytuł 2 24 6" xfId="35640"/>
    <cellStyle name="Tytuł 2 24 7" xfId="35641"/>
    <cellStyle name="Tytuł 2 25" xfId="35642"/>
    <cellStyle name="Tytuł 2 25 2" xfId="35643"/>
    <cellStyle name="Tytuł 2 25 3" xfId="35644"/>
    <cellStyle name="Tytuł 2 25 4" xfId="35645"/>
    <cellStyle name="Tytuł 2 25 5" xfId="35646"/>
    <cellStyle name="Tytuł 2 25 6" xfId="35647"/>
    <cellStyle name="Tytuł 2 25 7" xfId="35648"/>
    <cellStyle name="Tytuł 2 26" xfId="35649"/>
    <cellStyle name="Tytuł 2 26 2" xfId="35650"/>
    <cellStyle name="Tytuł 2 26 3" xfId="35651"/>
    <cellStyle name="Tytuł 2 26 4" xfId="35652"/>
    <cellStyle name="Tytuł 2 26 5" xfId="35653"/>
    <cellStyle name="Tytuł 2 26 6" xfId="35654"/>
    <cellStyle name="Tytuł 2 26 7" xfId="35655"/>
    <cellStyle name="Tytuł 2 27" xfId="35656"/>
    <cellStyle name="Tytuł 2 27 2" xfId="35657"/>
    <cellStyle name="Tytuł 2 27 3" xfId="35658"/>
    <cellStyle name="Tytuł 2 27 4" xfId="35659"/>
    <cellStyle name="Tytuł 2 27 5" xfId="35660"/>
    <cellStyle name="Tytuł 2 27 6" xfId="35661"/>
    <cellStyle name="Tytuł 2 27 7" xfId="35662"/>
    <cellStyle name="Tytuł 2 28" xfId="35663"/>
    <cellStyle name="Tytuł 2 28 2" xfId="35664"/>
    <cellStyle name="Tytuł 2 28 3" xfId="35665"/>
    <cellStyle name="Tytuł 2 28 4" xfId="35666"/>
    <cellStyle name="Tytuł 2 28 5" xfId="35667"/>
    <cellStyle name="Tytuł 2 28 6" xfId="35668"/>
    <cellStyle name="Tytuł 2 28 7" xfId="35669"/>
    <cellStyle name="Tytuł 2 29" xfId="35670"/>
    <cellStyle name="Tytuł 2 3" xfId="35671"/>
    <cellStyle name="Tytuł 2 3 2" xfId="35672"/>
    <cellStyle name="Tytuł 2 3 3" xfId="35673"/>
    <cellStyle name="Tytuł 2 3 4" xfId="35674"/>
    <cellStyle name="Tytuł 2 3 5" xfId="35675"/>
    <cellStyle name="Tytuł 2 3 6" xfId="35676"/>
    <cellStyle name="Tytuł 2 3 7" xfId="35677"/>
    <cellStyle name="Tytuł 2 30" xfId="35678"/>
    <cellStyle name="Tytuł 2 31" xfId="35679"/>
    <cellStyle name="Tytuł 2 32" xfId="35680"/>
    <cellStyle name="Tytuł 2 33" xfId="35681"/>
    <cellStyle name="Tytuł 2 34" xfId="35682"/>
    <cellStyle name="Tytuł 2 35" xfId="35683"/>
    <cellStyle name="Tytuł 2 36" xfId="35684"/>
    <cellStyle name="Tytuł 2 37" xfId="35685"/>
    <cellStyle name="Tytuł 2 38" xfId="35686"/>
    <cellStyle name="Tytuł 2 39" xfId="35687"/>
    <cellStyle name="Tytuł 2 4" xfId="35688"/>
    <cellStyle name="Tytuł 2 4 2" xfId="35689"/>
    <cellStyle name="Tytuł 2 4 3" xfId="35690"/>
    <cellStyle name="Tytuł 2 4 4" xfId="35691"/>
    <cellStyle name="Tytuł 2 4 5" xfId="35692"/>
    <cellStyle name="Tytuł 2 4 6" xfId="35693"/>
    <cellStyle name="Tytuł 2 4 7" xfId="35694"/>
    <cellStyle name="Tytuł 2 40" xfId="35695"/>
    <cellStyle name="Tytuł 2 41" xfId="35696"/>
    <cellStyle name="Tytuł 2 42" xfId="35697"/>
    <cellStyle name="Tytuł 2 43" xfId="35698"/>
    <cellStyle name="Tytuł 2 44" xfId="35699"/>
    <cellStyle name="Tytuł 2 45" xfId="35700"/>
    <cellStyle name="Tytuł 2 46" xfId="35701"/>
    <cellStyle name="Tytuł 2 47" xfId="35702"/>
    <cellStyle name="Tytuł 2 48" xfId="35703"/>
    <cellStyle name="Tytuł 2 49" xfId="35704"/>
    <cellStyle name="Tytuł 2 5" xfId="35705"/>
    <cellStyle name="Tytuł 2 5 2" xfId="35706"/>
    <cellStyle name="Tytuł 2 5 3" xfId="35707"/>
    <cellStyle name="Tytuł 2 5 4" xfId="35708"/>
    <cellStyle name="Tytuł 2 5 5" xfId="35709"/>
    <cellStyle name="Tytuł 2 5 6" xfId="35710"/>
    <cellStyle name="Tytuł 2 5 7" xfId="35711"/>
    <cellStyle name="Tytuł 2 50" xfId="35712"/>
    <cellStyle name="Tytuł 2 51" xfId="35713"/>
    <cellStyle name="Tytuł 2 52" xfId="35714"/>
    <cellStyle name="Tytuł 2 6" xfId="35715"/>
    <cellStyle name="Tytuł 2 6 2" xfId="35716"/>
    <cellStyle name="Tytuł 2 6 3" xfId="35717"/>
    <cellStyle name="Tytuł 2 6 4" xfId="35718"/>
    <cellStyle name="Tytuł 2 6 5" xfId="35719"/>
    <cellStyle name="Tytuł 2 6 6" xfId="35720"/>
    <cellStyle name="Tytuł 2 6 7" xfId="35721"/>
    <cellStyle name="Tytuł 2 7" xfId="35722"/>
    <cellStyle name="Tytuł 2 7 2" xfId="35723"/>
    <cellStyle name="Tytuł 2 7 3" xfId="35724"/>
    <cellStyle name="Tytuł 2 7 4" xfId="35725"/>
    <cellStyle name="Tytuł 2 7 5" xfId="35726"/>
    <cellStyle name="Tytuł 2 7 6" xfId="35727"/>
    <cellStyle name="Tytuł 2 7 7" xfId="35728"/>
    <cellStyle name="Tytuł 2 8" xfId="35729"/>
    <cellStyle name="Tytuł 2 8 2" xfId="35730"/>
    <cellStyle name="Tytuł 2 8 3" xfId="35731"/>
    <cellStyle name="Tytuł 2 8 4" xfId="35732"/>
    <cellStyle name="Tytuł 2 8 5" xfId="35733"/>
    <cellStyle name="Tytuł 2 8 6" xfId="35734"/>
    <cellStyle name="Tytuł 2 8 7" xfId="35735"/>
    <cellStyle name="Tytuł 2 9" xfId="35736"/>
    <cellStyle name="Tytuł 2 9 2" xfId="35737"/>
    <cellStyle name="Tytuł 2 9 3" xfId="35738"/>
    <cellStyle name="Tytuł 2 9 4" xfId="35739"/>
    <cellStyle name="Tytuł 2 9 5" xfId="35740"/>
    <cellStyle name="Tytuł 2 9 6" xfId="35741"/>
    <cellStyle name="Tytuł 2 9 7" xfId="35742"/>
    <cellStyle name="Tytuł 3" xfId="35743"/>
    <cellStyle name="Tytuł 3 2" xfId="35744"/>
    <cellStyle name="Tytuł 3 2 2" xfId="35745"/>
    <cellStyle name="Tytuł 3 3" xfId="35746"/>
    <cellStyle name="Tytuł 3 4" xfId="35747"/>
    <cellStyle name="Tytuł 3 5" xfId="35748"/>
    <cellStyle name="Tytuł 3 6" xfId="35749"/>
    <cellStyle name="Tytuł 3 7" xfId="35750"/>
    <cellStyle name="Tytuł 3 8" xfId="35751"/>
    <cellStyle name="Tytuł 4" xfId="35752"/>
    <cellStyle name="Tytuł 4 2" xfId="35753"/>
    <cellStyle name="Tytuł 4 3" xfId="35754"/>
    <cellStyle name="Tytuł 4 4" xfId="35755"/>
    <cellStyle name="Tytuł 4 5" xfId="35756"/>
    <cellStyle name="Tytuł 4 6" xfId="35757"/>
    <cellStyle name="Tytuł 4 7" xfId="35758"/>
    <cellStyle name="Tytuł 4 8" xfId="35759"/>
    <cellStyle name="Tytuł 5" xfId="35760"/>
    <cellStyle name="Tytuł 6" xfId="35761"/>
    <cellStyle name="Tytuł 7" xfId="35762"/>
    <cellStyle name="Tytuł 8" xfId="35763"/>
    <cellStyle name="über" xfId="35764"/>
    <cellStyle name="Unit" xfId="35765"/>
    <cellStyle name="Uwaga 10" xfId="35766"/>
    <cellStyle name="Uwaga 100" xfId="35767"/>
    <cellStyle name="Uwaga 100 2" xfId="35768"/>
    <cellStyle name="Uwaga 101" xfId="35769"/>
    <cellStyle name="Uwaga 101 2" xfId="35770"/>
    <cellStyle name="Uwaga 102" xfId="35771"/>
    <cellStyle name="Uwaga 102 2" xfId="35772"/>
    <cellStyle name="Uwaga 103" xfId="35773"/>
    <cellStyle name="Uwaga 103 2" xfId="35774"/>
    <cellStyle name="Uwaga 104" xfId="35775"/>
    <cellStyle name="Uwaga 104 2" xfId="35776"/>
    <cellStyle name="Uwaga 105" xfId="35777"/>
    <cellStyle name="Uwaga 105 2" xfId="35778"/>
    <cellStyle name="Uwaga 106" xfId="35779"/>
    <cellStyle name="Uwaga 106 2" xfId="35780"/>
    <cellStyle name="Uwaga 107" xfId="35781"/>
    <cellStyle name="Uwaga 107 2" xfId="35782"/>
    <cellStyle name="Uwaga 108" xfId="35783"/>
    <cellStyle name="Uwaga 108 2" xfId="35784"/>
    <cellStyle name="Uwaga 109" xfId="35785"/>
    <cellStyle name="Uwaga 109 2" xfId="35786"/>
    <cellStyle name="Uwaga 11" xfId="35787"/>
    <cellStyle name="Uwaga 110" xfId="35788"/>
    <cellStyle name="Uwaga 110 2" xfId="35789"/>
    <cellStyle name="Uwaga 111" xfId="35790"/>
    <cellStyle name="Uwaga 111 2" xfId="35791"/>
    <cellStyle name="Uwaga 112" xfId="35792"/>
    <cellStyle name="Uwaga 112 2" xfId="35793"/>
    <cellStyle name="Uwaga 113" xfId="35794"/>
    <cellStyle name="Uwaga 113 2" xfId="35795"/>
    <cellStyle name="Uwaga 114" xfId="35796"/>
    <cellStyle name="Uwaga 114 2" xfId="35797"/>
    <cellStyle name="Uwaga 115" xfId="35798"/>
    <cellStyle name="Uwaga 115 2" xfId="35799"/>
    <cellStyle name="Uwaga 116" xfId="35800"/>
    <cellStyle name="Uwaga 116 2" xfId="35801"/>
    <cellStyle name="Uwaga 117" xfId="35802"/>
    <cellStyle name="Uwaga 117 2" xfId="35803"/>
    <cellStyle name="Uwaga 118" xfId="35804"/>
    <cellStyle name="Uwaga 118 2" xfId="35805"/>
    <cellStyle name="Uwaga 119" xfId="35806"/>
    <cellStyle name="Uwaga 119 2" xfId="35807"/>
    <cellStyle name="Uwaga 12" xfId="35808"/>
    <cellStyle name="Uwaga 120" xfId="35809"/>
    <cellStyle name="Uwaga 120 2" xfId="35810"/>
    <cellStyle name="Uwaga 121" xfId="35811"/>
    <cellStyle name="Uwaga 121 2" xfId="35812"/>
    <cellStyle name="Uwaga 122" xfId="35813"/>
    <cellStyle name="Uwaga 122 2" xfId="35814"/>
    <cellStyle name="Uwaga 123" xfId="35815"/>
    <cellStyle name="Uwaga 123 2" xfId="35816"/>
    <cellStyle name="Uwaga 124" xfId="35817"/>
    <cellStyle name="Uwaga 124 2" xfId="35818"/>
    <cellStyle name="Uwaga 125" xfId="35819"/>
    <cellStyle name="Uwaga 13" xfId="35820"/>
    <cellStyle name="Uwaga 14" xfId="35821"/>
    <cellStyle name="Uwaga 15" xfId="35822"/>
    <cellStyle name="Uwaga 16" xfId="35823"/>
    <cellStyle name="Uwaga 17" xfId="35824"/>
    <cellStyle name="Uwaga 18" xfId="35825"/>
    <cellStyle name="Uwaga 19" xfId="35826"/>
    <cellStyle name="Uwaga 2" xfId="35827"/>
    <cellStyle name="Uwaga 2 10" xfId="35828"/>
    <cellStyle name="Uwaga 2 10 10" xfId="35829"/>
    <cellStyle name="Uwaga 2 10 10 2" xfId="35830"/>
    <cellStyle name="Uwaga 2 10 10 3" xfId="35831"/>
    <cellStyle name="Uwaga 2 10 10 4" xfId="35832"/>
    <cellStyle name="Uwaga 2 10 11" xfId="35833"/>
    <cellStyle name="Uwaga 2 10 11 2" xfId="35834"/>
    <cellStyle name="Uwaga 2 10 11 3" xfId="35835"/>
    <cellStyle name="Uwaga 2 10 11 4" xfId="35836"/>
    <cellStyle name="Uwaga 2 10 12" xfId="35837"/>
    <cellStyle name="Uwaga 2 10 12 2" xfId="35838"/>
    <cellStyle name="Uwaga 2 10 12 3" xfId="35839"/>
    <cellStyle name="Uwaga 2 10 12 4" xfId="35840"/>
    <cellStyle name="Uwaga 2 10 13" xfId="35841"/>
    <cellStyle name="Uwaga 2 10 13 2" xfId="35842"/>
    <cellStyle name="Uwaga 2 10 13 3" xfId="35843"/>
    <cellStyle name="Uwaga 2 10 13 4" xfId="35844"/>
    <cellStyle name="Uwaga 2 10 14" xfId="35845"/>
    <cellStyle name="Uwaga 2 10 14 2" xfId="35846"/>
    <cellStyle name="Uwaga 2 10 14 3" xfId="35847"/>
    <cellStyle name="Uwaga 2 10 14 4" xfId="35848"/>
    <cellStyle name="Uwaga 2 10 15" xfId="35849"/>
    <cellStyle name="Uwaga 2 10 15 2" xfId="35850"/>
    <cellStyle name="Uwaga 2 10 15 3" xfId="35851"/>
    <cellStyle name="Uwaga 2 10 15 4" xfId="35852"/>
    <cellStyle name="Uwaga 2 10 16" xfId="35853"/>
    <cellStyle name="Uwaga 2 10 16 2" xfId="35854"/>
    <cellStyle name="Uwaga 2 10 16 3" xfId="35855"/>
    <cellStyle name="Uwaga 2 10 16 4" xfId="35856"/>
    <cellStyle name="Uwaga 2 10 17" xfId="35857"/>
    <cellStyle name="Uwaga 2 10 17 2" xfId="35858"/>
    <cellStyle name="Uwaga 2 10 17 3" xfId="35859"/>
    <cellStyle name="Uwaga 2 10 17 4" xfId="35860"/>
    <cellStyle name="Uwaga 2 10 18" xfId="35861"/>
    <cellStyle name="Uwaga 2 10 18 2" xfId="35862"/>
    <cellStyle name="Uwaga 2 10 18 3" xfId="35863"/>
    <cellStyle name="Uwaga 2 10 18 4" xfId="35864"/>
    <cellStyle name="Uwaga 2 10 19" xfId="35865"/>
    <cellStyle name="Uwaga 2 10 19 2" xfId="35866"/>
    <cellStyle name="Uwaga 2 10 19 3" xfId="35867"/>
    <cellStyle name="Uwaga 2 10 19 4" xfId="35868"/>
    <cellStyle name="Uwaga 2 10 2" xfId="35869"/>
    <cellStyle name="Uwaga 2 10 2 2" xfId="35870"/>
    <cellStyle name="Uwaga 2 10 2 3" xfId="35871"/>
    <cellStyle name="Uwaga 2 10 2 4" xfId="35872"/>
    <cellStyle name="Uwaga 2 10 20" xfId="35873"/>
    <cellStyle name="Uwaga 2 10 20 2" xfId="35874"/>
    <cellStyle name="Uwaga 2 10 20 3" xfId="35875"/>
    <cellStyle name="Uwaga 2 10 20 4" xfId="35876"/>
    <cellStyle name="Uwaga 2 10 21" xfId="35877"/>
    <cellStyle name="Uwaga 2 10 21 2" xfId="35878"/>
    <cellStyle name="Uwaga 2 10 21 3" xfId="35879"/>
    <cellStyle name="Uwaga 2 10 22" xfId="35880"/>
    <cellStyle name="Uwaga 2 10 22 2" xfId="35881"/>
    <cellStyle name="Uwaga 2 10 22 3" xfId="35882"/>
    <cellStyle name="Uwaga 2 10 23" xfId="35883"/>
    <cellStyle name="Uwaga 2 10 23 2" xfId="35884"/>
    <cellStyle name="Uwaga 2 10 23 3" xfId="35885"/>
    <cellStyle name="Uwaga 2 10 24" xfId="35886"/>
    <cellStyle name="Uwaga 2 10 24 2" xfId="35887"/>
    <cellStyle name="Uwaga 2 10 24 3" xfId="35888"/>
    <cellStyle name="Uwaga 2 10 25" xfId="35889"/>
    <cellStyle name="Uwaga 2 10 25 2" xfId="35890"/>
    <cellStyle name="Uwaga 2 10 25 3" xfId="35891"/>
    <cellStyle name="Uwaga 2 10 26" xfId="35892"/>
    <cellStyle name="Uwaga 2 10 26 2" xfId="35893"/>
    <cellStyle name="Uwaga 2 10 26 3" xfId="35894"/>
    <cellStyle name="Uwaga 2 10 27" xfId="35895"/>
    <cellStyle name="Uwaga 2 10 27 2" xfId="35896"/>
    <cellStyle name="Uwaga 2 10 27 3" xfId="35897"/>
    <cellStyle name="Uwaga 2 10 28" xfId="35898"/>
    <cellStyle name="Uwaga 2 10 28 2" xfId="35899"/>
    <cellStyle name="Uwaga 2 10 28 3" xfId="35900"/>
    <cellStyle name="Uwaga 2 10 29" xfId="35901"/>
    <cellStyle name="Uwaga 2 10 29 2" xfId="35902"/>
    <cellStyle name="Uwaga 2 10 29 3" xfId="35903"/>
    <cellStyle name="Uwaga 2 10 3" xfId="35904"/>
    <cellStyle name="Uwaga 2 10 3 2" xfId="35905"/>
    <cellStyle name="Uwaga 2 10 3 3" xfId="35906"/>
    <cellStyle name="Uwaga 2 10 3 4" xfId="35907"/>
    <cellStyle name="Uwaga 2 10 30" xfId="35908"/>
    <cellStyle name="Uwaga 2 10 30 2" xfId="35909"/>
    <cellStyle name="Uwaga 2 10 30 3" xfId="35910"/>
    <cellStyle name="Uwaga 2 10 31" xfId="35911"/>
    <cellStyle name="Uwaga 2 10 31 2" xfId="35912"/>
    <cellStyle name="Uwaga 2 10 31 3" xfId="35913"/>
    <cellStyle name="Uwaga 2 10 32" xfId="35914"/>
    <cellStyle name="Uwaga 2 10 32 2" xfId="35915"/>
    <cellStyle name="Uwaga 2 10 32 3" xfId="35916"/>
    <cellStyle name="Uwaga 2 10 33" xfId="35917"/>
    <cellStyle name="Uwaga 2 10 33 2" xfId="35918"/>
    <cellStyle name="Uwaga 2 10 33 3" xfId="35919"/>
    <cellStyle name="Uwaga 2 10 34" xfId="35920"/>
    <cellStyle name="Uwaga 2 10 34 2" xfId="35921"/>
    <cellStyle name="Uwaga 2 10 34 3" xfId="35922"/>
    <cellStyle name="Uwaga 2 10 35" xfId="35923"/>
    <cellStyle name="Uwaga 2 10 35 2" xfId="35924"/>
    <cellStyle name="Uwaga 2 10 35 3" xfId="35925"/>
    <cellStyle name="Uwaga 2 10 36" xfId="35926"/>
    <cellStyle name="Uwaga 2 10 36 2" xfId="35927"/>
    <cellStyle name="Uwaga 2 10 36 3" xfId="35928"/>
    <cellStyle name="Uwaga 2 10 37" xfId="35929"/>
    <cellStyle name="Uwaga 2 10 37 2" xfId="35930"/>
    <cellStyle name="Uwaga 2 10 37 3" xfId="35931"/>
    <cellStyle name="Uwaga 2 10 38" xfId="35932"/>
    <cellStyle name="Uwaga 2 10 38 2" xfId="35933"/>
    <cellStyle name="Uwaga 2 10 38 3" xfId="35934"/>
    <cellStyle name="Uwaga 2 10 39" xfId="35935"/>
    <cellStyle name="Uwaga 2 10 39 2" xfId="35936"/>
    <cellStyle name="Uwaga 2 10 39 3" xfId="35937"/>
    <cellStyle name="Uwaga 2 10 4" xfId="35938"/>
    <cellStyle name="Uwaga 2 10 4 2" xfId="35939"/>
    <cellStyle name="Uwaga 2 10 4 3" xfId="35940"/>
    <cellStyle name="Uwaga 2 10 4 4" xfId="35941"/>
    <cellStyle name="Uwaga 2 10 40" xfId="35942"/>
    <cellStyle name="Uwaga 2 10 40 2" xfId="35943"/>
    <cellStyle name="Uwaga 2 10 40 3" xfId="35944"/>
    <cellStyle name="Uwaga 2 10 41" xfId="35945"/>
    <cellStyle name="Uwaga 2 10 41 2" xfId="35946"/>
    <cellStyle name="Uwaga 2 10 41 3" xfId="35947"/>
    <cellStyle name="Uwaga 2 10 42" xfId="35948"/>
    <cellStyle name="Uwaga 2 10 42 2" xfId="35949"/>
    <cellStyle name="Uwaga 2 10 42 3" xfId="35950"/>
    <cellStyle name="Uwaga 2 10 43" xfId="35951"/>
    <cellStyle name="Uwaga 2 10 43 2" xfId="35952"/>
    <cellStyle name="Uwaga 2 10 43 3" xfId="35953"/>
    <cellStyle name="Uwaga 2 10 44" xfId="35954"/>
    <cellStyle name="Uwaga 2 10 44 2" xfId="35955"/>
    <cellStyle name="Uwaga 2 10 44 3" xfId="35956"/>
    <cellStyle name="Uwaga 2 10 45" xfId="35957"/>
    <cellStyle name="Uwaga 2 10 45 2" xfId="35958"/>
    <cellStyle name="Uwaga 2 10 45 3" xfId="35959"/>
    <cellStyle name="Uwaga 2 10 46" xfId="35960"/>
    <cellStyle name="Uwaga 2 10 46 2" xfId="35961"/>
    <cellStyle name="Uwaga 2 10 46 3" xfId="35962"/>
    <cellStyle name="Uwaga 2 10 47" xfId="35963"/>
    <cellStyle name="Uwaga 2 10 47 2" xfId="35964"/>
    <cellStyle name="Uwaga 2 10 47 3" xfId="35965"/>
    <cellStyle name="Uwaga 2 10 48" xfId="35966"/>
    <cellStyle name="Uwaga 2 10 48 2" xfId="35967"/>
    <cellStyle name="Uwaga 2 10 48 3" xfId="35968"/>
    <cellStyle name="Uwaga 2 10 49" xfId="35969"/>
    <cellStyle name="Uwaga 2 10 49 2" xfId="35970"/>
    <cellStyle name="Uwaga 2 10 49 3" xfId="35971"/>
    <cellStyle name="Uwaga 2 10 5" xfId="35972"/>
    <cellStyle name="Uwaga 2 10 5 2" xfId="35973"/>
    <cellStyle name="Uwaga 2 10 5 3" xfId="35974"/>
    <cellStyle name="Uwaga 2 10 5 4" xfId="35975"/>
    <cellStyle name="Uwaga 2 10 50" xfId="35976"/>
    <cellStyle name="Uwaga 2 10 50 2" xfId="35977"/>
    <cellStyle name="Uwaga 2 10 50 3" xfId="35978"/>
    <cellStyle name="Uwaga 2 10 51" xfId="35979"/>
    <cellStyle name="Uwaga 2 10 51 2" xfId="35980"/>
    <cellStyle name="Uwaga 2 10 51 3" xfId="35981"/>
    <cellStyle name="Uwaga 2 10 52" xfId="35982"/>
    <cellStyle name="Uwaga 2 10 52 2" xfId="35983"/>
    <cellStyle name="Uwaga 2 10 52 3" xfId="35984"/>
    <cellStyle name="Uwaga 2 10 53" xfId="35985"/>
    <cellStyle name="Uwaga 2 10 53 2" xfId="35986"/>
    <cellStyle name="Uwaga 2 10 53 3" xfId="35987"/>
    <cellStyle name="Uwaga 2 10 54" xfId="35988"/>
    <cellStyle name="Uwaga 2 10 54 2" xfId="35989"/>
    <cellStyle name="Uwaga 2 10 54 3" xfId="35990"/>
    <cellStyle name="Uwaga 2 10 55" xfId="35991"/>
    <cellStyle name="Uwaga 2 10 55 2" xfId="35992"/>
    <cellStyle name="Uwaga 2 10 55 3" xfId="35993"/>
    <cellStyle name="Uwaga 2 10 56" xfId="35994"/>
    <cellStyle name="Uwaga 2 10 56 2" xfId="35995"/>
    <cellStyle name="Uwaga 2 10 56 3" xfId="35996"/>
    <cellStyle name="Uwaga 2 10 57" xfId="35997"/>
    <cellStyle name="Uwaga 2 10 58" xfId="35998"/>
    <cellStyle name="Uwaga 2 10 6" xfId="35999"/>
    <cellStyle name="Uwaga 2 10 6 2" xfId="36000"/>
    <cellStyle name="Uwaga 2 10 6 3" xfId="36001"/>
    <cellStyle name="Uwaga 2 10 6 4" xfId="36002"/>
    <cellStyle name="Uwaga 2 10 7" xfId="36003"/>
    <cellStyle name="Uwaga 2 10 7 2" xfId="36004"/>
    <cellStyle name="Uwaga 2 10 7 3" xfId="36005"/>
    <cellStyle name="Uwaga 2 10 7 4" xfId="36006"/>
    <cellStyle name="Uwaga 2 10 8" xfId="36007"/>
    <cellStyle name="Uwaga 2 10 8 2" xfId="36008"/>
    <cellStyle name="Uwaga 2 10 8 3" xfId="36009"/>
    <cellStyle name="Uwaga 2 10 8 4" xfId="36010"/>
    <cellStyle name="Uwaga 2 10 9" xfId="36011"/>
    <cellStyle name="Uwaga 2 10 9 2" xfId="36012"/>
    <cellStyle name="Uwaga 2 10 9 3" xfId="36013"/>
    <cellStyle name="Uwaga 2 10 9 4" xfId="36014"/>
    <cellStyle name="Uwaga 2 11" xfId="36015"/>
    <cellStyle name="Uwaga 2 11 10" xfId="36016"/>
    <cellStyle name="Uwaga 2 11 10 2" xfId="36017"/>
    <cellStyle name="Uwaga 2 11 10 3" xfId="36018"/>
    <cellStyle name="Uwaga 2 11 10 4" xfId="36019"/>
    <cellStyle name="Uwaga 2 11 11" xfId="36020"/>
    <cellStyle name="Uwaga 2 11 11 2" xfId="36021"/>
    <cellStyle name="Uwaga 2 11 11 3" xfId="36022"/>
    <cellStyle name="Uwaga 2 11 11 4" xfId="36023"/>
    <cellStyle name="Uwaga 2 11 12" xfId="36024"/>
    <cellStyle name="Uwaga 2 11 12 2" xfId="36025"/>
    <cellStyle name="Uwaga 2 11 12 3" xfId="36026"/>
    <cellStyle name="Uwaga 2 11 12 4" xfId="36027"/>
    <cellStyle name="Uwaga 2 11 13" xfId="36028"/>
    <cellStyle name="Uwaga 2 11 13 2" xfId="36029"/>
    <cellStyle name="Uwaga 2 11 13 3" xfId="36030"/>
    <cellStyle name="Uwaga 2 11 13 4" xfId="36031"/>
    <cellStyle name="Uwaga 2 11 14" xfId="36032"/>
    <cellStyle name="Uwaga 2 11 14 2" xfId="36033"/>
    <cellStyle name="Uwaga 2 11 14 3" xfId="36034"/>
    <cellStyle name="Uwaga 2 11 14 4" xfId="36035"/>
    <cellStyle name="Uwaga 2 11 15" xfId="36036"/>
    <cellStyle name="Uwaga 2 11 15 2" xfId="36037"/>
    <cellStyle name="Uwaga 2 11 15 3" xfId="36038"/>
    <cellStyle name="Uwaga 2 11 15 4" xfId="36039"/>
    <cellStyle name="Uwaga 2 11 16" xfId="36040"/>
    <cellStyle name="Uwaga 2 11 16 2" xfId="36041"/>
    <cellStyle name="Uwaga 2 11 16 3" xfId="36042"/>
    <cellStyle name="Uwaga 2 11 16 4" xfId="36043"/>
    <cellStyle name="Uwaga 2 11 17" xfId="36044"/>
    <cellStyle name="Uwaga 2 11 17 2" xfId="36045"/>
    <cellStyle name="Uwaga 2 11 17 3" xfId="36046"/>
    <cellStyle name="Uwaga 2 11 17 4" xfId="36047"/>
    <cellStyle name="Uwaga 2 11 18" xfId="36048"/>
    <cellStyle name="Uwaga 2 11 18 2" xfId="36049"/>
    <cellStyle name="Uwaga 2 11 18 3" xfId="36050"/>
    <cellStyle name="Uwaga 2 11 18 4" xfId="36051"/>
    <cellStyle name="Uwaga 2 11 19" xfId="36052"/>
    <cellStyle name="Uwaga 2 11 19 2" xfId="36053"/>
    <cellStyle name="Uwaga 2 11 19 3" xfId="36054"/>
    <cellStyle name="Uwaga 2 11 19 4" xfId="36055"/>
    <cellStyle name="Uwaga 2 11 2" xfId="36056"/>
    <cellStyle name="Uwaga 2 11 2 2" xfId="36057"/>
    <cellStyle name="Uwaga 2 11 2 3" xfId="36058"/>
    <cellStyle name="Uwaga 2 11 2 4" xfId="36059"/>
    <cellStyle name="Uwaga 2 11 20" xfId="36060"/>
    <cellStyle name="Uwaga 2 11 20 2" xfId="36061"/>
    <cellStyle name="Uwaga 2 11 20 3" xfId="36062"/>
    <cellStyle name="Uwaga 2 11 20 4" xfId="36063"/>
    <cellStyle name="Uwaga 2 11 21" xfId="36064"/>
    <cellStyle name="Uwaga 2 11 21 2" xfId="36065"/>
    <cellStyle name="Uwaga 2 11 21 3" xfId="36066"/>
    <cellStyle name="Uwaga 2 11 22" xfId="36067"/>
    <cellStyle name="Uwaga 2 11 22 2" xfId="36068"/>
    <cellStyle name="Uwaga 2 11 22 3" xfId="36069"/>
    <cellStyle name="Uwaga 2 11 23" xfId="36070"/>
    <cellStyle name="Uwaga 2 11 23 2" xfId="36071"/>
    <cellStyle name="Uwaga 2 11 23 3" xfId="36072"/>
    <cellStyle name="Uwaga 2 11 24" xfId="36073"/>
    <cellStyle name="Uwaga 2 11 24 2" xfId="36074"/>
    <cellStyle name="Uwaga 2 11 24 3" xfId="36075"/>
    <cellStyle name="Uwaga 2 11 25" xfId="36076"/>
    <cellStyle name="Uwaga 2 11 25 2" xfId="36077"/>
    <cellStyle name="Uwaga 2 11 25 3" xfId="36078"/>
    <cellStyle name="Uwaga 2 11 26" xfId="36079"/>
    <cellStyle name="Uwaga 2 11 26 2" xfId="36080"/>
    <cellStyle name="Uwaga 2 11 26 3" xfId="36081"/>
    <cellStyle name="Uwaga 2 11 27" xfId="36082"/>
    <cellStyle name="Uwaga 2 11 27 2" xfId="36083"/>
    <cellStyle name="Uwaga 2 11 27 3" xfId="36084"/>
    <cellStyle name="Uwaga 2 11 28" xfId="36085"/>
    <cellStyle name="Uwaga 2 11 28 2" xfId="36086"/>
    <cellStyle name="Uwaga 2 11 28 3" xfId="36087"/>
    <cellStyle name="Uwaga 2 11 29" xfId="36088"/>
    <cellStyle name="Uwaga 2 11 29 2" xfId="36089"/>
    <cellStyle name="Uwaga 2 11 29 3" xfId="36090"/>
    <cellStyle name="Uwaga 2 11 3" xfId="36091"/>
    <cellStyle name="Uwaga 2 11 3 2" xfId="36092"/>
    <cellStyle name="Uwaga 2 11 3 3" xfId="36093"/>
    <cellStyle name="Uwaga 2 11 3 4" xfId="36094"/>
    <cellStyle name="Uwaga 2 11 30" xfId="36095"/>
    <cellStyle name="Uwaga 2 11 30 2" xfId="36096"/>
    <cellStyle name="Uwaga 2 11 30 3" xfId="36097"/>
    <cellStyle name="Uwaga 2 11 31" xfId="36098"/>
    <cellStyle name="Uwaga 2 11 31 2" xfId="36099"/>
    <cellStyle name="Uwaga 2 11 31 3" xfId="36100"/>
    <cellStyle name="Uwaga 2 11 32" xfId="36101"/>
    <cellStyle name="Uwaga 2 11 32 2" xfId="36102"/>
    <cellStyle name="Uwaga 2 11 32 3" xfId="36103"/>
    <cellStyle name="Uwaga 2 11 33" xfId="36104"/>
    <cellStyle name="Uwaga 2 11 33 2" xfId="36105"/>
    <cellStyle name="Uwaga 2 11 33 3" xfId="36106"/>
    <cellStyle name="Uwaga 2 11 34" xfId="36107"/>
    <cellStyle name="Uwaga 2 11 34 2" xfId="36108"/>
    <cellStyle name="Uwaga 2 11 34 3" xfId="36109"/>
    <cellStyle name="Uwaga 2 11 35" xfId="36110"/>
    <cellStyle name="Uwaga 2 11 35 2" xfId="36111"/>
    <cellStyle name="Uwaga 2 11 35 3" xfId="36112"/>
    <cellStyle name="Uwaga 2 11 36" xfId="36113"/>
    <cellStyle name="Uwaga 2 11 36 2" xfId="36114"/>
    <cellStyle name="Uwaga 2 11 36 3" xfId="36115"/>
    <cellStyle name="Uwaga 2 11 37" xfId="36116"/>
    <cellStyle name="Uwaga 2 11 37 2" xfId="36117"/>
    <cellStyle name="Uwaga 2 11 37 3" xfId="36118"/>
    <cellStyle name="Uwaga 2 11 38" xfId="36119"/>
    <cellStyle name="Uwaga 2 11 38 2" xfId="36120"/>
    <cellStyle name="Uwaga 2 11 38 3" xfId="36121"/>
    <cellStyle name="Uwaga 2 11 39" xfId="36122"/>
    <cellStyle name="Uwaga 2 11 39 2" xfId="36123"/>
    <cellStyle name="Uwaga 2 11 39 3" xfId="36124"/>
    <cellStyle name="Uwaga 2 11 4" xfId="36125"/>
    <cellStyle name="Uwaga 2 11 4 2" xfId="36126"/>
    <cellStyle name="Uwaga 2 11 4 3" xfId="36127"/>
    <cellStyle name="Uwaga 2 11 4 4" xfId="36128"/>
    <cellStyle name="Uwaga 2 11 40" xfId="36129"/>
    <cellStyle name="Uwaga 2 11 40 2" xfId="36130"/>
    <cellStyle name="Uwaga 2 11 40 3" xfId="36131"/>
    <cellStyle name="Uwaga 2 11 41" xfId="36132"/>
    <cellStyle name="Uwaga 2 11 41 2" xfId="36133"/>
    <cellStyle name="Uwaga 2 11 41 3" xfId="36134"/>
    <cellStyle name="Uwaga 2 11 42" xfId="36135"/>
    <cellStyle name="Uwaga 2 11 42 2" xfId="36136"/>
    <cellStyle name="Uwaga 2 11 42 3" xfId="36137"/>
    <cellStyle name="Uwaga 2 11 43" xfId="36138"/>
    <cellStyle name="Uwaga 2 11 43 2" xfId="36139"/>
    <cellStyle name="Uwaga 2 11 43 3" xfId="36140"/>
    <cellStyle name="Uwaga 2 11 44" xfId="36141"/>
    <cellStyle name="Uwaga 2 11 44 2" xfId="36142"/>
    <cellStyle name="Uwaga 2 11 44 3" xfId="36143"/>
    <cellStyle name="Uwaga 2 11 45" xfId="36144"/>
    <cellStyle name="Uwaga 2 11 45 2" xfId="36145"/>
    <cellStyle name="Uwaga 2 11 45 3" xfId="36146"/>
    <cellStyle name="Uwaga 2 11 46" xfId="36147"/>
    <cellStyle name="Uwaga 2 11 46 2" xfId="36148"/>
    <cellStyle name="Uwaga 2 11 46 3" xfId="36149"/>
    <cellStyle name="Uwaga 2 11 47" xfId="36150"/>
    <cellStyle name="Uwaga 2 11 47 2" xfId="36151"/>
    <cellStyle name="Uwaga 2 11 47 3" xfId="36152"/>
    <cellStyle name="Uwaga 2 11 48" xfId="36153"/>
    <cellStyle name="Uwaga 2 11 48 2" xfId="36154"/>
    <cellStyle name="Uwaga 2 11 48 3" xfId="36155"/>
    <cellStyle name="Uwaga 2 11 49" xfId="36156"/>
    <cellStyle name="Uwaga 2 11 49 2" xfId="36157"/>
    <cellStyle name="Uwaga 2 11 49 3" xfId="36158"/>
    <cellStyle name="Uwaga 2 11 5" xfId="36159"/>
    <cellStyle name="Uwaga 2 11 5 2" xfId="36160"/>
    <cellStyle name="Uwaga 2 11 5 3" xfId="36161"/>
    <cellStyle name="Uwaga 2 11 5 4" xfId="36162"/>
    <cellStyle name="Uwaga 2 11 50" xfId="36163"/>
    <cellStyle name="Uwaga 2 11 50 2" xfId="36164"/>
    <cellStyle name="Uwaga 2 11 50 3" xfId="36165"/>
    <cellStyle name="Uwaga 2 11 51" xfId="36166"/>
    <cellStyle name="Uwaga 2 11 51 2" xfId="36167"/>
    <cellStyle name="Uwaga 2 11 51 3" xfId="36168"/>
    <cellStyle name="Uwaga 2 11 52" xfId="36169"/>
    <cellStyle name="Uwaga 2 11 52 2" xfId="36170"/>
    <cellStyle name="Uwaga 2 11 52 3" xfId="36171"/>
    <cellStyle name="Uwaga 2 11 53" xfId="36172"/>
    <cellStyle name="Uwaga 2 11 53 2" xfId="36173"/>
    <cellStyle name="Uwaga 2 11 53 3" xfId="36174"/>
    <cellStyle name="Uwaga 2 11 54" xfId="36175"/>
    <cellStyle name="Uwaga 2 11 54 2" xfId="36176"/>
    <cellStyle name="Uwaga 2 11 54 3" xfId="36177"/>
    <cellStyle name="Uwaga 2 11 55" xfId="36178"/>
    <cellStyle name="Uwaga 2 11 55 2" xfId="36179"/>
    <cellStyle name="Uwaga 2 11 55 3" xfId="36180"/>
    <cellStyle name="Uwaga 2 11 56" xfId="36181"/>
    <cellStyle name="Uwaga 2 11 56 2" xfId="36182"/>
    <cellStyle name="Uwaga 2 11 56 3" xfId="36183"/>
    <cellStyle name="Uwaga 2 11 57" xfId="36184"/>
    <cellStyle name="Uwaga 2 11 58" xfId="36185"/>
    <cellStyle name="Uwaga 2 11 6" xfId="36186"/>
    <cellStyle name="Uwaga 2 11 6 2" xfId="36187"/>
    <cellStyle name="Uwaga 2 11 6 3" xfId="36188"/>
    <cellStyle name="Uwaga 2 11 6 4" xfId="36189"/>
    <cellStyle name="Uwaga 2 11 7" xfId="36190"/>
    <cellStyle name="Uwaga 2 11 7 2" xfId="36191"/>
    <cellStyle name="Uwaga 2 11 7 3" xfId="36192"/>
    <cellStyle name="Uwaga 2 11 7 4" xfId="36193"/>
    <cellStyle name="Uwaga 2 11 8" xfId="36194"/>
    <cellStyle name="Uwaga 2 11 8 2" xfId="36195"/>
    <cellStyle name="Uwaga 2 11 8 3" xfId="36196"/>
    <cellStyle name="Uwaga 2 11 8 4" xfId="36197"/>
    <cellStyle name="Uwaga 2 11 9" xfId="36198"/>
    <cellStyle name="Uwaga 2 11 9 2" xfId="36199"/>
    <cellStyle name="Uwaga 2 11 9 3" xfId="36200"/>
    <cellStyle name="Uwaga 2 11 9 4" xfId="36201"/>
    <cellStyle name="Uwaga 2 12" xfId="36202"/>
    <cellStyle name="Uwaga 2 12 10" xfId="36203"/>
    <cellStyle name="Uwaga 2 12 10 2" xfId="36204"/>
    <cellStyle name="Uwaga 2 12 10 3" xfId="36205"/>
    <cellStyle name="Uwaga 2 12 10 4" xfId="36206"/>
    <cellStyle name="Uwaga 2 12 11" xfId="36207"/>
    <cellStyle name="Uwaga 2 12 11 2" xfId="36208"/>
    <cellStyle name="Uwaga 2 12 11 3" xfId="36209"/>
    <cellStyle name="Uwaga 2 12 11 4" xfId="36210"/>
    <cellStyle name="Uwaga 2 12 12" xfId="36211"/>
    <cellStyle name="Uwaga 2 12 12 2" xfId="36212"/>
    <cellStyle name="Uwaga 2 12 12 3" xfId="36213"/>
    <cellStyle name="Uwaga 2 12 12 4" xfId="36214"/>
    <cellStyle name="Uwaga 2 12 13" xfId="36215"/>
    <cellStyle name="Uwaga 2 12 13 2" xfId="36216"/>
    <cellStyle name="Uwaga 2 12 13 3" xfId="36217"/>
    <cellStyle name="Uwaga 2 12 13 4" xfId="36218"/>
    <cellStyle name="Uwaga 2 12 14" xfId="36219"/>
    <cellStyle name="Uwaga 2 12 14 2" xfId="36220"/>
    <cellStyle name="Uwaga 2 12 14 3" xfId="36221"/>
    <cellStyle name="Uwaga 2 12 14 4" xfId="36222"/>
    <cellStyle name="Uwaga 2 12 15" xfId="36223"/>
    <cellStyle name="Uwaga 2 12 15 2" xfId="36224"/>
    <cellStyle name="Uwaga 2 12 15 3" xfId="36225"/>
    <cellStyle name="Uwaga 2 12 15 4" xfId="36226"/>
    <cellStyle name="Uwaga 2 12 16" xfId="36227"/>
    <cellStyle name="Uwaga 2 12 16 2" xfId="36228"/>
    <cellStyle name="Uwaga 2 12 16 3" xfId="36229"/>
    <cellStyle name="Uwaga 2 12 16 4" xfId="36230"/>
    <cellStyle name="Uwaga 2 12 17" xfId="36231"/>
    <cellStyle name="Uwaga 2 12 17 2" xfId="36232"/>
    <cellStyle name="Uwaga 2 12 17 3" xfId="36233"/>
    <cellStyle name="Uwaga 2 12 17 4" xfId="36234"/>
    <cellStyle name="Uwaga 2 12 18" xfId="36235"/>
    <cellStyle name="Uwaga 2 12 18 2" xfId="36236"/>
    <cellStyle name="Uwaga 2 12 18 3" xfId="36237"/>
    <cellStyle name="Uwaga 2 12 18 4" xfId="36238"/>
    <cellStyle name="Uwaga 2 12 19" xfId="36239"/>
    <cellStyle name="Uwaga 2 12 19 2" xfId="36240"/>
    <cellStyle name="Uwaga 2 12 19 3" xfId="36241"/>
    <cellStyle name="Uwaga 2 12 19 4" xfId="36242"/>
    <cellStyle name="Uwaga 2 12 2" xfId="36243"/>
    <cellStyle name="Uwaga 2 12 2 2" xfId="36244"/>
    <cellStyle name="Uwaga 2 12 2 3" xfId="36245"/>
    <cellStyle name="Uwaga 2 12 2 4" xfId="36246"/>
    <cellStyle name="Uwaga 2 12 20" xfId="36247"/>
    <cellStyle name="Uwaga 2 12 20 2" xfId="36248"/>
    <cellStyle name="Uwaga 2 12 20 3" xfId="36249"/>
    <cellStyle name="Uwaga 2 12 20 4" xfId="36250"/>
    <cellStyle name="Uwaga 2 12 21" xfId="36251"/>
    <cellStyle name="Uwaga 2 12 21 2" xfId="36252"/>
    <cellStyle name="Uwaga 2 12 21 3" xfId="36253"/>
    <cellStyle name="Uwaga 2 12 22" xfId="36254"/>
    <cellStyle name="Uwaga 2 12 22 2" xfId="36255"/>
    <cellStyle name="Uwaga 2 12 22 3" xfId="36256"/>
    <cellStyle name="Uwaga 2 12 23" xfId="36257"/>
    <cellStyle name="Uwaga 2 12 23 2" xfId="36258"/>
    <cellStyle name="Uwaga 2 12 23 3" xfId="36259"/>
    <cellStyle name="Uwaga 2 12 24" xfId="36260"/>
    <cellStyle name="Uwaga 2 12 24 2" xfId="36261"/>
    <cellStyle name="Uwaga 2 12 24 3" xfId="36262"/>
    <cellStyle name="Uwaga 2 12 25" xfId="36263"/>
    <cellStyle name="Uwaga 2 12 25 2" xfId="36264"/>
    <cellStyle name="Uwaga 2 12 25 3" xfId="36265"/>
    <cellStyle name="Uwaga 2 12 26" xfId="36266"/>
    <cellStyle name="Uwaga 2 12 26 2" xfId="36267"/>
    <cellStyle name="Uwaga 2 12 26 3" xfId="36268"/>
    <cellStyle name="Uwaga 2 12 27" xfId="36269"/>
    <cellStyle name="Uwaga 2 12 27 2" xfId="36270"/>
    <cellStyle name="Uwaga 2 12 27 3" xfId="36271"/>
    <cellStyle name="Uwaga 2 12 28" xfId="36272"/>
    <cellStyle name="Uwaga 2 12 28 2" xfId="36273"/>
    <cellStyle name="Uwaga 2 12 28 3" xfId="36274"/>
    <cellStyle name="Uwaga 2 12 29" xfId="36275"/>
    <cellStyle name="Uwaga 2 12 29 2" xfId="36276"/>
    <cellStyle name="Uwaga 2 12 29 3" xfId="36277"/>
    <cellStyle name="Uwaga 2 12 3" xfId="36278"/>
    <cellStyle name="Uwaga 2 12 3 2" xfId="36279"/>
    <cellStyle name="Uwaga 2 12 3 3" xfId="36280"/>
    <cellStyle name="Uwaga 2 12 3 4" xfId="36281"/>
    <cellStyle name="Uwaga 2 12 30" xfId="36282"/>
    <cellStyle name="Uwaga 2 12 30 2" xfId="36283"/>
    <cellStyle name="Uwaga 2 12 30 3" xfId="36284"/>
    <cellStyle name="Uwaga 2 12 31" xfId="36285"/>
    <cellStyle name="Uwaga 2 12 31 2" xfId="36286"/>
    <cellStyle name="Uwaga 2 12 31 3" xfId="36287"/>
    <cellStyle name="Uwaga 2 12 32" xfId="36288"/>
    <cellStyle name="Uwaga 2 12 32 2" xfId="36289"/>
    <cellStyle name="Uwaga 2 12 32 3" xfId="36290"/>
    <cellStyle name="Uwaga 2 12 33" xfId="36291"/>
    <cellStyle name="Uwaga 2 12 33 2" xfId="36292"/>
    <cellStyle name="Uwaga 2 12 33 3" xfId="36293"/>
    <cellStyle name="Uwaga 2 12 34" xfId="36294"/>
    <cellStyle name="Uwaga 2 12 34 2" xfId="36295"/>
    <cellStyle name="Uwaga 2 12 34 3" xfId="36296"/>
    <cellStyle name="Uwaga 2 12 35" xfId="36297"/>
    <cellStyle name="Uwaga 2 12 35 2" xfId="36298"/>
    <cellStyle name="Uwaga 2 12 35 3" xfId="36299"/>
    <cellStyle name="Uwaga 2 12 36" xfId="36300"/>
    <cellStyle name="Uwaga 2 12 36 2" xfId="36301"/>
    <cellStyle name="Uwaga 2 12 36 3" xfId="36302"/>
    <cellStyle name="Uwaga 2 12 37" xfId="36303"/>
    <cellStyle name="Uwaga 2 12 37 2" xfId="36304"/>
    <cellStyle name="Uwaga 2 12 37 3" xfId="36305"/>
    <cellStyle name="Uwaga 2 12 38" xfId="36306"/>
    <cellStyle name="Uwaga 2 12 38 2" xfId="36307"/>
    <cellStyle name="Uwaga 2 12 38 3" xfId="36308"/>
    <cellStyle name="Uwaga 2 12 39" xfId="36309"/>
    <cellStyle name="Uwaga 2 12 39 2" xfId="36310"/>
    <cellStyle name="Uwaga 2 12 39 3" xfId="36311"/>
    <cellStyle name="Uwaga 2 12 4" xfId="36312"/>
    <cellStyle name="Uwaga 2 12 4 2" xfId="36313"/>
    <cellStyle name="Uwaga 2 12 4 3" xfId="36314"/>
    <cellStyle name="Uwaga 2 12 4 4" xfId="36315"/>
    <cellStyle name="Uwaga 2 12 40" xfId="36316"/>
    <cellStyle name="Uwaga 2 12 40 2" xfId="36317"/>
    <cellStyle name="Uwaga 2 12 40 3" xfId="36318"/>
    <cellStyle name="Uwaga 2 12 41" xfId="36319"/>
    <cellStyle name="Uwaga 2 12 41 2" xfId="36320"/>
    <cellStyle name="Uwaga 2 12 41 3" xfId="36321"/>
    <cellStyle name="Uwaga 2 12 42" xfId="36322"/>
    <cellStyle name="Uwaga 2 12 42 2" xfId="36323"/>
    <cellStyle name="Uwaga 2 12 42 3" xfId="36324"/>
    <cellStyle name="Uwaga 2 12 43" xfId="36325"/>
    <cellStyle name="Uwaga 2 12 43 2" xfId="36326"/>
    <cellStyle name="Uwaga 2 12 43 3" xfId="36327"/>
    <cellStyle name="Uwaga 2 12 44" xfId="36328"/>
    <cellStyle name="Uwaga 2 12 44 2" xfId="36329"/>
    <cellStyle name="Uwaga 2 12 44 3" xfId="36330"/>
    <cellStyle name="Uwaga 2 12 45" xfId="36331"/>
    <cellStyle name="Uwaga 2 12 45 2" xfId="36332"/>
    <cellStyle name="Uwaga 2 12 45 3" xfId="36333"/>
    <cellStyle name="Uwaga 2 12 46" xfId="36334"/>
    <cellStyle name="Uwaga 2 12 46 2" xfId="36335"/>
    <cellStyle name="Uwaga 2 12 46 3" xfId="36336"/>
    <cellStyle name="Uwaga 2 12 47" xfId="36337"/>
    <cellStyle name="Uwaga 2 12 47 2" xfId="36338"/>
    <cellStyle name="Uwaga 2 12 47 3" xfId="36339"/>
    <cellStyle name="Uwaga 2 12 48" xfId="36340"/>
    <cellStyle name="Uwaga 2 12 48 2" xfId="36341"/>
    <cellStyle name="Uwaga 2 12 48 3" xfId="36342"/>
    <cellStyle name="Uwaga 2 12 49" xfId="36343"/>
    <cellStyle name="Uwaga 2 12 49 2" xfId="36344"/>
    <cellStyle name="Uwaga 2 12 49 3" xfId="36345"/>
    <cellStyle name="Uwaga 2 12 5" xfId="36346"/>
    <cellStyle name="Uwaga 2 12 5 2" xfId="36347"/>
    <cellStyle name="Uwaga 2 12 5 3" xfId="36348"/>
    <cellStyle name="Uwaga 2 12 5 4" xfId="36349"/>
    <cellStyle name="Uwaga 2 12 50" xfId="36350"/>
    <cellStyle name="Uwaga 2 12 50 2" xfId="36351"/>
    <cellStyle name="Uwaga 2 12 50 3" xfId="36352"/>
    <cellStyle name="Uwaga 2 12 51" xfId="36353"/>
    <cellStyle name="Uwaga 2 12 51 2" xfId="36354"/>
    <cellStyle name="Uwaga 2 12 51 3" xfId="36355"/>
    <cellStyle name="Uwaga 2 12 52" xfId="36356"/>
    <cellStyle name="Uwaga 2 12 52 2" xfId="36357"/>
    <cellStyle name="Uwaga 2 12 52 3" xfId="36358"/>
    <cellStyle name="Uwaga 2 12 53" xfId="36359"/>
    <cellStyle name="Uwaga 2 12 53 2" xfId="36360"/>
    <cellStyle name="Uwaga 2 12 53 3" xfId="36361"/>
    <cellStyle name="Uwaga 2 12 54" xfId="36362"/>
    <cellStyle name="Uwaga 2 12 54 2" xfId="36363"/>
    <cellStyle name="Uwaga 2 12 54 3" xfId="36364"/>
    <cellStyle name="Uwaga 2 12 55" xfId="36365"/>
    <cellStyle name="Uwaga 2 12 55 2" xfId="36366"/>
    <cellStyle name="Uwaga 2 12 55 3" xfId="36367"/>
    <cellStyle name="Uwaga 2 12 56" xfId="36368"/>
    <cellStyle name="Uwaga 2 12 56 2" xfId="36369"/>
    <cellStyle name="Uwaga 2 12 56 3" xfId="36370"/>
    <cellStyle name="Uwaga 2 12 57" xfId="36371"/>
    <cellStyle name="Uwaga 2 12 58" xfId="36372"/>
    <cellStyle name="Uwaga 2 12 6" xfId="36373"/>
    <cellStyle name="Uwaga 2 12 6 2" xfId="36374"/>
    <cellStyle name="Uwaga 2 12 6 3" xfId="36375"/>
    <cellStyle name="Uwaga 2 12 6 4" xfId="36376"/>
    <cellStyle name="Uwaga 2 12 7" xfId="36377"/>
    <cellStyle name="Uwaga 2 12 7 2" xfId="36378"/>
    <cellStyle name="Uwaga 2 12 7 3" xfId="36379"/>
    <cellStyle name="Uwaga 2 12 7 4" xfId="36380"/>
    <cellStyle name="Uwaga 2 12 8" xfId="36381"/>
    <cellStyle name="Uwaga 2 12 8 2" xfId="36382"/>
    <cellStyle name="Uwaga 2 12 8 3" xfId="36383"/>
    <cellStyle name="Uwaga 2 12 8 4" xfId="36384"/>
    <cellStyle name="Uwaga 2 12 9" xfId="36385"/>
    <cellStyle name="Uwaga 2 12 9 2" xfId="36386"/>
    <cellStyle name="Uwaga 2 12 9 3" xfId="36387"/>
    <cellStyle name="Uwaga 2 12 9 4" xfId="36388"/>
    <cellStyle name="Uwaga 2 13" xfId="36389"/>
    <cellStyle name="Uwaga 2 13 10" xfId="36390"/>
    <cellStyle name="Uwaga 2 13 10 2" xfId="36391"/>
    <cellStyle name="Uwaga 2 13 10 3" xfId="36392"/>
    <cellStyle name="Uwaga 2 13 10 4" xfId="36393"/>
    <cellStyle name="Uwaga 2 13 11" xfId="36394"/>
    <cellStyle name="Uwaga 2 13 11 2" xfId="36395"/>
    <cellStyle name="Uwaga 2 13 11 3" xfId="36396"/>
    <cellStyle name="Uwaga 2 13 11 4" xfId="36397"/>
    <cellStyle name="Uwaga 2 13 12" xfId="36398"/>
    <cellStyle name="Uwaga 2 13 12 2" xfId="36399"/>
    <cellStyle name="Uwaga 2 13 12 3" xfId="36400"/>
    <cellStyle name="Uwaga 2 13 12 4" xfId="36401"/>
    <cellStyle name="Uwaga 2 13 13" xfId="36402"/>
    <cellStyle name="Uwaga 2 13 13 2" xfId="36403"/>
    <cellStyle name="Uwaga 2 13 13 3" xfId="36404"/>
    <cellStyle name="Uwaga 2 13 13 4" xfId="36405"/>
    <cellStyle name="Uwaga 2 13 14" xfId="36406"/>
    <cellStyle name="Uwaga 2 13 14 2" xfId="36407"/>
    <cellStyle name="Uwaga 2 13 14 3" xfId="36408"/>
    <cellStyle name="Uwaga 2 13 14 4" xfId="36409"/>
    <cellStyle name="Uwaga 2 13 15" xfId="36410"/>
    <cellStyle name="Uwaga 2 13 15 2" xfId="36411"/>
    <cellStyle name="Uwaga 2 13 15 3" xfId="36412"/>
    <cellStyle name="Uwaga 2 13 15 4" xfId="36413"/>
    <cellStyle name="Uwaga 2 13 16" xfId="36414"/>
    <cellStyle name="Uwaga 2 13 16 2" xfId="36415"/>
    <cellStyle name="Uwaga 2 13 16 3" xfId="36416"/>
    <cellStyle name="Uwaga 2 13 16 4" xfId="36417"/>
    <cellStyle name="Uwaga 2 13 17" xfId="36418"/>
    <cellStyle name="Uwaga 2 13 17 2" xfId="36419"/>
    <cellStyle name="Uwaga 2 13 17 3" xfId="36420"/>
    <cellStyle name="Uwaga 2 13 17 4" xfId="36421"/>
    <cellStyle name="Uwaga 2 13 18" xfId="36422"/>
    <cellStyle name="Uwaga 2 13 18 2" xfId="36423"/>
    <cellStyle name="Uwaga 2 13 18 3" xfId="36424"/>
    <cellStyle name="Uwaga 2 13 18 4" xfId="36425"/>
    <cellStyle name="Uwaga 2 13 19" xfId="36426"/>
    <cellStyle name="Uwaga 2 13 19 2" xfId="36427"/>
    <cellStyle name="Uwaga 2 13 19 3" xfId="36428"/>
    <cellStyle name="Uwaga 2 13 19 4" xfId="36429"/>
    <cellStyle name="Uwaga 2 13 2" xfId="36430"/>
    <cellStyle name="Uwaga 2 13 2 2" xfId="36431"/>
    <cellStyle name="Uwaga 2 13 2 3" xfId="36432"/>
    <cellStyle name="Uwaga 2 13 2 4" xfId="36433"/>
    <cellStyle name="Uwaga 2 13 20" xfId="36434"/>
    <cellStyle name="Uwaga 2 13 20 2" xfId="36435"/>
    <cellStyle name="Uwaga 2 13 20 3" xfId="36436"/>
    <cellStyle name="Uwaga 2 13 20 4" xfId="36437"/>
    <cellStyle name="Uwaga 2 13 21" xfId="36438"/>
    <cellStyle name="Uwaga 2 13 21 2" xfId="36439"/>
    <cellStyle name="Uwaga 2 13 21 3" xfId="36440"/>
    <cellStyle name="Uwaga 2 13 22" xfId="36441"/>
    <cellStyle name="Uwaga 2 13 22 2" xfId="36442"/>
    <cellStyle name="Uwaga 2 13 22 3" xfId="36443"/>
    <cellStyle name="Uwaga 2 13 23" xfId="36444"/>
    <cellStyle name="Uwaga 2 13 23 2" xfId="36445"/>
    <cellStyle name="Uwaga 2 13 23 3" xfId="36446"/>
    <cellStyle name="Uwaga 2 13 24" xfId="36447"/>
    <cellStyle name="Uwaga 2 13 24 2" xfId="36448"/>
    <cellStyle name="Uwaga 2 13 24 3" xfId="36449"/>
    <cellStyle name="Uwaga 2 13 25" xfId="36450"/>
    <cellStyle name="Uwaga 2 13 25 2" xfId="36451"/>
    <cellStyle name="Uwaga 2 13 25 3" xfId="36452"/>
    <cellStyle name="Uwaga 2 13 26" xfId="36453"/>
    <cellStyle name="Uwaga 2 13 26 2" xfId="36454"/>
    <cellStyle name="Uwaga 2 13 26 3" xfId="36455"/>
    <cellStyle name="Uwaga 2 13 27" xfId="36456"/>
    <cellStyle name="Uwaga 2 13 27 2" xfId="36457"/>
    <cellStyle name="Uwaga 2 13 27 3" xfId="36458"/>
    <cellStyle name="Uwaga 2 13 28" xfId="36459"/>
    <cellStyle name="Uwaga 2 13 28 2" xfId="36460"/>
    <cellStyle name="Uwaga 2 13 28 3" xfId="36461"/>
    <cellStyle name="Uwaga 2 13 29" xfId="36462"/>
    <cellStyle name="Uwaga 2 13 29 2" xfId="36463"/>
    <cellStyle name="Uwaga 2 13 29 3" xfId="36464"/>
    <cellStyle name="Uwaga 2 13 3" xfId="36465"/>
    <cellStyle name="Uwaga 2 13 3 2" xfId="36466"/>
    <cellStyle name="Uwaga 2 13 3 3" xfId="36467"/>
    <cellStyle name="Uwaga 2 13 3 4" xfId="36468"/>
    <cellStyle name="Uwaga 2 13 30" xfId="36469"/>
    <cellStyle name="Uwaga 2 13 30 2" xfId="36470"/>
    <cellStyle name="Uwaga 2 13 30 3" xfId="36471"/>
    <cellStyle name="Uwaga 2 13 31" xfId="36472"/>
    <cellStyle name="Uwaga 2 13 31 2" xfId="36473"/>
    <cellStyle name="Uwaga 2 13 31 3" xfId="36474"/>
    <cellStyle name="Uwaga 2 13 32" xfId="36475"/>
    <cellStyle name="Uwaga 2 13 32 2" xfId="36476"/>
    <cellStyle name="Uwaga 2 13 32 3" xfId="36477"/>
    <cellStyle name="Uwaga 2 13 33" xfId="36478"/>
    <cellStyle name="Uwaga 2 13 33 2" xfId="36479"/>
    <cellStyle name="Uwaga 2 13 33 3" xfId="36480"/>
    <cellStyle name="Uwaga 2 13 34" xfId="36481"/>
    <cellStyle name="Uwaga 2 13 34 2" xfId="36482"/>
    <cellStyle name="Uwaga 2 13 34 3" xfId="36483"/>
    <cellStyle name="Uwaga 2 13 35" xfId="36484"/>
    <cellStyle name="Uwaga 2 13 35 2" xfId="36485"/>
    <cellStyle name="Uwaga 2 13 35 3" xfId="36486"/>
    <cellStyle name="Uwaga 2 13 36" xfId="36487"/>
    <cellStyle name="Uwaga 2 13 36 2" xfId="36488"/>
    <cellStyle name="Uwaga 2 13 36 3" xfId="36489"/>
    <cellStyle name="Uwaga 2 13 37" xfId="36490"/>
    <cellStyle name="Uwaga 2 13 37 2" xfId="36491"/>
    <cellStyle name="Uwaga 2 13 37 3" xfId="36492"/>
    <cellStyle name="Uwaga 2 13 38" xfId="36493"/>
    <cellStyle name="Uwaga 2 13 38 2" xfId="36494"/>
    <cellStyle name="Uwaga 2 13 38 3" xfId="36495"/>
    <cellStyle name="Uwaga 2 13 39" xfId="36496"/>
    <cellStyle name="Uwaga 2 13 39 2" xfId="36497"/>
    <cellStyle name="Uwaga 2 13 39 3" xfId="36498"/>
    <cellStyle name="Uwaga 2 13 4" xfId="36499"/>
    <cellStyle name="Uwaga 2 13 4 2" xfId="36500"/>
    <cellStyle name="Uwaga 2 13 4 3" xfId="36501"/>
    <cellStyle name="Uwaga 2 13 4 4" xfId="36502"/>
    <cellStyle name="Uwaga 2 13 40" xfId="36503"/>
    <cellStyle name="Uwaga 2 13 40 2" xfId="36504"/>
    <cellStyle name="Uwaga 2 13 40 3" xfId="36505"/>
    <cellStyle name="Uwaga 2 13 41" xfId="36506"/>
    <cellStyle name="Uwaga 2 13 41 2" xfId="36507"/>
    <cellStyle name="Uwaga 2 13 41 3" xfId="36508"/>
    <cellStyle name="Uwaga 2 13 42" xfId="36509"/>
    <cellStyle name="Uwaga 2 13 42 2" xfId="36510"/>
    <cellStyle name="Uwaga 2 13 42 3" xfId="36511"/>
    <cellStyle name="Uwaga 2 13 43" xfId="36512"/>
    <cellStyle name="Uwaga 2 13 43 2" xfId="36513"/>
    <cellStyle name="Uwaga 2 13 43 3" xfId="36514"/>
    <cellStyle name="Uwaga 2 13 44" xfId="36515"/>
    <cellStyle name="Uwaga 2 13 44 2" xfId="36516"/>
    <cellStyle name="Uwaga 2 13 44 3" xfId="36517"/>
    <cellStyle name="Uwaga 2 13 45" xfId="36518"/>
    <cellStyle name="Uwaga 2 13 45 2" xfId="36519"/>
    <cellStyle name="Uwaga 2 13 45 3" xfId="36520"/>
    <cellStyle name="Uwaga 2 13 46" xfId="36521"/>
    <cellStyle name="Uwaga 2 13 46 2" xfId="36522"/>
    <cellStyle name="Uwaga 2 13 46 3" xfId="36523"/>
    <cellStyle name="Uwaga 2 13 47" xfId="36524"/>
    <cellStyle name="Uwaga 2 13 47 2" xfId="36525"/>
    <cellStyle name="Uwaga 2 13 47 3" xfId="36526"/>
    <cellStyle name="Uwaga 2 13 48" xfId="36527"/>
    <cellStyle name="Uwaga 2 13 48 2" xfId="36528"/>
    <cellStyle name="Uwaga 2 13 48 3" xfId="36529"/>
    <cellStyle name="Uwaga 2 13 49" xfId="36530"/>
    <cellStyle name="Uwaga 2 13 49 2" xfId="36531"/>
    <cellStyle name="Uwaga 2 13 49 3" xfId="36532"/>
    <cellStyle name="Uwaga 2 13 5" xfId="36533"/>
    <cellStyle name="Uwaga 2 13 5 2" xfId="36534"/>
    <cellStyle name="Uwaga 2 13 5 3" xfId="36535"/>
    <cellStyle name="Uwaga 2 13 5 4" xfId="36536"/>
    <cellStyle name="Uwaga 2 13 50" xfId="36537"/>
    <cellStyle name="Uwaga 2 13 50 2" xfId="36538"/>
    <cellStyle name="Uwaga 2 13 50 3" xfId="36539"/>
    <cellStyle name="Uwaga 2 13 51" xfId="36540"/>
    <cellStyle name="Uwaga 2 13 51 2" xfId="36541"/>
    <cellStyle name="Uwaga 2 13 51 3" xfId="36542"/>
    <cellStyle name="Uwaga 2 13 52" xfId="36543"/>
    <cellStyle name="Uwaga 2 13 52 2" xfId="36544"/>
    <cellStyle name="Uwaga 2 13 52 3" xfId="36545"/>
    <cellStyle name="Uwaga 2 13 53" xfId="36546"/>
    <cellStyle name="Uwaga 2 13 53 2" xfId="36547"/>
    <cellStyle name="Uwaga 2 13 53 3" xfId="36548"/>
    <cellStyle name="Uwaga 2 13 54" xfId="36549"/>
    <cellStyle name="Uwaga 2 13 54 2" xfId="36550"/>
    <cellStyle name="Uwaga 2 13 54 3" xfId="36551"/>
    <cellStyle name="Uwaga 2 13 55" xfId="36552"/>
    <cellStyle name="Uwaga 2 13 55 2" xfId="36553"/>
    <cellStyle name="Uwaga 2 13 55 3" xfId="36554"/>
    <cellStyle name="Uwaga 2 13 56" xfId="36555"/>
    <cellStyle name="Uwaga 2 13 56 2" xfId="36556"/>
    <cellStyle name="Uwaga 2 13 56 3" xfId="36557"/>
    <cellStyle name="Uwaga 2 13 57" xfId="36558"/>
    <cellStyle name="Uwaga 2 13 58" xfId="36559"/>
    <cellStyle name="Uwaga 2 13 6" xfId="36560"/>
    <cellStyle name="Uwaga 2 13 6 2" xfId="36561"/>
    <cellStyle name="Uwaga 2 13 6 3" xfId="36562"/>
    <cellStyle name="Uwaga 2 13 6 4" xfId="36563"/>
    <cellStyle name="Uwaga 2 13 7" xfId="36564"/>
    <cellStyle name="Uwaga 2 13 7 2" xfId="36565"/>
    <cellStyle name="Uwaga 2 13 7 3" xfId="36566"/>
    <cellStyle name="Uwaga 2 13 7 4" xfId="36567"/>
    <cellStyle name="Uwaga 2 13 8" xfId="36568"/>
    <cellStyle name="Uwaga 2 13 8 2" xfId="36569"/>
    <cellStyle name="Uwaga 2 13 8 3" xfId="36570"/>
    <cellStyle name="Uwaga 2 13 8 4" xfId="36571"/>
    <cellStyle name="Uwaga 2 13 9" xfId="36572"/>
    <cellStyle name="Uwaga 2 13 9 2" xfId="36573"/>
    <cellStyle name="Uwaga 2 13 9 3" xfId="36574"/>
    <cellStyle name="Uwaga 2 13 9 4" xfId="36575"/>
    <cellStyle name="Uwaga 2 14" xfId="36576"/>
    <cellStyle name="Uwaga 2 14 10" xfId="36577"/>
    <cellStyle name="Uwaga 2 14 10 2" xfId="36578"/>
    <cellStyle name="Uwaga 2 14 10 3" xfId="36579"/>
    <cellStyle name="Uwaga 2 14 10 4" xfId="36580"/>
    <cellStyle name="Uwaga 2 14 11" xfId="36581"/>
    <cellStyle name="Uwaga 2 14 11 2" xfId="36582"/>
    <cellStyle name="Uwaga 2 14 11 3" xfId="36583"/>
    <cellStyle name="Uwaga 2 14 11 4" xfId="36584"/>
    <cellStyle name="Uwaga 2 14 12" xfId="36585"/>
    <cellStyle name="Uwaga 2 14 12 2" xfId="36586"/>
    <cellStyle name="Uwaga 2 14 12 3" xfId="36587"/>
    <cellStyle name="Uwaga 2 14 12 4" xfId="36588"/>
    <cellStyle name="Uwaga 2 14 13" xfId="36589"/>
    <cellStyle name="Uwaga 2 14 13 2" xfId="36590"/>
    <cellStyle name="Uwaga 2 14 13 3" xfId="36591"/>
    <cellStyle name="Uwaga 2 14 13 4" xfId="36592"/>
    <cellStyle name="Uwaga 2 14 14" xfId="36593"/>
    <cellStyle name="Uwaga 2 14 14 2" xfId="36594"/>
    <cellStyle name="Uwaga 2 14 14 3" xfId="36595"/>
    <cellStyle name="Uwaga 2 14 14 4" xfId="36596"/>
    <cellStyle name="Uwaga 2 14 15" xfId="36597"/>
    <cellStyle name="Uwaga 2 14 15 2" xfId="36598"/>
    <cellStyle name="Uwaga 2 14 15 3" xfId="36599"/>
    <cellStyle name="Uwaga 2 14 15 4" xfId="36600"/>
    <cellStyle name="Uwaga 2 14 16" xfId="36601"/>
    <cellStyle name="Uwaga 2 14 16 2" xfId="36602"/>
    <cellStyle name="Uwaga 2 14 16 3" xfId="36603"/>
    <cellStyle name="Uwaga 2 14 16 4" xfId="36604"/>
    <cellStyle name="Uwaga 2 14 17" xfId="36605"/>
    <cellStyle name="Uwaga 2 14 17 2" xfId="36606"/>
    <cellStyle name="Uwaga 2 14 17 3" xfId="36607"/>
    <cellStyle name="Uwaga 2 14 17 4" xfId="36608"/>
    <cellStyle name="Uwaga 2 14 18" xfId="36609"/>
    <cellStyle name="Uwaga 2 14 18 2" xfId="36610"/>
    <cellStyle name="Uwaga 2 14 18 3" xfId="36611"/>
    <cellStyle name="Uwaga 2 14 18 4" xfId="36612"/>
    <cellStyle name="Uwaga 2 14 19" xfId="36613"/>
    <cellStyle name="Uwaga 2 14 19 2" xfId="36614"/>
    <cellStyle name="Uwaga 2 14 19 3" xfId="36615"/>
    <cellStyle name="Uwaga 2 14 19 4" xfId="36616"/>
    <cellStyle name="Uwaga 2 14 2" xfId="36617"/>
    <cellStyle name="Uwaga 2 14 2 2" xfId="36618"/>
    <cellStyle name="Uwaga 2 14 2 3" xfId="36619"/>
    <cellStyle name="Uwaga 2 14 2 4" xfId="36620"/>
    <cellStyle name="Uwaga 2 14 20" xfId="36621"/>
    <cellStyle name="Uwaga 2 14 20 2" xfId="36622"/>
    <cellStyle name="Uwaga 2 14 20 3" xfId="36623"/>
    <cellStyle name="Uwaga 2 14 20 4" xfId="36624"/>
    <cellStyle name="Uwaga 2 14 21" xfId="36625"/>
    <cellStyle name="Uwaga 2 14 21 2" xfId="36626"/>
    <cellStyle name="Uwaga 2 14 21 3" xfId="36627"/>
    <cellStyle name="Uwaga 2 14 22" xfId="36628"/>
    <cellStyle name="Uwaga 2 14 22 2" xfId="36629"/>
    <cellStyle name="Uwaga 2 14 22 3" xfId="36630"/>
    <cellStyle name="Uwaga 2 14 23" xfId="36631"/>
    <cellStyle name="Uwaga 2 14 23 2" xfId="36632"/>
    <cellStyle name="Uwaga 2 14 23 3" xfId="36633"/>
    <cellStyle name="Uwaga 2 14 24" xfId="36634"/>
    <cellStyle name="Uwaga 2 14 24 2" xfId="36635"/>
    <cellStyle name="Uwaga 2 14 24 3" xfId="36636"/>
    <cellStyle name="Uwaga 2 14 25" xfId="36637"/>
    <cellStyle name="Uwaga 2 14 25 2" xfId="36638"/>
    <cellStyle name="Uwaga 2 14 25 3" xfId="36639"/>
    <cellStyle name="Uwaga 2 14 26" xfId="36640"/>
    <cellStyle name="Uwaga 2 14 26 2" xfId="36641"/>
    <cellStyle name="Uwaga 2 14 26 3" xfId="36642"/>
    <cellStyle name="Uwaga 2 14 27" xfId="36643"/>
    <cellStyle name="Uwaga 2 14 27 2" xfId="36644"/>
    <cellStyle name="Uwaga 2 14 27 3" xfId="36645"/>
    <cellStyle name="Uwaga 2 14 28" xfId="36646"/>
    <cellStyle name="Uwaga 2 14 28 2" xfId="36647"/>
    <cellStyle name="Uwaga 2 14 28 3" xfId="36648"/>
    <cellStyle name="Uwaga 2 14 29" xfId="36649"/>
    <cellStyle name="Uwaga 2 14 29 2" xfId="36650"/>
    <cellStyle name="Uwaga 2 14 29 3" xfId="36651"/>
    <cellStyle name="Uwaga 2 14 3" xfId="36652"/>
    <cellStyle name="Uwaga 2 14 3 2" xfId="36653"/>
    <cellStyle name="Uwaga 2 14 3 3" xfId="36654"/>
    <cellStyle name="Uwaga 2 14 3 4" xfId="36655"/>
    <cellStyle name="Uwaga 2 14 30" xfId="36656"/>
    <cellStyle name="Uwaga 2 14 30 2" xfId="36657"/>
    <cellStyle name="Uwaga 2 14 30 3" xfId="36658"/>
    <cellStyle name="Uwaga 2 14 31" xfId="36659"/>
    <cellStyle name="Uwaga 2 14 31 2" xfId="36660"/>
    <cellStyle name="Uwaga 2 14 31 3" xfId="36661"/>
    <cellStyle name="Uwaga 2 14 32" xfId="36662"/>
    <cellStyle name="Uwaga 2 14 32 2" xfId="36663"/>
    <cellStyle name="Uwaga 2 14 32 3" xfId="36664"/>
    <cellStyle name="Uwaga 2 14 33" xfId="36665"/>
    <cellStyle name="Uwaga 2 14 33 2" xfId="36666"/>
    <cellStyle name="Uwaga 2 14 33 3" xfId="36667"/>
    <cellStyle name="Uwaga 2 14 34" xfId="36668"/>
    <cellStyle name="Uwaga 2 14 34 2" xfId="36669"/>
    <cellStyle name="Uwaga 2 14 34 3" xfId="36670"/>
    <cellStyle name="Uwaga 2 14 35" xfId="36671"/>
    <cellStyle name="Uwaga 2 14 35 2" xfId="36672"/>
    <cellStyle name="Uwaga 2 14 35 3" xfId="36673"/>
    <cellStyle name="Uwaga 2 14 36" xfId="36674"/>
    <cellStyle name="Uwaga 2 14 36 2" xfId="36675"/>
    <cellStyle name="Uwaga 2 14 36 3" xfId="36676"/>
    <cellStyle name="Uwaga 2 14 37" xfId="36677"/>
    <cellStyle name="Uwaga 2 14 37 2" xfId="36678"/>
    <cellStyle name="Uwaga 2 14 37 3" xfId="36679"/>
    <cellStyle name="Uwaga 2 14 38" xfId="36680"/>
    <cellStyle name="Uwaga 2 14 38 2" xfId="36681"/>
    <cellStyle name="Uwaga 2 14 38 3" xfId="36682"/>
    <cellStyle name="Uwaga 2 14 39" xfId="36683"/>
    <cellStyle name="Uwaga 2 14 39 2" xfId="36684"/>
    <cellStyle name="Uwaga 2 14 39 3" xfId="36685"/>
    <cellStyle name="Uwaga 2 14 4" xfId="36686"/>
    <cellStyle name="Uwaga 2 14 4 2" xfId="36687"/>
    <cellStyle name="Uwaga 2 14 4 3" xfId="36688"/>
    <cellStyle name="Uwaga 2 14 4 4" xfId="36689"/>
    <cellStyle name="Uwaga 2 14 40" xfId="36690"/>
    <cellStyle name="Uwaga 2 14 40 2" xfId="36691"/>
    <cellStyle name="Uwaga 2 14 40 3" xfId="36692"/>
    <cellStyle name="Uwaga 2 14 41" xfId="36693"/>
    <cellStyle name="Uwaga 2 14 41 2" xfId="36694"/>
    <cellStyle name="Uwaga 2 14 41 3" xfId="36695"/>
    <cellStyle name="Uwaga 2 14 42" xfId="36696"/>
    <cellStyle name="Uwaga 2 14 42 2" xfId="36697"/>
    <cellStyle name="Uwaga 2 14 42 3" xfId="36698"/>
    <cellStyle name="Uwaga 2 14 43" xfId="36699"/>
    <cellStyle name="Uwaga 2 14 43 2" xfId="36700"/>
    <cellStyle name="Uwaga 2 14 43 3" xfId="36701"/>
    <cellStyle name="Uwaga 2 14 44" xfId="36702"/>
    <cellStyle name="Uwaga 2 14 44 2" xfId="36703"/>
    <cellStyle name="Uwaga 2 14 44 3" xfId="36704"/>
    <cellStyle name="Uwaga 2 14 45" xfId="36705"/>
    <cellStyle name="Uwaga 2 14 45 2" xfId="36706"/>
    <cellStyle name="Uwaga 2 14 45 3" xfId="36707"/>
    <cellStyle name="Uwaga 2 14 46" xfId="36708"/>
    <cellStyle name="Uwaga 2 14 46 2" xfId="36709"/>
    <cellStyle name="Uwaga 2 14 46 3" xfId="36710"/>
    <cellStyle name="Uwaga 2 14 47" xfId="36711"/>
    <cellStyle name="Uwaga 2 14 47 2" xfId="36712"/>
    <cellStyle name="Uwaga 2 14 47 3" xfId="36713"/>
    <cellStyle name="Uwaga 2 14 48" xfId="36714"/>
    <cellStyle name="Uwaga 2 14 48 2" xfId="36715"/>
    <cellStyle name="Uwaga 2 14 48 3" xfId="36716"/>
    <cellStyle name="Uwaga 2 14 49" xfId="36717"/>
    <cellStyle name="Uwaga 2 14 49 2" xfId="36718"/>
    <cellStyle name="Uwaga 2 14 49 3" xfId="36719"/>
    <cellStyle name="Uwaga 2 14 5" xfId="36720"/>
    <cellStyle name="Uwaga 2 14 5 2" xfId="36721"/>
    <cellStyle name="Uwaga 2 14 5 3" xfId="36722"/>
    <cellStyle name="Uwaga 2 14 5 4" xfId="36723"/>
    <cellStyle name="Uwaga 2 14 50" xfId="36724"/>
    <cellStyle name="Uwaga 2 14 50 2" xfId="36725"/>
    <cellStyle name="Uwaga 2 14 50 3" xfId="36726"/>
    <cellStyle name="Uwaga 2 14 51" xfId="36727"/>
    <cellStyle name="Uwaga 2 14 51 2" xfId="36728"/>
    <cellStyle name="Uwaga 2 14 51 3" xfId="36729"/>
    <cellStyle name="Uwaga 2 14 52" xfId="36730"/>
    <cellStyle name="Uwaga 2 14 52 2" xfId="36731"/>
    <cellStyle name="Uwaga 2 14 52 3" xfId="36732"/>
    <cellStyle name="Uwaga 2 14 53" xfId="36733"/>
    <cellStyle name="Uwaga 2 14 53 2" xfId="36734"/>
    <cellStyle name="Uwaga 2 14 53 3" xfId="36735"/>
    <cellStyle name="Uwaga 2 14 54" xfId="36736"/>
    <cellStyle name="Uwaga 2 14 54 2" xfId="36737"/>
    <cellStyle name="Uwaga 2 14 54 3" xfId="36738"/>
    <cellStyle name="Uwaga 2 14 55" xfId="36739"/>
    <cellStyle name="Uwaga 2 14 55 2" xfId="36740"/>
    <cellStyle name="Uwaga 2 14 55 3" xfId="36741"/>
    <cellStyle name="Uwaga 2 14 56" xfId="36742"/>
    <cellStyle name="Uwaga 2 14 56 2" xfId="36743"/>
    <cellStyle name="Uwaga 2 14 56 3" xfId="36744"/>
    <cellStyle name="Uwaga 2 14 57" xfId="36745"/>
    <cellStyle name="Uwaga 2 14 58" xfId="36746"/>
    <cellStyle name="Uwaga 2 14 6" xfId="36747"/>
    <cellStyle name="Uwaga 2 14 6 2" xfId="36748"/>
    <cellStyle name="Uwaga 2 14 6 3" xfId="36749"/>
    <cellStyle name="Uwaga 2 14 6 4" xfId="36750"/>
    <cellStyle name="Uwaga 2 14 7" xfId="36751"/>
    <cellStyle name="Uwaga 2 14 7 2" xfId="36752"/>
    <cellStyle name="Uwaga 2 14 7 3" xfId="36753"/>
    <cellStyle name="Uwaga 2 14 7 4" xfId="36754"/>
    <cellStyle name="Uwaga 2 14 8" xfId="36755"/>
    <cellStyle name="Uwaga 2 14 8 2" xfId="36756"/>
    <cellStyle name="Uwaga 2 14 8 3" xfId="36757"/>
    <cellStyle name="Uwaga 2 14 8 4" xfId="36758"/>
    <cellStyle name="Uwaga 2 14 9" xfId="36759"/>
    <cellStyle name="Uwaga 2 14 9 2" xfId="36760"/>
    <cellStyle name="Uwaga 2 14 9 3" xfId="36761"/>
    <cellStyle name="Uwaga 2 14 9 4" xfId="36762"/>
    <cellStyle name="Uwaga 2 15" xfId="36763"/>
    <cellStyle name="Uwaga 2 15 10" xfId="36764"/>
    <cellStyle name="Uwaga 2 15 10 2" xfId="36765"/>
    <cellStyle name="Uwaga 2 15 10 3" xfId="36766"/>
    <cellStyle name="Uwaga 2 15 10 4" xfId="36767"/>
    <cellStyle name="Uwaga 2 15 11" xfId="36768"/>
    <cellStyle name="Uwaga 2 15 11 2" xfId="36769"/>
    <cellStyle name="Uwaga 2 15 11 3" xfId="36770"/>
    <cellStyle name="Uwaga 2 15 11 4" xfId="36771"/>
    <cellStyle name="Uwaga 2 15 12" xfId="36772"/>
    <cellStyle name="Uwaga 2 15 12 2" xfId="36773"/>
    <cellStyle name="Uwaga 2 15 12 3" xfId="36774"/>
    <cellStyle name="Uwaga 2 15 12 4" xfId="36775"/>
    <cellStyle name="Uwaga 2 15 13" xfId="36776"/>
    <cellStyle name="Uwaga 2 15 13 2" xfId="36777"/>
    <cellStyle name="Uwaga 2 15 13 3" xfId="36778"/>
    <cellStyle name="Uwaga 2 15 13 4" xfId="36779"/>
    <cellStyle name="Uwaga 2 15 14" xfId="36780"/>
    <cellStyle name="Uwaga 2 15 14 2" xfId="36781"/>
    <cellStyle name="Uwaga 2 15 14 3" xfId="36782"/>
    <cellStyle name="Uwaga 2 15 14 4" xfId="36783"/>
    <cellStyle name="Uwaga 2 15 15" xfId="36784"/>
    <cellStyle name="Uwaga 2 15 15 2" xfId="36785"/>
    <cellStyle name="Uwaga 2 15 15 3" xfId="36786"/>
    <cellStyle name="Uwaga 2 15 15 4" xfId="36787"/>
    <cellStyle name="Uwaga 2 15 16" xfId="36788"/>
    <cellStyle name="Uwaga 2 15 16 2" xfId="36789"/>
    <cellStyle name="Uwaga 2 15 16 3" xfId="36790"/>
    <cellStyle name="Uwaga 2 15 16 4" xfId="36791"/>
    <cellStyle name="Uwaga 2 15 17" xfId="36792"/>
    <cellStyle name="Uwaga 2 15 17 2" xfId="36793"/>
    <cellStyle name="Uwaga 2 15 17 3" xfId="36794"/>
    <cellStyle name="Uwaga 2 15 17 4" xfId="36795"/>
    <cellStyle name="Uwaga 2 15 18" xfId="36796"/>
    <cellStyle name="Uwaga 2 15 18 2" xfId="36797"/>
    <cellStyle name="Uwaga 2 15 18 3" xfId="36798"/>
    <cellStyle name="Uwaga 2 15 18 4" xfId="36799"/>
    <cellStyle name="Uwaga 2 15 19" xfId="36800"/>
    <cellStyle name="Uwaga 2 15 19 2" xfId="36801"/>
    <cellStyle name="Uwaga 2 15 19 3" xfId="36802"/>
    <cellStyle name="Uwaga 2 15 19 4" xfId="36803"/>
    <cellStyle name="Uwaga 2 15 2" xfId="36804"/>
    <cellStyle name="Uwaga 2 15 2 2" xfId="36805"/>
    <cellStyle name="Uwaga 2 15 2 3" xfId="36806"/>
    <cellStyle name="Uwaga 2 15 2 4" xfId="36807"/>
    <cellStyle name="Uwaga 2 15 20" xfId="36808"/>
    <cellStyle name="Uwaga 2 15 20 2" xfId="36809"/>
    <cellStyle name="Uwaga 2 15 20 3" xfId="36810"/>
    <cellStyle name="Uwaga 2 15 20 4" xfId="36811"/>
    <cellStyle name="Uwaga 2 15 21" xfId="36812"/>
    <cellStyle name="Uwaga 2 15 21 2" xfId="36813"/>
    <cellStyle name="Uwaga 2 15 21 3" xfId="36814"/>
    <cellStyle name="Uwaga 2 15 22" xfId="36815"/>
    <cellStyle name="Uwaga 2 15 22 2" xfId="36816"/>
    <cellStyle name="Uwaga 2 15 22 3" xfId="36817"/>
    <cellStyle name="Uwaga 2 15 23" xfId="36818"/>
    <cellStyle name="Uwaga 2 15 23 2" xfId="36819"/>
    <cellStyle name="Uwaga 2 15 23 3" xfId="36820"/>
    <cellStyle name="Uwaga 2 15 24" xfId="36821"/>
    <cellStyle name="Uwaga 2 15 24 2" xfId="36822"/>
    <cellStyle name="Uwaga 2 15 24 3" xfId="36823"/>
    <cellStyle name="Uwaga 2 15 25" xfId="36824"/>
    <cellStyle name="Uwaga 2 15 25 2" xfId="36825"/>
    <cellStyle name="Uwaga 2 15 25 3" xfId="36826"/>
    <cellStyle name="Uwaga 2 15 26" xfId="36827"/>
    <cellStyle name="Uwaga 2 15 26 2" xfId="36828"/>
    <cellStyle name="Uwaga 2 15 26 3" xfId="36829"/>
    <cellStyle name="Uwaga 2 15 27" xfId="36830"/>
    <cellStyle name="Uwaga 2 15 27 2" xfId="36831"/>
    <cellStyle name="Uwaga 2 15 27 3" xfId="36832"/>
    <cellStyle name="Uwaga 2 15 28" xfId="36833"/>
    <cellStyle name="Uwaga 2 15 28 2" xfId="36834"/>
    <cellStyle name="Uwaga 2 15 28 3" xfId="36835"/>
    <cellStyle name="Uwaga 2 15 29" xfId="36836"/>
    <cellStyle name="Uwaga 2 15 29 2" xfId="36837"/>
    <cellStyle name="Uwaga 2 15 29 3" xfId="36838"/>
    <cellStyle name="Uwaga 2 15 3" xfId="36839"/>
    <cellStyle name="Uwaga 2 15 3 2" xfId="36840"/>
    <cellStyle name="Uwaga 2 15 3 3" xfId="36841"/>
    <cellStyle name="Uwaga 2 15 3 4" xfId="36842"/>
    <cellStyle name="Uwaga 2 15 30" xfId="36843"/>
    <cellStyle name="Uwaga 2 15 30 2" xfId="36844"/>
    <cellStyle name="Uwaga 2 15 30 3" xfId="36845"/>
    <cellStyle name="Uwaga 2 15 31" xfId="36846"/>
    <cellStyle name="Uwaga 2 15 31 2" xfId="36847"/>
    <cellStyle name="Uwaga 2 15 31 3" xfId="36848"/>
    <cellStyle name="Uwaga 2 15 32" xfId="36849"/>
    <cellStyle name="Uwaga 2 15 32 2" xfId="36850"/>
    <cellStyle name="Uwaga 2 15 32 3" xfId="36851"/>
    <cellStyle name="Uwaga 2 15 33" xfId="36852"/>
    <cellStyle name="Uwaga 2 15 33 2" xfId="36853"/>
    <cellStyle name="Uwaga 2 15 33 3" xfId="36854"/>
    <cellStyle name="Uwaga 2 15 34" xfId="36855"/>
    <cellStyle name="Uwaga 2 15 34 2" xfId="36856"/>
    <cellStyle name="Uwaga 2 15 34 3" xfId="36857"/>
    <cellStyle name="Uwaga 2 15 35" xfId="36858"/>
    <cellStyle name="Uwaga 2 15 35 2" xfId="36859"/>
    <cellStyle name="Uwaga 2 15 35 3" xfId="36860"/>
    <cellStyle name="Uwaga 2 15 36" xfId="36861"/>
    <cellStyle name="Uwaga 2 15 36 2" xfId="36862"/>
    <cellStyle name="Uwaga 2 15 36 3" xfId="36863"/>
    <cellStyle name="Uwaga 2 15 37" xfId="36864"/>
    <cellStyle name="Uwaga 2 15 37 2" xfId="36865"/>
    <cellStyle name="Uwaga 2 15 37 3" xfId="36866"/>
    <cellStyle name="Uwaga 2 15 38" xfId="36867"/>
    <cellStyle name="Uwaga 2 15 38 2" xfId="36868"/>
    <cellStyle name="Uwaga 2 15 38 3" xfId="36869"/>
    <cellStyle name="Uwaga 2 15 39" xfId="36870"/>
    <cellStyle name="Uwaga 2 15 39 2" xfId="36871"/>
    <cellStyle name="Uwaga 2 15 39 3" xfId="36872"/>
    <cellStyle name="Uwaga 2 15 4" xfId="36873"/>
    <cellStyle name="Uwaga 2 15 4 2" xfId="36874"/>
    <cellStyle name="Uwaga 2 15 4 3" xfId="36875"/>
    <cellStyle name="Uwaga 2 15 4 4" xfId="36876"/>
    <cellStyle name="Uwaga 2 15 40" xfId="36877"/>
    <cellStyle name="Uwaga 2 15 40 2" xfId="36878"/>
    <cellStyle name="Uwaga 2 15 40 3" xfId="36879"/>
    <cellStyle name="Uwaga 2 15 41" xfId="36880"/>
    <cellStyle name="Uwaga 2 15 41 2" xfId="36881"/>
    <cellStyle name="Uwaga 2 15 41 3" xfId="36882"/>
    <cellStyle name="Uwaga 2 15 42" xfId="36883"/>
    <cellStyle name="Uwaga 2 15 42 2" xfId="36884"/>
    <cellStyle name="Uwaga 2 15 42 3" xfId="36885"/>
    <cellStyle name="Uwaga 2 15 43" xfId="36886"/>
    <cellStyle name="Uwaga 2 15 43 2" xfId="36887"/>
    <cellStyle name="Uwaga 2 15 43 3" xfId="36888"/>
    <cellStyle name="Uwaga 2 15 44" xfId="36889"/>
    <cellStyle name="Uwaga 2 15 44 2" xfId="36890"/>
    <cellStyle name="Uwaga 2 15 44 3" xfId="36891"/>
    <cellStyle name="Uwaga 2 15 45" xfId="36892"/>
    <cellStyle name="Uwaga 2 15 45 2" xfId="36893"/>
    <cellStyle name="Uwaga 2 15 45 3" xfId="36894"/>
    <cellStyle name="Uwaga 2 15 46" xfId="36895"/>
    <cellStyle name="Uwaga 2 15 46 2" xfId="36896"/>
    <cellStyle name="Uwaga 2 15 46 3" xfId="36897"/>
    <cellStyle name="Uwaga 2 15 47" xfId="36898"/>
    <cellStyle name="Uwaga 2 15 47 2" xfId="36899"/>
    <cellStyle name="Uwaga 2 15 47 3" xfId="36900"/>
    <cellStyle name="Uwaga 2 15 48" xfId="36901"/>
    <cellStyle name="Uwaga 2 15 48 2" xfId="36902"/>
    <cellStyle name="Uwaga 2 15 48 3" xfId="36903"/>
    <cellStyle name="Uwaga 2 15 49" xfId="36904"/>
    <cellStyle name="Uwaga 2 15 49 2" xfId="36905"/>
    <cellStyle name="Uwaga 2 15 49 3" xfId="36906"/>
    <cellStyle name="Uwaga 2 15 5" xfId="36907"/>
    <cellStyle name="Uwaga 2 15 5 2" xfId="36908"/>
    <cellStyle name="Uwaga 2 15 5 3" xfId="36909"/>
    <cellStyle name="Uwaga 2 15 5 4" xfId="36910"/>
    <cellStyle name="Uwaga 2 15 50" xfId="36911"/>
    <cellStyle name="Uwaga 2 15 50 2" xfId="36912"/>
    <cellStyle name="Uwaga 2 15 50 3" xfId="36913"/>
    <cellStyle name="Uwaga 2 15 51" xfId="36914"/>
    <cellStyle name="Uwaga 2 15 51 2" xfId="36915"/>
    <cellStyle name="Uwaga 2 15 51 3" xfId="36916"/>
    <cellStyle name="Uwaga 2 15 52" xfId="36917"/>
    <cellStyle name="Uwaga 2 15 52 2" xfId="36918"/>
    <cellStyle name="Uwaga 2 15 52 3" xfId="36919"/>
    <cellStyle name="Uwaga 2 15 53" xfId="36920"/>
    <cellStyle name="Uwaga 2 15 53 2" xfId="36921"/>
    <cellStyle name="Uwaga 2 15 53 3" xfId="36922"/>
    <cellStyle name="Uwaga 2 15 54" xfId="36923"/>
    <cellStyle name="Uwaga 2 15 54 2" xfId="36924"/>
    <cellStyle name="Uwaga 2 15 54 3" xfId="36925"/>
    <cellStyle name="Uwaga 2 15 55" xfId="36926"/>
    <cellStyle name="Uwaga 2 15 55 2" xfId="36927"/>
    <cellStyle name="Uwaga 2 15 55 3" xfId="36928"/>
    <cellStyle name="Uwaga 2 15 56" xfId="36929"/>
    <cellStyle name="Uwaga 2 15 56 2" xfId="36930"/>
    <cellStyle name="Uwaga 2 15 56 3" xfId="36931"/>
    <cellStyle name="Uwaga 2 15 57" xfId="36932"/>
    <cellStyle name="Uwaga 2 15 58" xfId="36933"/>
    <cellStyle name="Uwaga 2 15 6" xfId="36934"/>
    <cellStyle name="Uwaga 2 15 6 2" xfId="36935"/>
    <cellStyle name="Uwaga 2 15 6 3" xfId="36936"/>
    <cellStyle name="Uwaga 2 15 6 4" xfId="36937"/>
    <cellStyle name="Uwaga 2 15 7" xfId="36938"/>
    <cellStyle name="Uwaga 2 15 7 2" xfId="36939"/>
    <cellStyle name="Uwaga 2 15 7 3" xfId="36940"/>
    <cellStyle name="Uwaga 2 15 7 4" xfId="36941"/>
    <cellStyle name="Uwaga 2 15 8" xfId="36942"/>
    <cellStyle name="Uwaga 2 15 8 2" xfId="36943"/>
    <cellStyle name="Uwaga 2 15 8 3" xfId="36944"/>
    <cellStyle name="Uwaga 2 15 8 4" xfId="36945"/>
    <cellStyle name="Uwaga 2 15 9" xfId="36946"/>
    <cellStyle name="Uwaga 2 15 9 2" xfId="36947"/>
    <cellStyle name="Uwaga 2 15 9 3" xfId="36948"/>
    <cellStyle name="Uwaga 2 15 9 4" xfId="36949"/>
    <cellStyle name="Uwaga 2 16" xfId="36950"/>
    <cellStyle name="Uwaga 2 16 10" xfId="36951"/>
    <cellStyle name="Uwaga 2 16 10 2" xfId="36952"/>
    <cellStyle name="Uwaga 2 16 10 3" xfId="36953"/>
    <cellStyle name="Uwaga 2 16 10 4" xfId="36954"/>
    <cellStyle name="Uwaga 2 16 11" xfId="36955"/>
    <cellStyle name="Uwaga 2 16 11 2" xfId="36956"/>
    <cellStyle name="Uwaga 2 16 11 3" xfId="36957"/>
    <cellStyle name="Uwaga 2 16 11 4" xfId="36958"/>
    <cellStyle name="Uwaga 2 16 12" xfId="36959"/>
    <cellStyle name="Uwaga 2 16 12 2" xfId="36960"/>
    <cellStyle name="Uwaga 2 16 12 3" xfId="36961"/>
    <cellStyle name="Uwaga 2 16 12 4" xfId="36962"/>
    <cellStyle name="Uwaga 2 16 13" xfId="36963"/>
    <cellStyle name="Uwaga 2 16 13 2" xfId="36964"/>
    <cellStyle name="Uwaga 2 16 13 3" xfId="36965"/>
    <cellStyle name="Uwaga 2 16 13 4" xfId="36966"/>
    <cellStyle name="Uwaga 2 16 14" xfId="36967"/>
    <cellStyle name="Uwaga 2 16 14 2" xfId="36968"/>
    <cellStyle name="Uwaga 2 16 14 3" xfId="36969"/>
    <cellStyle name="Uwaga 2 16 14 4" xfId="36970"/>
    <cellStyle name="Uwaga 2 16 15" xfId="36971"/>
    <cellStyle name="Uwaga 2 16 15 2" xfId="36972"/>
    <cellStyle name="Uwaga 2 16 15 3" xfId="36973"/>
    <cellStyle name="Uwaga 2 16 15 4" xfId="36974"/>
    <cellStyle name="Uwaga 2 16 16" xfId="36975"/>
    <cellStyle name="Uwaga 2 16 16 2" xfId="36976"/>
    <cellStyle name="Uwaga 2 16 16 3" xfId="36977"/>
    <cellStyle name="Uwaga 2 16 16 4" xfId="36978"/>
    <cellStyle name="Uwaga 2 16 17" xfId="36979"/>
    <cellStyle name="Uwaga 2 16 17 2" xfId="36980"/>
    <cellStyle name="Uwaga 2 16 17 3" xfId="36981"/>
    <cellStyle name="Uwaga 2 16 17 4" xfId="36982"/>
    <cellStyle name="Uwaga 2 16 18" xfId="36983"/>
    <cellStyle name="Uwaga 2 16 18 2" xfId="36984"/>
    <cellStyle name="Uwaga 2 16 18 3" xfId="36985"/>
    <cellStyle name="Uwaga 2 16 18 4" xfId="36986"/>
    <cellStyle name="Uwaga 2 16 19" xfId="36987"/>
    <cellStyle name="Uwaga 2 16 19 2" xfId="36988"/>
    <cellStyle name="Uwaga 2 16 19 3" xfId="36989"/>
    <cellStyle name="Uwaga 2 16 19 4" xfId="36990"/>
    <cellStyle name="Uwaga 2 16 2" xfId="36991"/>
    <cellStyle name="Uwaga 2 16 2 2" xfId="36992"/>
    <cellStyle name="Uwaga 2 16 2 3" xfId="36993"/>
    <cellStyle name="Uwaga 2 16 2 4" xfId="36994"/>
    <cellStyle name="Uwaga 2 16 20" xfId="36995"/>
    <cellStyle name="Uwaga 2 16 20 2" xfId="36996"/>
    <cellStyle name="Uwaga 2 16 20 3" xfId="36997"/>
    <cellStyle name="Uwaga 2 16 20 4" xfId="36998"/>
    <cellStyle name="Uwaga 2 16 21" xfId="36999"/>
    <cellStyle name="Uwaga 2 16 21 2" xfId="37000"/>
    <cellStyle name="Uwaga 2 16 21 3" xfId="37001"/>
    <cellStyle name="Uwaga 2 16 22" xfId="37002"/>
    <cellStyle name="Uwaga 2 16 22 2" xfId="37003"/>
    <cellStyle name="Uwaga 2 16 22 3" xfId="37004"/>
    <cellStyle name="Uwaga 2 16 23" xfId="37005"/>
    <cellStyle name="Uwaga 2 16 23 2" xfId="37006"/>
    <cellStyle name="Uwaga 2 16 23 3" xfId="37007"/>
    <cellStyle name="Uwaga 2 16 24" xfId="37008"/>
    <cellStyle name="Uwaga 2 16 24 2" xfId="37009"/>
    <cellStyle name="Uwaga 2 16 24 3" xfId="37010"/>
    <cellStyle name="Uwaga 2 16 25" xfId="37011"/>
    <cellStyle name="Uwaga 2 16 25 2" xfId="37012"/>
    <cellStyle name="Uwaga 2 16 25 3" xfId="37013"/>
    <cellStyle name="Uwaga 2 16 26" xfId="37014"/>
    <cellStyle name="Uwaga 2 16 26 2" xfId="37015"/>
    <cellStyle name="Uwaga 2 16 26 3" xfId="37016"/>
    <cellStyle name="Uwaga 2 16 27" xfId="37017"/>
    <cellStyle name="Uwaga 2 16 27 2" xfId="37018"/>
    <cellStyle name="Uwaga 2 16 27 3" xfId="37019"/>
    <cellStyle name="Uwaga 2 16 28" xfId="37020"/>
    <cellStyle name="Uwaga 2 16 28 2" xfId="37021"/>
    <cellStyle name="Uwaga 2 16 28 3" xfId="37022"/>
    <cellStyle name="Uwaga 2 16 29" xfId="37023"/>
    <cellStyle name="Uwaga 2 16 29 2" xfId="37024"/>
    <cellStyle name="Uwaga 2 16 29 3" xfId="37025"/>
    <cellStyle name="Uwaga 2 16 3" xfId="37026"/>
    <cellStyle name="Uwaga 2 16 3 2" xfId="37027"/>
    <cellStyle name="Uwaga 2 16 3 3" xfId="37028"/>
    <cellStyle name="Uwaga 2 16 3 4" xfId="37029"/>
    <cellStyle name="Uwaga 2 16 30" xfId="37030"/>
    <cellStyle name="Uwaga 2 16 30 2" xfId="37031"/>
    <cellStyle name="Uwaga 2 16 30 3" xfId="37032"/>
    <cellStyle name="Uwaga 2 16 31" xfId="37033"/>
    <cellStyle name="Uwaga 2 16 31 2" xfId="37034"/>
    <cellStyle name="Uwaga 2 16 31 3" xfId="37035"/>
    <cellStyle name="Uwaga 2 16 32" xfId="37036"/>
    <cellStyle name="Uwaga 2 16 32 2" xfId="37037"/>
    <cellStyle name="Uwaga 2 16 32 3" xfId="37038"/>
    <cellStyle name="Uwaga 2 16 33" xfId="37039"/>
    <cellStyle name="Uwaga 2 16 33 2" xfId="37040"/>
    <cellStyle name="Uwaga 2 16 33 3" xfId="37041"/>
    <cellStyle name="Uwaga 2 16 34" xfId="37042"/>
    <cellStyle name="Uwaga 2 16 34 2" xfId="37043"/>
    <cellStyle name="Uwaga 2 16 34 3" xfId="37044"/>
    <cellStyle name="Uwaga 2 16 35" xfId="37045"/>
    <cellStyle name="Uwaga 2 16 35 2" xfId="37046"/>
    <cellStyle name="Uwaga 2 16 35 3" xfId="37047"/>
    <cellStyle name="Uwaga 2 16 36" xfId="37048"/>
    <cellStyle name="Uwaga 2 16 36 2" xfId="37049"/>
    <cellStyle name="Uwaga 2 16 36 3" xfId="37050"/>
    <cellStyle name="Uwaga 2 16 37" xfId="37051"/>
    <cellStyle name="Uwaga 2 16 37 2" xfId="37052"/>
    <cellStyle name="Uwaga 2 16 37 3" xfId="37053"/>
    <cellStyle name="Uwaga 2 16 38" xfId="37054"/>
    <cellStyle name="Uwaga 2 16 38 2" xfId="37055"/>
    <cellStyle name="Uwaga 2 16 38 3" xfId="37056"/>
    <cellStyle name="Uwaga 2 16 39" xfId="37057"/>
    <cellStyle name="Uwaga 2 16 39 2" xfId="37058"/>
    <cellStyle name="Uwaga 2 16 39 3" xfId="37059"/>
    <cellStyle name="Uwaga 2 16 4" xfId="37060"/>
    <cellStyle name="Uwaga 2 16 4 2" xfId="37061"/>
    <cellStyle name="Uwaga 2 16 4 3" xfId="37062"/>
    <cellStyle name="Uwaga 2 16 4 4" xfId="37063"/>
    <cellStyle name="Uwaga 2 16 40" xfId="37064"/>
    <cellStyle name="Uwaga 2 16 40 2" xfId="37065"/>
    <cellStyle name="Uwaga 2 16 40 3" xfId="37066"/>
    <cellStyle name="Uwaga 2 16 41" xfId="37067"/>
    <cellStyle name="Uwaga 2 16 41 2" xfId="37068"/>
    <cellStyle name="Uwaga 2 16 41 3" xfId="37069"/>
    <cellStyle name="Uwaga 2 16 42" xfId="37070"/>
    <cellStyle name="Uwaga 2 16 42 2" xfId="37071"/>
    <cellStyle name="Uwaga 2 16 42 3" xfId="37072"/>
    <cellStyle name="Uwaga 2 16 43" xfId="37073"/>
    <cellStyle name="Uwaga 2 16 43 2" xfId="37074"/>
    <cellStyle name="Uwaga 2 16 43 3" xfId="37075"/>
    <cellStyle name="Uwaga 2 16 44" xfId="37076"/>
    <cellStyle name="Uwaga 2 16 44 2" xfId="37077"/>
    <cellStyle name="Uwaga 2 16 44 3" xfId="37078"/>
    <cellStyle name="Uwaga 2 16 45" xfId="37079"/>
    <cellStyle name="Uwaga 2 16 45 2" xfId="37080"/>
    <cellStyle name="Uwaga 2 16 45 3" xfId="37081"/>
    <cellStyle name="Uwaga 2 16 46" xfId="37082"/>
    <cellStyle name="Uwaga 2 16 46 2" xfId="37083"/>
    <cellStyle name="Uwaga 2 16 46 3" xfId="37084"/>
    <cellStyle name="Uwaga 2 16 47" xfId="37085"/>
    <cellStyle name="Uwaga 2 16 47 2" xfId="37086"/>
    <cellStyle name="Uwaga 2 16 47 3" xfId="37087"/>
    <cellStyle name="Uwaga 2 16 48" xfId="37088"/>
    <cellStyle name="Uwaga 2 16 48 2" xfId="37089"/>
    <cellStyle name="Uwaga 2 16 48 3" xfId="37090"/>
    <cellStyle name="Uwaga 2 16 49" xfId="37091"/>
    <cellStyle name="Uwaga 2 16 49 2" xfId="37092"/>
    <cellStyle name="Uwaga 2 16 49 3" xfId="37093"/>
    <cellStyle name="Uwaga 2 16 5" xfId="37094"/>
    <cellStyle name="Uwaga 2 16 5 2" xfId="37095"/>
    <cellStyle name="Uwaga 2 16 5 3" xfId="37096"/>
    <cellStyle name="Uwaga 2 16 5 4" xfId="37097"/>
    <cellStyle name="Uwaga 2 16 50" xfId="37098"/>
    <cellStyle name="Uwaga 2 16 50 2" xfId="37099"/>
    <cellStyle name="Uwaga 2 16 50 3" xfId="37100"/>
    <cellStyle name="Uwaga 2 16 51" xfId="37101"/>
    <cellStyle name="Uwaga 2 16 51 2" xfId="37102"/>
    <cellStyle name="Uwaga 2 16 51 3" xfId="37103"/>
    <cellStyle name="Uwaga 2 16 52" xfId="37104"/>
    <cellStyle name="Uwaga 2 16 52 2" xfId="37105"/>
    <cellStyle name="Uwaga 2 16 52 3" xfId="37106"/>
    <cellStyle name="Uwaga 2 16 53" xfId="37107"/>
    <cellStyle name="Uwaga 2 16 53 2" xfId="37108"/>
    <cellStyle name="Uwaga 2 16 53 3" xfId="37109"/>
    <cellStyle name="Uwaga 2 16 54" xfId="37110"/>
    <cellStyle name="Uwaga 2 16 54 2" xfId="37111"/>
    <cellStyle name="Uwaga 2 16 54 3" xfId="37112"/>
    <cellStyle name="Uwaga 2 16 55" xfId="37113"/>
    <cellStyle name="Uwaga 2 16 55 2" xfId="37114"/>
    <cellStyle name="Uwaga 2 16 55 3" xfId="37115"/>
    <cellStyle name="Uwaga 2 16 56" xfId="37116"/>
    <cellStyle name="Uwaga 2 16 56 2" xfId="37117"/>
    <cellStyle name="Uwaga 2 16 56 3" xfId="37118"/>
    <cellStyle name="Uwaga 2 16 57" xfId="37119"/>
    <cellStyle name="Uwaga 2 16 58" xfId="37120"/>
    <cellStyle name="Uwaga 2 16 6" xfId="37121"/>
    <cellStyle name="Uwaga 2 16 6 2" xfId="37122"/>
    <cellStyle name="Uwaga 2 16 6 3" xfId="37123"/>
    <cellStyle name="Uwaga 2 16 6 4" xfId="37124"/>
    <cellStyle name="Uwaga 2 16 7" xfId="37125"/>
    <cellStyle name="Uwaga 2 16 7 2" xfId="37126"/>
    <cellStyle name="Uwaga 2 16 7 3" xfId="37127"/>
    <cellStyle name="Uwaga 2 16 7 4" xfId="37128"/>
    <cellStyle name="Uwaga 2 16 8" xfId="37129"/>
    <cellStyle name="Uwaga 2 16 8 2" xfId="37130"/>
    <cellStyle name="Uwaga 2 16 8 3" xfId="37131"/>
    <cellStyle name="Uwaga 2 16 8 4" xfId="37132"/>
    <cellStyle name="Uwaga 2 16 9" xfId="37133"/>
    <cellStyle name="Uwaga 2 16 9 2" xfId="37134"/>
    <cellStyle name="Uwaga 2 16 9 3" xfId="37135"/>
    <cellStyle name="Uwaga 2 16 9 4" xfId="37136"/>
    <cellStyle name="Uwaga 2 17" xfId="37137"/>
    <cellStyle name="Uwaga 2 17 10" xfId="37138"/>
    <cellStyle name="Uwaga 2 17 10 2" xfId="37139"/>
    <cellStyle name="Uwaga 2 17 10 3" xfId="37140"/>
    <cellStyle name="Uwaga 2 17 10 4" xfId="37141"/>
    <cellStyle name="Uwaga 2 17 11" xfId="37142"/>
    <cellStyle name="Uwaga 2 17 11 2" xfId="37143"/>
    <cellStyle name="Uwaga 2 17 11 3" xfId="37144"/>
    <cellStyle name="Uwaga 2 17 11 4" xfId="37145"/>
    <cellStyle name="Uwaga 2 17 12" xfId="37146"/>
    <cellStyle name="Uwaga 2 17 12 2" xfId="37147"/>
    <cellStyle name="Uwaga 2 17 12 3" xfId="37148"/>
    <cellStyle name="Uwaga 2 17 12 4" xfId="37149"/>
    <cellStyle name="Uwaga 2 17 13" xfId="37150"/>
    <cellStyle name="Uwaga 2 17 13 2" xfId="37151"/>
    <cellStyle name="Uwaga 2 17 13 3" xfId="37152"/>
    <cellStyle name="Uwaga 2 17 13 4" xfId="37153"/>
    <cellStyle name="Uwaga 2 17 14" xfId="37154"/>
    <cellStyle name="Uwaga 2 17 14 2" xfId="37155"/>
    <cellStyle name="Uwaga 2 17 14 3" xfId="37156"/>
    <cellStyle name="Uwaga 2 17 14 4" xfId="37157"/>
    <cellStyle name="Uwaga 2 17 15" xfId="37158"/>
    <cellStyle name="Uwaga 2 17 15 2" xfId="37159"/>
    <cellStyle name="Uwaga 2 17 15 3" xfId="37160"/>
    <cellStyle name="Uwaga 2 17 15 4" xfId="37161"/>
    <cellStyle name="Uwaga 2 17 16" xfId="37162"/>
    <cellStyle name="Uwaga 2 17 16 2" xfId="37163"/>
    <cellStyle name="Uwaga 2 17 16 3" xfId="37164"/>
    <cellStyle name="Uwaga 2 17 16 4" xfId="37165"/>
    <cellStyle name="Uwaga 2 17 17" xfId="37166"/>
    <cellStyle name="Uwaga 2 17 17 2" xfId="37167"/>
    <cellStyle name="Uwaga 2 17 17 3" xfId="37168"/>
    <cellStyle name="Uwaga 2 17 17 4" xfId="37169"/>
    <cellStyle name="Uwaga 2 17 18" xfId="37170"/>
    <cellStyle name="Uwaga 2 17 18 2" xfId="37171"/>
    <cellStyle name="Uwaga 2 17 18 3" xfId="37172"/>
    <cellStyle name="Uwaga 2 17 18 4" xfId="37173"/>
    <cellStyle name="Uwaga 2 17 19" xfId="37174"/>
    <cellStyle name="Uwaga 2 17 19 2" xfId="37175"/>
    <cellStyle name="Uwaga 2 17 19 3" xfId="37176"/>
    <cellStyle name="Uwaga 2 17 19 4" xfId="37177"/>
    <cellStyle name="Uwaga 2 17 2" xfId="37178"/>
    <cellStyle name="Uwaga 2 17 2 2" xfId="37179"/>
    <cellStyle name="Uwaga 2 17 2 3" xfId="37180"/>
    <cellStyle name="Uwaga 2 17 2 4" xfId="37181"/>
    <cellStyle name="Uwaga 2 17 20" xfId="37182"/>
    <cellStyle name="Uwaga 2 17 20 2" xfId="37183"/>
    <cellStyle name="Uwaga 2 17 20 3" xfId="37184"/>
    <cellStyle name="Uwaga 2 17 20 4" xfId="37185"/>
    <cellStyle name="Uwaga 2 17 21" xfId="37186"/>
    <cellStyle name="Uwaga 2 17 21 2" xfId="37187"/>
    <cellStyle name="Uwaga 2 17 21 3" xfId="37188"/>
    <cellStyle name="Uwaga 2 17 22" xfId="37189"/>
    <cellStyle name="Uwaga 2 17 22 2" xfId="37190"/>
    <cellStyle name="Uwaga 2 17 22 3" xfId="37191"/>
    <cellStyle name="Uwaga 2 17 23" xfId="37192"/>
    <cellStyle name="Uwaga 2 17 23 2" xfId="37193"/>
    <cellStyle name="Uwaga 2 17 23 3" xfId="37194"/>
    <cellStyle name="Uwaga 2 17 24" xfId="37195"/>
    <cellStyle name="Uwaga 2 17 24 2" xfId="37196"/>
    <cellStyle name="Uwaga 2 17 24 3" xfId="37197"/>
    <cellStyle name="Uwaga 2 17 25" xfId="37198"/>
    <cellStyle name="Uwaga 2 17 25 2" xfId="37199"/>
    <cellStyle name="Uwaga 2 17 25 3" xfId="37200"/>
    <cellStyle name="Uwaga 2 17 26" xfId="37201"/>
    <cellStyle name="Uwaga 2 17 26 2" xfId="37202"/>
    <cellStyle name="Uwaga 2 17 26 3" xfId="37203"/>
    <cellStyle name="Uwaga 2 17 27" xfId="37204"/>
    <cellStyle name="Uwaga 2 17 27 2" xfId="37205"/>
    <cellStyle name="Uwaga 2 17 27 3" xfId="37206"/>
    <cellStyle name="Uwaga 2 17 28" xfId="37207"/>
    <cellStyle name="Uwaga 2 17 28 2" xfId="37208"/>
    <cellStyle name="Uwaga 2 17 28 3" xfId="37209"/>
    <cellStyle name="Uwaga 2 17 29" xfId="37210"/>
    <cellStyle name="Uwaga 2 17 29 2" xfId="37211"/>
    <cellStyle name="Uwaga 2 17 29 3" xfId="37212"/>
    <cellStyle name="Uwaga 2 17 3" xfId="37213"/>
    <cellStyle name="Uwaga 2 17 3 2" xfId="37214"/>
    <cellStyle name="Uwaga 2 17 3 3" xfId="37215"/>
    <cellStyle name="Uwaga 2 17 3 4" xfId="37216"/>
    <cellStyle name="Uwaga 2 17 30" xfId="37217"/>
    <cellStyle name="Uwaga 2 17 30 2" xfId="37218"/>
    <cellStyle name="Uwaga 2 17 30 3" xfId="37219"/>
    <cellStyle name="Uwaga 2 17 31" xfId="37220"/>
    <cellStyle name="Uwaga 2 17 31 2" xfId="37221"/>
    <cellStyle name="Uwaga 2 17 31 3" xfId="37222"/>
    <cellStyle name="Uwaga 2 17 32" xfId="37223"/>
    <cellStyle name="Uwaga 2 17 32 2" xfId="37224"/>
    <cellStyle name="Uwaga 2 17 32 3" xfId="37225"/>
    <cellStyle name="Uwaga 2 17 33" xfId="37226"/>
    <cellStyle name="Uwaga 2 17 33 2" xfId="37227"/>
    <cellStyle name="Uwaga 2 17 33 3" xfId="37228"/>
    <cellStyle name="Uwaga 2 17 34" xfId="37229"/>
    <cellStyle name="Uwaga 2 17 34 2" xfId="37230"/>
    <cellStyle name="Uwaga 2 17 34 3" xfId="37231"/>
    <cellStyle name="Uwaga 2 17 35" xfId="37232"/>
    <cellStyle name="Uwaga 2 17 35 2" xfId="37233"/>
    <cellStyle name="Uwaga 2 17 35 3" xfId="37234"/>
    <cellStyle name="Uwaga 2 17 36" xfId="37235"/>
    <cellStyle name="Uwaga 2 17 36 2" xfId="37236"/>
    <cellStyle name="Uwaga 2 17 36 3" xfId="37237"/>
    <cellStyle name="Uwaga 2 17 37" xfId="37238"/>
    <cellStyle name="Uwaga 2 17 37 2" xfId="37239"/>
    <cellStyle name="Uwaga 2 17 37 3" xfId="37240"/>
    <cellStyle name="Uwaga 2 17 38" xfId="37241"/>
    <cellStyle name="Uwaga 2 17 38 2" xfId="37242"/>
    <cellStyle name="Uwaga 2 17 38 3" xfId="37243"/>
    <cellStyle name="Uwaga 2 17 39" xfId="37244"/>
    <cellStyle name="Uwaga 2 17 39 2" xfId="37245"/>
    <cellStyle name="Uwaga 2 17 39 3" xfId="37246"/>
    <cellStyle name="Uwaga 2 17 4" xfId="37247"/>
    <cellStyle name="Uwaga 2 17 4 2" xfId="37248"/>
    <cellStyle name="Uwaga 2 17 4 3" xfId="37249"/>
    <cellStyle name="Uwaga 2 17 4 4" xfId="37250"/>
    <cellStyle name="Uwaga 2 17 40" xfId="37251"/>
    <cellStyle name="Uwaga 2 17 40 2" xfId="37252"/>
    <cellStyle name="Uwaga 2 17 40 3" xfId="37253"/>
    <cellStyle name="Uwaga 2 17 41" xfId="37254"/>
    <cellStyle name="Uwaga 2 17 41 2" xfId="37255"/>
    <cellStyle name="Uwaga 2 17 41 3" xfId="37256"/>
    <cellStyle name="Uwaga 2 17 42" xfId="37257"/>
    <cellStyle name="Uwaga 2 17 42 2" xfId="37258"/>
    <cellStyle name="Uwaga 2 17 42 3" xfId="37259"/>
    <cellStyle name="Uwaga 2 17 43" xfId="37260"/>
    <cellStyle name="Uwaga 2 17 43 2" xfId="37261"/>
    <cellStyle name="Uwaga 2 17 43 3" xfId="37262"/>
    <cellStyle name="Uwaga 2 17 44" xfId="37263"/>
    <cellStyle name="Uwaga 2 17 44 2" xfId="37264"/>
    <cellStyle name="Uwaga 2 17 44 3" xfId="37265"/>
    <cellStyle name="Uwaga 2 17 45" xfId="37266"/>
    <cellStyle name="Uwaga 2 17 45 2" xfId="37267"/>
    <cellStyle name="Uwaga 2 17 45 3" xfId="37268"/>
    <cellStyle name="Uwaga 2 17 46" xfId="37269"/>
    <cellStyle name="Uwaga 2 17 46 2" xfId="37270"/>
    <cellStyle name="Uwaga 2 17 46 3" xfId="37271"/>
    <cellStyle name="Uwaga 2 17 47" xfId="37272"/>
    <cellStyle name="Uwaga 2 17 47 2" xfId="37273"/>
    <cellStyle name="Uwaga 2 17 47 3" xfId="37274"/>
    <cellStyle name="Uwaga 2 17 48" xfId="37275"/>
    <cellStyle name="Uwaga 2 17 48 2" xfId="37276"/>
    <cellStyle name="Uwaga 2 17 48 3" xfId="37277"/>
    <cellStyle name="Uwaga 2 17 49" xfId="37278"/>
    <cellStyle name="Uwaga 2 17 49 2" xfId="37279"/>
    <cellStyle name="Uwaga 2 17 49 3" xfId="37280"/>
    <cellStyle name="Uwaga 2 17 5" xfId="37281"/>
    <cellStyle name="Uwaga 2 17 5 2" xfId="37282"/>
    <cellStyle name="Uwaga 2 17 5 3" xfId="37283"/>
    <cellStyle name="Uwaga 2 17 5 4" xfId="37284"/>
    <cellStyle name="Uwaga 2 17 50" xfId="37285"/>
    <cellStyle name="Uwaga 2 17 50 2" xfId="37286"/>
    <cellStyle name="Uwaga 2 17 50 3" xfId="37287"/>
    <cellStyle name="Uwaga 2 17 51" xfId="37288"/>
    <cellStyle name="Uwaga 2 17 51 2" xfId="37289"/>
    <cellStyle name="Uwaga 2 17 51 3" xfId="37290"/>
    <cellStyle name="Uwaga 2 17 52" xfId="37291"/>
    <cellStyle name="Uwaga 2 17 52 2" xfId="37292"/>
    <cellStyle name="Uwaga 2 17 52 3" xfId="37293"/>
    <cellStyle name="Uwaga 2 17 53" xfId="37294"/>
    <cellStyle name="Uwaga 2 17 53 2" xfId="37295"/>
    <cellStyle name="Uwaga 2 17 53 3" xfId="37296"/>
    <cellStyle name="Uwaga 2 17 54" xfId="37297"/>
    <cellStyle name="Uwaga 2 17 54 2" xfId="37298"/>
    <cellStyle name="Uwaga 2 17 54 3" xfId="37299"/>
    <cellStyle name="Uwaga 2 17 55" xfId="37300"/>
    <cellStyle name="Uwaga 2 17 55 2" xfId="37301"/>
    <cellStyle name="Uwaga 2 17 55 3" xfId="37302"/>
    <cellStyle name="Uwaga 2 17 56" xfId="37303"/>
    <cellStyle name="Uwaga 2 17 56 2" xfId="37304"/>
    <cellStyle name="Uwaga 2 17 56 3" xfId="37305"/>
    <cellStyle name="Uwaga 2 17 57" xfId="37306"/>
    <cellStyle name="Uwaga 2 17 58" xfId="37307"/>
    <cellStyle name="Uwaga 2 17 6" xfId="37308"/>
    <cellStyle name="Uwaga 2 17 6 2" xfId="37309"/>
    <cellStyle name="Uwaga 2 17 6 3" xfId="37310"/>
    <cellStyle name="Uwaga 2 17 6 4" xfId="37311"/>
    <cellStyle name="Uwaga 2 17 7" xfId="37312"/>
    <cellStyle name="Uwaga 2 17 7 2" xfId="37313"/>
    <cellStyle name="Uwaga 2 17 7 3" xfId="37314"/>
    <cellStyle name="Uwaga 2 17 7 4" xfId="37315"/>
    <cellStyle name="Uwaga 2 17 8" xfId="37316"/>
    <cellStyle name="Uwaga 2 17 8 2" xfId="37317"/>
    <cellStyle name="Uwaga 2 17 8 3" xfId="37318"/>
    <cellStyle name="Uwaga 2 17 8 4" xfId="37319"/>
    <cellStyle name="Uwaga 2 17 9" xfId="37320"/>
    <cellStyle name="Uwaga 2 17 9 2" xfId="37321"/>
    <cellStyle name="Uwaga 2 17 9 3" xfId="37322"/>
    <cellStyle name="Uwaga 2 17 9 4" xfId="37323"/>
    <cellStyle name="Uwaga 2 18" xfId="37324"/>
    <cellStyle name="Uwaga 2 18 10" xfId="37325"/>
    <cellStyle name="Uwaga 2 18 10 2" xfId="37326"/>
    <cellStyle name="Uwaga 2 18 10 3" xfId="37327"/>
    <cellStyle name="Uwaga 2 18 10 4" xfId="37328"/>
    <cellStyle name="Uwaga 2 18 11" xfId="37329"/>
    <cellStyle name="Uwaga 2 18 11 2" xfId="37330"/>
    <cellStyle name="Uwaga 2 18 11 3" xfId="37331"/>
    <cellStyle name="Uwaga 2 18 11 4" xfId="37332"/>
    <cellStyle name="Uwaga 2 18 12" xfId="37333"/>
    <cellStyle name="Uwaga 2 18 12 2" xfId="37334"/>
    <cellStyle name="Uwaga 2 18 12 3" xfId="37335"/>
    <cellStyle name="Uwaga 2 18 12 4" xfId="37336"/>
    <cellStyle name="Uwaga 2 18 13" xfId="37337"/>
    <cellStyle name="Uwaga 2 18 13 2" xfId="37338"/>
    <cellStyle name="Uwaga 2 18 13 3" xfId="37339"/>
    <cellStyle name="Uwaga 2 18 13 4" xfId="37340"/>
    <cellStyle name="Uwaga 2 18 14" xfId="37341"/>
    <cellStyle name="Uwaga 2 18 14 2" xfId="37342"/>
    <cellStyle name="Uwaga 2 18 14 3" xfId="37343"/>
    <cellStyle name="Uwaga 2 18 14 4" xfId="37344"/>
    <cellStyle name="Uwaga 2 18 15" xfId="37345"/>
    <cellStyle name="Uwaga 2 18 15 2" xfId="37346"/>
    <cellStyle name="Uwaga 2 18 15 3" xfId="37347"/>
    <cellStyle name="Uwaga 2 18 15 4" xfId="37348"/>
    <cellStyle name="Uwaga 2 18 16" xfId="37349"/>
    <cellStyle name="Uwaga 2 18 16 2" xfId="37350"/>
    <cellStyle name="Uwaga 2 18 16 3" xfId="37351"/>
    <cellStyle name="Uwaga 2 18 16 4" xfId="37352"/>
    <cellStyle name="Uwaga 2 18 17" xfId="37353"/>
    <cellStyle name="Uwaga 2 18 17 2" xfId="37354"/>
    <cellStyle name="Uwaga 2 18 17 3" xfId="37355"/>
    <cellStyle name="Uwaga 2 18 17 4" xfId="37356"/>
    <cellStyle name="Uwaga 2 18 18" xfId="37357"/>
    <cellStyle name="Uwaga 2 18 18 2" xfId="37358"/>
    <cellStyle name="Uwaga 2 18 18 3" xfId="37359"/>
    <cellStyle name="Uwaga 2 18 18 4" xfId="37360"/>
    <cellStyle name="Uwaga 2 18 19" xfId="37361"/>
    <cellStyle name="Uwaga 2 18 19 2" xfId="37362"/>
    <cellStyle name="Uwaga 2 18 19 3" xfId="37363"/>
    <cellStyle name="Uwaga 2 18 19 4" xfId="37364"/>
    <cellStyle name="Uwaga 2 18 2" xfId="37365"/>
    <cellStyle name="Uwaga 2 18 2 2" xfId="37366"/>
    <cellStyle name="Uwaga 2 18 2 3" xfId="37367"/>
    <cellStyle name="Uwaga 2 18 2 4" xfId="37368"/>
    <cellStyle name="Uwaga 2 18 20" xfId="37369"/>
    <cellStyle name="Uwaga 2 18 20 2" xfId="37370"/>
    <cellStyle name="Uwaga 2 18 20 3" xfId="37371"/>
    <cellStyle name="Uwaga 2 18 20 4" xfId="37372"/>
    <cellStyle name="Uwaga 2 18 21" xfId="37373"/>
    <cellStyle name="Uwaga 2 18 21 2" xfId="37374"/>
    <cellStyle name="Uwaga 2 18 21 3" xfId="37375"/>
    <cellStyle name="Uwaga 2 18 22" xfId="37376"/>
    <cellStyle name="Uwaga 2 18 22 2" xfId="37377"/>
    <cellStyle name="Uwaga 2 18 22 3" xfId="37378"/>
    <cellStyle name="Uwaga 2 18 23" xfId="37379"/>
    <cellStyle name="Uwaga 2 18 23 2" xfId="37380"/>
    <cellStyle name="Uwaga 2 18 23 3" xfId="37381"/>
    <cellStyle name="Uwaga 2 18 24" xfId="37382"/>
    <cellStyle name="Uwaga 2 18 24 2" xfId="37383"/>
    <cellStyle name="Uwaga 2 18 24 3" xfId="37384"/>
    <cellStyle name="Uwaga 2 18 25" xfId="37385"/>
    <cellStyle name="Uwaga 2 18 25 2" xfId="37386"/>
    <cellStyle name="Uwaga 2 18 25 3" xfId="37387"/>
    <cellStyle name="Uwaga 2 18 26" xfId="37388"/>
    <cellStyle name="Uwaga 2 18 26 2" xfId="37389"/>
    <cellStyle name="Uwaga 2 18 26 3" xfId="37390"/>
    <cellStyle name="Uwaga 2 18 27" xfId="37391"/>
    <cellStyle name="Uwaga 2 18 27 2" xfId="37392"/>
    <cellStyle name="Uwaga 2 18 27 3" xfId="37393"/>
    <cellStyle name="Uwaga 2 18 28" xfId="37394"/>
    <cellStyle name="Uwaga 2 18 28 2" xfId="37395"/>
    <cellStyle name="Uwaga 2 18 28 3" xfId="37396"/>
    <cellStyle name="Uwaga 2 18 29" xfId="37397"/>
    <cellStyle name="Uwaga 2 18 29 2" xfId="37398"/>
    <cellStyle name="Uwaga 2 18 29 3" xfId="37399"/>
    <cellStyle name="Uwaga 2 18 3" xfId="37400"/>
    <cellStyle name="Uwaga 2 18 3 2" xfId="37401"/>
    <cellStyle name="Uwaga 2 18 3 3" xfId="37402"/>
    <cellStyle name="Uwaga 2 18 3 4" xfId="37403"/>
    <cellStyle name="Uwaga 2 18 30" xfId="37404"/>
    <cellStyle name="Uwaga 2 18 30 2" xfId="37405"/>
    <cellStyle name="Uwaga 2 18 30 3" xfId="37406"/>
    <cellStyle name="Uwaga 2 18 31" xfId="37407"/>
    <cellStyle name="Uwaga 2 18 31 2" xfId="37408"/>
    <cellStyle name="Uwaga 2 18 31 3" xfId="37409"/>
    <cellStyle name="Uwaga 2 18 32" xfId="37410"/>
    <cellStyle name="Uwaga 2 18 32 2" xfId="37411"/>
    <cellStyle name="Uwaga 2 18 32 3" xfId="37412"/>
    <cellStyle name="Uwaga 2 18 33" xfId="37413"/>
    <cellStyle name="Uwaga 2 18 33 2" xfId="37414"/>
    <cellStyle name="Uwaga 2 18 33 3" xfId="37415"/>
    <cellStyle name="Uwaga 2 18 34" xfId="37416"/>
    <cellStyle name="Uwaga 2 18 34 2" xfId="37417"/>
    <cellStyle name="Uwaga 2 18 34 3" xfId="37418"/>
    <cellStyle name="Uwaga 2 18 35" xfId="37419"/>
    <cellStyle name="Uwaga 2 18 35 2" xfId="37420"/>
    <cellStyle name="Uwaga 2 18 35 3" xfId="37421"/>
    <cellStyle name="Uwaga 2 18 36" xfId="37422"/>
    <cellStyle name="Uwaga 2 18 36 2" xfId="37423"/>
    <cellStyle name="Uwaga 2 18 36 3" xfId="37424"/>
    <cellStyle name="Uwaga 2 18 37" xfId="37425"/>
    <cellStyle name="Uwaga 2 18 37 2" xfId="37426"/>
    <cellStyle name="Uwaga 2 18 37 3" xfId="37427"/>
    <cellStyle name="Uwaga 2 18 38" xfId="37428"/>
    <cellStyle name="Uwaga 2 18 38 2" xfId="37429"/>
    <cellStyle name="Uwaga 2 18 38 3" xfId="37430"/>
    <cellStyle name="Uwaga 2 18 39" xfId="37431"/>
    <cellStyle name="Uwaga 2 18 39 2" xfId="37432"/>
    <cellStyle name="Uwaga 2 18 39 3" xfId="37433"/>
    <cellStyle name="Uwaga 2 18 4" xfId="37434"/>
    <cellStyle name="Uwaga 2 18 4 2" xfId="37435"/>
    <cellStyle name="Uwaga 2 18 4 3" xfId="37436"/>
    <cellStyle name="Uwaga 2 18 4 4" xfId="37437"/>
    <cellStyle name="Uwaga 2 18 40" xfId="37438"/>
    <cellStyle name="Uwaga 2 18 40 2" xfId="37439"/>
    <cellStyle name="Uwaga 2 18 40 3" xfId="37440"/>
    <cellStyle name="Uwaga 2 18 41" xfId="37441"/>
    <cellStyle name="Uwaga 2 18 41 2" xfId="37442"/>
    <cellStyle name="Uwaga 2 18 41 3" xfId="37443"/>
    <cellStyle name="Uwaga 2 18 42" xfId="37444"/>
    <cellStyle name="Uwaga 2 18 42 2" xfId="37445"/>
    <cellStyle name="Uwaga 2 18 42 3" xfId="37446"/>
    <cellStyle name="Uwaga 2 18 43" xfId="37447"/>
    <cellStyle name="Uwaga 2 18 43 2" xfId="37448"/>
    <cellStyle name="Uwaga 2 18 43 3" xfId="37449"/>
    <cellStyle name="Uwaga 2 18 44" xfId="37450"/>
    <cellStyle name="Uwaga 2 18 44 2" xfId="37451"/>
    <cellStyle name="Uwaga 2 18 44 3" xfId="37452"/>
    <cellStyle name="Uwaga 2 18 45" xfId="37453"/>
    <cellStyle name="Uwaga 2 18 45 2" xfId="37454"/>
    <cellStyle name="Uwaga 2 18 45 3" xfId="37455"/>
    <cellStyle name="Uwaga 2 18 46" xfId="37456"/>
    <cellStyle name="Uwaga 2 18 46 2" xfId="37457"/>
    <cellStyle name="Uwaga 2 18 46 3" xfId="37458"/>
    <cellStyle name="Uwaga 2 18 47" xfId="37459"/>
    <cellStyle name="Uwaga 2 18 47 2" xfId="37460"/>
    <cellStyle name="Uwaga 2 18 47 3" xfId="37461"/>
    <cellStyle name="Uwaga 2 18 48" xfId="37462"/>
    <cellStyle name="Uwaga 2 18 48 2" xfId="37463"/>
    <cellStyle name="Uwaga 2 18 48 3" xfId="37464"/>
    <cellStyle name="Uwaga 2 18 49" xfId="37465"/>
    <cellStyle name="Uwaga 2 18 49 2" xfId="37466"/>
    <cellStyle name="Uwaga 2 18 49 3" xfId="37467"/>
    <cellStyle name="Uwaga 2 18 5" xfId="37468"/>
    <cellStyle name="Uwaga 2 18 5 2" xfId="37469"/>
    <cellStyle name="Uwaga 2 18 5 3" xfId="37470"/>
    <cellStyle name="Uwaga 2 18 5 4" xfId="37471"/>
    <cellStyle name="Uwaga 2 18 50" xfId="37472"/>
    <cellStyle name="Uwaga 2 18 50 2" xfId="37473"/>
    <cellStyle name="Uwaga 2 18 50 3" xfId="37474"/>
    <cellStyle name="Uwaga 2 18 51" xfId="37475"/>
    <cellStyle name="Uwaga 2 18 51 2" xfId="37476"/>
    <cellStyle name="Uwaga 2 18 51 3" xfId="37477"/>
    <cellStyle name="Uwaga 2 18 52" xfId="37478"/>
    <cellStyle name="Uwaga 2 18 52 2" xfId="37479"/>
    <cellStyle name="Uwaga 2 18 52 3" xfId="37480"/>
    <cellStyle name="Uwaga 2 18 53" xfId="37481"/>
    <cellStyle name="Uwaga 2 18 53 2" xfId="37482"/>
    <cellStyle name="Uwaga 2 18 53 3" xfId="37483"/>
    <cellStyle name="Uwaga 2 18 54" xfId="37484"/>
    <cellStyle name="Uwaga 2 18 54 2" xfId="37485"/>
    <cellStyle name="Uwaga 2 18 54 3" xfId="37486"/>
    <cellStyle name="Uwaga 2 18 55" xfId="37487"/>
    <cellStyle name="Uwaga 2 18 55 2" xfId="37488"/>
    <cellStyle name="Uwaga 2 18 55 3" xfId="37489"/>
    <cellStyle name="Uwaga 2 18 56" xfId="37490"/>
    <cellStyle name="Uwaga 2 18 56 2" xfId="37491"/>
    <cellStyle name="Uwaga 2 18 56 3" xfId="37492"/>
    <cellStyle name="Uwaga 2 18 57" xfId="37493"/>
    <cellStyle name="Uwaga 2 18 58" xfId="37494"/>
    <cellStyle name="Uwaga 2 18 6" xfId="37495"/>
    <cellStyle name="Uwaga 2 18 6 2" xfId="37496"/>
    <cellStyle name="Uwaga 2 18 6 3" xfId="37497"/>
    <cellStyle name="Uwaga 2 18 6 4" xfId="37498"/>
    <cellStyle name="Uwaga 2 18 7" xfId="37499"/>
    <cellStyle name="Uwaga 2 18 7 2" xfId="37500"/>
    <cellStyle name="Uwaga 2 18 7 3" xfId="37501"/>
    <cellStyle name="Uwaga 2 18 7 4" xfId="37502"/>
    <cellStyle name="Uwaga 2 18 8" xfId="37503"/>
    <cellStyle name="Uwaga 2 18 8 2" xfId="37504"/>
    <cellStyle name="Uwaga 2 18 8 3" xfId="37505"/>
    <cellStyle name="Uwaga 2 18 8 4" xfId="37506"/>
    <cellStyle name="Uwaga 2 18 9" xfId="37507"/>
    <cellStyle name="Uwaga 2 18 9 2" xfId="37508"/>
    <cellStyle name="Uwaga 2 18 9 3" xfId="37509"/>
    <cellStyle name="Uwaga 2 18 9 4" xfId="37510"/>
    <cellStyle name="Uwaga 2 19" xfId="37511"/>
    <cellStyle name="Uwaga 2 19 10" xfId="37512"/>
    <cellStyle name="Uwaga 2 19 10 2" xfId="37513"/>
    <cellStyle name="Uwaga 2 19 10 3" xfId="37514"/>
    <cellStyle name="Uwaga 2 19 10 4" xfId="37515"/>
    <cellStyle name="Uwaga 2 19 11" xfId="37516"/>
    <cellStyle name="Uwaga 2 19 11 2" xfId="37517"/>
    <cellStyle name="Uwaga 2 19 11 3" xfId="37518"/>
    <cellStyle name="Uwaga 2 19 11 4" xfId="37519"/>
    <cellStyle name="Uwaga 2 19 12" xfId="37520"/>
    <cellStyle name="Uwaga 2 19 12 2" xfId="37521"/>
    <cellStyle name="Uwaga 2 19 12 3" xfId="37522"/>
    <cellStyle name="Uwaga 2 19 12 4" xfId="37523"/>
    <cellStyle name="Uwaga 2 19 13" xfId="37524"/>
    <cellStyle name="Uwaga 2 19 13 2" xfId="37525"/>
    <cellStyle name="Uwaga 2 19 13 3" xfId="37526"/>
    <cellStyle name="Uwaga 2 19 13 4" xfId="37527"/>
    <cellStyle name="Uwaga 2 19 14" xfId="37528"/>
    <cellStyle name="Uwaga 2 19 14 2" xfId="37529"/>
    <cellStyle name="Uwaga 2 19 14 3" xfId="37530"/>
    <cellStyle name="Uwaga 2 19 14 4" xfId="37531"/>
    <cellStyle name="Uwaga 2 19 15" xfId="37532"/>
    <cellStyle name="Uwaga 2 19 15 2" xfId="37533"/>
    <cellStyle name="Uwaga 2 19 15 3" xfId="37534"/>
    <cellStyle name="Uwaga 2 19 15 4" xfId="37535"/>
    <cellStyle name="Uwaga 2 19 16" xfId="37536"/>
    <cellStyle name="Uwaga 2 19 16 2" xfId="37537"/>
    <cellStyle name="Uwaga 2 19 16 3" xfId="37538"/>
    <cellStyle name="Uwaga 2 19 16 4" xfId="37539"/>
    <cellStyle name="Uwaga 2 19 17" xfId="37540"/>
    <cellStyle name="Uwaga 2 19 17 2" xfId="37541"/>
    <cellStyle name="Uwaga 2 19 17 3" xfId="37542"/>
    <cellStyle name="Uwaga 2 19 17 4" xfId="37543"/>
    <cellStyle name="Uwaga 2 19 18" xfId="37544"/>
    <cellStyle name="Uwaga 2 19 18 2" xfId="37545"/>
    <cellStyle name="Uwaga 2 19 18 3" xfId="37546"/>
    <cellStyle name="Uwaga 2 19 18 4" xfId="37547"/>
    <cellStyle name="Uwaga 2 19 19" xfId="37548"/>
    <cellStyle name="Uwaga 2 19 19 2" xfId="37549"/>
    <cellStyle name="Uwaga 2 19 19 3" xfId="37550"/>
    <cellStyle name="Uwaga 2 19 19 4" xfId="37551"/>
    <cellStyle name="Uwaga 2 19 2" xfId="37552"/>
    <cellStyle name="Uwaga 2 19 2 2" xfId="37553"/>
    <cellStyle name="Uwaga 2 19 2 3" xfId="37554"/>
    <cellStyle name="Uwaga 2 19 2 4" xfId="37555"/>
    <cellStyle name="Uwaga 2 19 20" xfId="37556"/>
    <cellStyle name="Uwaga 2 19 20 2" xfId="37557"/>
    <cellStyle name="Uwaga 2 19 20 3" xfId="37558"/>
    <cellStyle name="Uwaga 2 19 20 4" xfId="37559"/>
    <cellStyle name="Uwaga 2 19 21" xfId="37560"/>
    <cellStyle name="Uwaga 2 19 21 2" xfId="37561"/>
    <cellStyle name="Uwaga 2 19 21 3" xfId="37562"/>
    <cellStyle name="Uwaga 2 19 22" xfId="37563"/>
    <cellStyle name="Uwaga 2 19 22 2" xfId="37564"/>
    <cellStyle name="Uwaga 2 19 22 3" xfId="37565"/>
    <cellStyle name="Uwaga 2 19 23" xfId="37566"/>
    <cellStyle name="Uwaga 2 19 23 2" xfId="37567"/>
    <cellStyle name="Uwaga 2 19 23 3" xfId="37568"/>
    <cellStyle name="Uwaga 2 19 24" xfId="37569"/>
    <cellStyle name="Uwaga 2 19 24 2" xfId="37570"/>
    <cellStyle name="Uwaga 2 19 24 3" xfId="37571"/>
    <cellStyle name="Uwaga 2 19 25" xfId="37572"/>
    <cellStyle name="Uwaga 2 19 25 2" xfId="37573"/>
    <cellStyle name="Uwaga 2 19 25 3" xfId="37574"/>
    <cellStyle name="Uwaga 2 19 26" xfId="37575"/>
    <cellStyle name="Uwaga 2 19 26 2" xfId="37576"/>
    <cellStyle name="Uwaga 2 19 26 3" xfId="37577"/>
    <cellStyle name="Uwaga 2 19 27" xfId="37578"/>
    <cellStyle name="Uwaga 2 19 27 2" xfId="37579"/>
    <cellStyle name="Uwaga 2 19 27 3" xfId="37580"/>
    <cellStyle name="Uwaga 2 19 28" xfId="37581"/>
    <cellStyle name="Uwaga 2 19 28 2" xfId="37582"/>
    <cellStyle name="Uwaga 2 19 28 3" xfId="37583"/>
    <cellStyle name="Uwaga 2 19 29" xfId="37584"/>
    <cellStyle name="Uwaga 2 19 29 2" xfId="37585"/>
    <cellStyle name="Uwaga 2 19 29 3" xfId="37586"/>
    <cellStyle name="Uwaga 2 19 3" xfId="37587"/>
    <cellStyle name="Uwaga 2 19 3 2" xfId="37588"/>
    <cellStyle name="Uwaga 2 19 3 3" xfId="37589"/>
    <cellStyle name="Uwaga 2 19 3 4" xfId="37590"/>
    <cellStyle name="Uwaga 2 19 30" xfId="37591"/>
    <cellStyle name="Uwaga 2 19 30 2" xfId="37592"/>
    <cellStyle name="Uwaga 2 19 30 3" xfId="37593"/>
    <cellStyle name="Uwaga 2 19 31" xfId="37594"/>
    <cellStyle name="Uwaga 2 19 31 2" xfId="37595"/>
    <cellStyle name="Uwaga 2 19 31 3" xfId="37596"/>
    <cellStyle name="Uwaga 2 19 32" xfId="37597"/>
    <cellStyle name="Uwaga 2 19 32 2" xfId="37598"/>
    <cellStyle name="Uwaga 2 19 32 3" xfId="37599"/>
    <cellStyle name="Uwaga 2 19 33" xfId="37600"/>
    <cellStyle name="Uwaga 2 19 33 2" xfId="37601"/>
    <cellStyle name="Uwaga 2 19 33 3" xfId="37602"/>
    <cellStyle name="Uwaga 2 19 34" xfId="37603"/>
    <cellStyle name="Uwaga 2 19 34 2" xfId="37604"/>
    <cellStyle name="Uwaga 2 19 34 3" xfId="37605"/>
    <cellStyle name="Uwaga 2 19 35" xfId="37606"/>
    <cellStyle name="Uwaga 2 19 35 2" xfId="37607"/>
    <cellStyle name="Uwaga 2 19 35 3" xfId="37608"/>
    <cellStyle name="Uwaga 2 19 36" xfId="37609"/>
    <cellStyle name="Uwaga 2 19 36 2" xfId="37610"/>
    <cellStyle name="Uwaga 2 19 36 3" xfId="37611"/>
    <cellStyle name="Uwaga 2 19 37" xfId="37612"/>
    <cellStyle name="Uwaga 2 19 37 2" xfId="37613"/>
    <cellStyle name="Uwaga 2 19 37 3" xfId="37614"/>
    <cellStyle name="Uwaga 2 19 38" xfId="37615"/>
    <cellStyle name="Uwaga 2 19 38 2" xfId="37616"/>
    <cellStyle name="Uwaga 2 19 38 3" xfId="37617"/>
    <cellStyle name="Uwaga 2 19 39" xfId="37618"/>
    <cellStyle name="Uwaga 2 19 39 2" xfId="37619"/>
    <cellStyle name="Uwaga 2 19 39 3" xfId="37620"/>
    <cellStyle name="Uwaga 2 19 4" xfId="37621"/>
    <cellStyle name="Uwaga 2 19 4 2" xfId="37622"/>
    <cellStyle name="Uwaga 2 19 4 3" xfId="37623"/>
    <cellStyle name="Uwaga 2 19 4 4" xfId="37624"/>
    <cellStyle name="Uwaga 2 19 40" xfId="37625"/>
    <cellStyle name="Uwaga 2 19 40 2" xfId="37626"/>
    <cellStyle name="Uwaga 2 19 40 3" xfId="37627"/>
    <cellStyle name="Uwaga 2 19 41" xfId="37628"/>
    <cellStyle name="Uwaga 2 19 41 2" xfId="37629"/>
    <cellStyle name="Uwaga 2 19 41 3" xfId="37630"/>
    <cellStyle name="Uwaga 2 19 42" xfId="37631"/>
    <cellStyle name="Uwaga 2 19 42 2" xfId="37632"/>
    <cellStyle name="Uwaga 2 19 42 3" xfId="37633"/>
    <cellStyle name="Uwaga 2 19 43" xfId="37634"/>
    <cellStyle name="Uwaga 2 19 43 2" xfId="37635"/>
    <cellStyle name="Uwaga 2 19 43 3" xfId="37636"/>
    <cellStyle name="Uwaga 2 19 44" xfId="37637"/>
    <cellStyle name="Uwaga 2 19 44 2" xfId="37638"/>
    <cellStyle name="Uwaga 2 19 44 3" xfId="37639"/>
    <cellStyle name="Uwaga 2 19 45" xfId="37640"/>
    <cellStyle name="Uwaga 2 19 45 2" xfId="37641"/>
    <cellStyle name="Uwaga 2 19 45 3" xfId="37642"/>
    <cellStyle name="Uwaga 2 19 46" xfId="37643"/>
    <cellStyle name="Uwaga 2 19 46 2" xfId="37644"/>
    <cellStyle name="Uwaga 2 19 46 3" xfId="37645"/>
    <cellStyle name="Uwaga 2 19 47" xfId="37646"/>
    <cellStyle name="Uwaga 2 19 47 2" xfId="37647"/>
    <cellStyle name="Uwaga 2 19 47 3" xfId="37648"/>
    <cellStyle name="Uwaga 2 19 48" xfId="37649"/>
    <cellStyle name="Uwaga 2 19 48 2" xfId="37650"/>
    <cellStyle name="Uwaga 2 19 48 3" xfId="37651"/>
    <cellStyle name="Uwaga 2 19 49" xfId="37652"/>
    <cellStyle name="Uwaga 2 19 49 2" xfId="37653"/>
    <cellStyle name="Uwaga 2 19 49 3" xfId="37654"/>
    <cellStyle name="Uwaga 2 19 5" xfId="37655"/>
    <cellStyle name="Uwaga 2 19 5 2" xfId="37656"/>
    <cellStyle name="Uwaga 2 19 5 3" xfId="37657"/>
    <cellStyle name="Uwaga 2 19 5 4" xfId="37658"/>
    <cellStyle name="Uwaga 2 19 50" xfId="37659"/>
    <cellStyle name="Uwaga 2 19 50 2" xfId="37660"/>
    <cellStyle name="Uwaga 2 19 50 3" xfId="37661"/>
    <cellStyle name="Uwaga 2 19 51" xfId="37662"/>
    <cellStyle name="Uwaga 2 19 51 2" xfId="37663"/>
    <cellStyle name="Uwaga 2 19 51 3" xfId="37664"/>
    <cellStyle name="Uwaga 2 19 52" xfId="37665"/>
    <cellStyle name="Uwaga 2 19 52 2" xfId="37666"/>
    <cellStyle name="Uwaga 2 19 52 3" xfId="37667"/>
    <cellStyle name="Uwaga 2 19 53" xfId="37668"/>
    <cellStyle name="Uwaga 2 19 53 2" xfId="37669"/>
    <cellStyle name="Uwaga 2 19 53 3" xfId="37670"/>
    <cellStyle name="Uwaga 2 19 54" xfId="37671"/>
    <cellStyle name="Uwaga 2 19 54 2" xfId="37672"/>
    <cellStyle name="Uwaga 2 19 54 3" xfId="37673"/>
    <cellStyle name="Uwaga 2 19 55" xfId="37674"/>
    <cellStyle name="Uwaga 2 19 55 2" xfId="37675"/>
    <cellStyle name="Uwaga 2 19 55 3" xfId="37676"/>
    <cellStyle name="Uwaga 2 19 56" xfId="37677"/>
    <cellStyle name="Uwaga 2 19 56 2" xfId="37678"/>
    <cellStyle name="Uwaga 2 19 56 3" xfId="37679"/>
    <cellStyle name="Uwaga 2 19 57" xfId="37680"/>
    <cellStyle name="Uwaga 2 19 58" xfId="37681"/>
    <cellStyle name="Uwaga 2 19 6" xfId="37682"/>
    <cellStyle name="Uwaga 2 19 6 2" xfId="37683"/>
    <cellStyle name="Uwaga 2 19 6 3" xfId="37684"/>
    <cellStyle name="Uwaga 2 19 6 4" xfId="37685"/>
    <cellStyle name="Uwaga 2 19 7" xfId="37686"/>
    <cellStyle name="Uwaga 2 19 7 2" xfId="37687"/>
    <cellStyle name="Uwaga 2 19 7 3" xfId="37688"/>
    <cellStyle name="Uwaga 2 19 7 4" xfId="37689"/>
    <cellStyle name="Uwaga 2 19 8" xfId="37690"/>
    <cellStyle name="Uwaga 2 19 8 2" xfId="37691"/>
    <cellStyle name="Uwaga 2 19 8 3" xfId="37692"/>
    <cellStyle name="Uwaga 2 19 8 4" xfId="37693"/>
    <cellStyle name="Uwaga 2 19 9" xfId="37694"/>
    <cellStyle name="Uwaga 2 19 9 2" xfId="37695"/>
    <cellStyle name="Uwaga 2 19 9 3" xfId="37696"/>
    <cellStyle name="Uwaga 2 19 9 4" xfId="37697"/>
    <cellStyle name="Uwaga 2 2" xfId="37698"/>
    <cellStyle name="Uwaga 2 2 10" xfId="37699"/>
    <cellStyle name="Uwaga 2 2 10 2" xfId="37700"/>
    <cellStyle name="Uwaga 2 2 10 3" xfId="37701"/>
    <cellStyle name="Uwaga 2 2 10 4" xfId="37702"/>
    <cellStyle name="Uwaga 2 2 11" xfId="37703"/>
    <cellStyle name="Uwaga 2 2 11 2" xfId="37704"/>
    <cellStyle name="Uwaga 2 2 11 3" xfId="37705"/>
    <cellStyle name="Uwaga 2 2 11 4" xfId="37706"/>
    <cellStyle name="Uwaga 2 2 12" xfId="37707"/>
    <cellStyle name="Uwaga 2 2 12 2" xfId="37708"/>
    <cellStyle name="Uwaga 2 2 12 3" xfId="37709"/>
    <cellStyle name="Uwaga 2 2 12 4" xfId="37710"/>
    <cellStyle name="Uwaga 2 2 13" xfId="37711"/>
    <cellStyle name="Uwaga 2 2 13 2" xfId="37712"/>
    <cellStyle name="Uwaga 2 2 13 3" xfId="37713"/>
    <cellStyle name="Uwaga 2 2 13 4" xfId="37714"/>
    <cellStyle name="Uwaga 2 2 14" xfId="37715"/>
    <cellStyle name="Uwaga 2 2 14 2" xfId="37716"/>
    <cellStyle name="Uwaga 2 2 14 3" xfId="37717"/>
    <cellStyle name="Uwaga 2 2 14 4" xfId="37718"/>
    <cellStyle name="Uwaga 2 2 15" xfId="37719"/>
    <cellStyle name="Uwaga 2 2 15 2" xfId="37720"/>
    <cellStyle name="Uwaga 2 2 15 3" xfId="37721"/>
    <cellStyle name="Uwaga 2 2 15 4" xfId="37722"/>
    <cellStyle name="Uwaga 2 2 16" xfId="37723"/>
    <cellStyle name="Uwaga 2 2 16 2" xfId="37724"/>
    <cellStyle name="Uwaga 2 2 16 3" xfId="37725"/>
    <cellStyle name="Uwaga 2 2 16 4" xfId="37726"/>
    <cellStyle name="Uwaga 2 2 17" xfId="37727"/>
    <cellStyle name="Uwaga 2 2 17 2" xfId="37728"/>
    <cellStyle name="Uwaga 2 2 17 3" xfId="37729"/>
    <cellStyle name="Uwaga 2 2 17 4" xfId="37730"/>
    <cellStyle name="Uwaga 2 2 18" xfId="37731"/>
    <cellStyle name="Uwaga 2 2 18 2" xfId="37732"/>
    <cellStyle name="Uwaga 2 2 18 3" xfId="37733"/>
    <cellStyle name="Uwaga 2 2 18 4" xfId="37734"/>
    <cellStyle name="Uwaga 2 2 19" xfId="37735"/>
    <cellStyle name="Uwaga 2 2 19 2" xfId="37736"/>
    <cellStyle name="Uwaga 2 2 19 3" xfId="37737"/>
    <cellStyle name="Uwaga 2 2 19 4" xfId="37738"/>
    <cellStyle name="Uwaga 2 2 2" xfId="37739"/>
    <cellStyle name="Uwaga 2 2 2 2" xfId="37740"/>
    <cellStyle name="Uwaga 2 2 2 3" xfId="37741"/>
    <cellStyle name="Uwaga 2 2 2 4" xfId="37742"/>
    <cellStyle name="Uwaga 2 2 20" xfId="37743"/>
    <cellStyle name="Uwaga 2 2 20 2" xfId="37744"/>
    <cellStyle name="Uwaga 2 2 20 3" xfId="37745"/>
    <cellStyle name="Uwaga 2 2 20 4" xfId="37746"/>
    <cellStyle name="Uwaga 2 2 21" xfId="37747"/>
    <cellStyle name="Uwaga 2 2 21 2" xfId="37748"/>
    <cellStyle name="Uwaga 2 2 21 3" xfId="37749"/>
    <cellStyle name="Uwaga 2 2 22" xfId="37750"/>
    <cellStyle name="Uwaga 2 2 22 2" xfId="37751"/>
    <cellStyle name="Uwaga 2 2 22 3" xfId="37752"/>
    <cellStyle name="Uwaga 2 2 23" xfId="37753"/>
    <cellStyle name="Uwaga 2 2 23 2" xfId="37754"/>
    <cellStyle name="Uwaga 2 2 23 3" xfId="37755"/>
    <cellStyle name="Uwaga 2 2 24" xfId="37756"/>
    <cellStyle name="Uwaga 2 2 24 2" xfId="37757"/>
    <cellStyle name="Uwaga 2 2 24 3" xfId="37758"/>
    <cellStyle name="Uwaga 2 2 25" xfId="37759"/>
    <cellStyle name="Uwaga 2 2 25 2" xfId="37760"/>
    <cellStyle name="Uwaga 2 2 25 3" xfId="37761"/>
    <cellStyle name="Uwaga 2 2 26" xfId="37762"/>
    <cellStyle name="Uwaga 2 2 26 2" xfId="37763"/>
    <cellStyle name="Uwaga 2 2 26 3" xfId="37764"/>
    <cellStyle name="Uwaga 2 2 27" xfId="37765"/>
    <cellStyle name="Uwaga 2 2 27 2" xfId="37766"/>
    <cellStyle name="Uwaga 2 2 27 3" xfId="37767"/>
    <cellStyle name="Uwaga 2 2 28" xfId="37768"/>
    <cellStyle name="Uwaga 2 2 28 2" xfId="37769"/>
    <cellStyle name="Uwaga 2 2 28 3" xfId="37770"/>
    <cellStyle name="Uwaga 2 2 29" xfId="37771"/>
    <cellStyle name="Uwaga 2 2 29 2" xfId="37772"/>
    <cellStyle name="Uwaga 2 2 29 3" xfId="37773"/>
    <cellStyle name="Uwaga 2 2 3" xfId="37774"/>
    <cellStyle name="Uwaga 2 2 3 2" xfId="37775"/>
    <cellStyle name="Uwaga 2 2 3 3" xfId="37776"/>
    <cellStyle name="Uwaga 2 2 3 4" xfId="37777"/>
    <cellStyle name="Uwaga 2 2 30" xfId="37778"/>
    <cellStyle name="Uwaga 2 2 30 2" xfId="37779"/>
    <cellStyle name="Uwaga 2 2 30 3" xfId="37780"/>
    <cellStyle name="Uwaga 2 2 31" xfId="37781"/>
    <cellStyle name="Uwaga 2 2 31 2" xfId="37782"/>
    <cellStyle name="Uwaga 2 2 31 3" xfId="37783"/>
    <cellStyle name="Uwaga 2 2 32" xfId="37784"/>
    <cellStyle name="Uwaga 2 2 32 2" xfId="37785"/>
    <cellStyle name="Uwaga 2 2 32 3" xfId="37786"/>
    <cellStyle name="Uwaga 2 2 33" xfId="37787"/>
    <cellStyle name="Uwaga 2 2 33 2" xfId="37788"/>
    <cellStyle name="Uwaga 2 2 33 3" xfId="37789"/>
    <cellStyle name="Uwaga 2 2 34" xfId="37790"/>
    <cellStyle name="Uwaga 2 2 34 2" xfId="37791"/>
    <cellStyle name="Uwaga 2 2 34 3" xfId="37792"/>
    <cellStyle name="Uwaga 2 2 35" xfId="37793"/>
    <cellStyle name="Uwaga 2 2 35 2" xfId="37794"/>
    <cellStyle name="Uwaga 2 2 35 3" xfId="37795"/>
    <cellStyle name="Uwaga 2 2 36" xfId="37796"/>
    <cellStyle name="Uwaga 2 2 36 2" xfId="37797"/>
    <cellStyle name="Uwaga 2 2 36 3" xfId="37798"/>
    <cellStyle name="Uwaga 2 2 37" xfId="37799"/>
    <cellStyle name="Uwaga 2 2 37 2" xfId="37800"/>
    <cellStyle name="Uwaga 2 2 37 3" xfId="37801"/>
    <cellStyle name="Uwaga 2 2 38" xfId="37802"/>
    <cellStyle name="Uwaga 2 2 38 2" xfId="37803"/>
    <cellStyle name="Uwaga 2 2 38 3" xfId="37804"/>
    <cellStyle name="Uwaga 2 2 39" xfId="37805"/>
    <cellStyle name="Uwaga 2 2 39 2" xfId="37806"/>
    <cellStyle name="Uwaga 2 2 39 3" xfId="37807"/>
    <cellStyle name="Uwaga 2 2 4" xfId="37808"/>
    <cellStyle name="Uwaga 2 2 4 2" xfId="37809"/>
    <cellStyle name="Uwaga 2 2 4 3" xfId="37810"/>
    <cellStyle name="Uwaga 2 2 4 4" xfId="37811"/>
    <cellStyle name="Uwaga 2 2 40" xfId="37812"/>
    <cellStyle name="Uwaga 2 2 40 2" xfId="37813"/>
    <cellStyle name="Uwaga 2 2 40 3" xfId="37814"/>
    <cellStyle name="Uwaga 2 2 41" xfId="37815"/>
    <cellStyle name="Uwaga 2 2 41 2" xfId="37816"/>
    <cellStyle name="Uwaga 2 2 41 3" xfId="37817"/>
    <cellStyle name="Uwaga 2 2 42" xfId="37818"/>
    <cellStyle name="Uwaga 2 2 42 2" xfId="37819"/>
    <cellStyle name="Uwaga 2 2 42 3" xfId="37820"/>
    <cellStyle name="Uwaga 2 2 43" xfId="37821"/>
    <cellStyle name="Uwaga 2 2 43 2" xfId="37822"/>
    <cellStyle name="Uwaga 2 2 43 3" xfId="37823"/>
    <cellStyle name="Uwaga 2 2 44" xfId="37824"/>
    <cellStyle name="Uwaga 2 2 44 2" xfId="37825"/>
    <cellStyle name="Uwaga 2 2 44 3" xfId="37826"/>
    <cellStyle name="Uwaga 2 2 45" xfId="37827"/>
    <cellStyle name="Uwaga 2 2 45 2" xfId="37828"/>
    <cellStyle name="Uwaga 2 2 45 3" xfId="37829"/>
    <cellStyle name="Uwaga 2 2 46" xfId="37830"/>
    <cellStyle name="Uwaga 2 2 46 2" xfId="37831"/>
    <cellStyle name="Uwaga 2 2 46 3" xfId="37832"/>
    <cellStyle name="Uwaga 2 2 47" xfId="37833"/>
    <cellStyle name="Uwaga 2 2 47 2" xfId="37834"/>
    <cellStyle name="Uwaga 2 2 47 3" xfId="37835"/>
    <cellStyle name="Uwaga 2 2 48" xfId="37836"/>
    <cellStyle name="Uwaga 2 2 48 2" xfId="37837"/>
    <cellStyle name="Uwaga 2 2 48 3" xfId="37838"/>
    <cellStyle name="Uwaga 2 2 49" xfId="37839"/>
    <cellStyle name="Uwaga 2 2 49 2" xfId="37840"/>
    <cellStyle name="Uwaga 2 2 49 3" xfId="37841"/>
    <cellStyle name="Uwaga 2 2 5" xfId="37842"/>
    <cellStyle name="Uwaga 2 2 5 2" xfId="37843"/>
    <cellStyle name="Uwaga 2 2 5 3" xfId="37844"/>
    <cellStyle name="Uwaga 2 2 5 4" xfId="37845"/>
    <cellStyle name="Uwaga 2 2 50" xfId="37846"/>
    <cellStyle name="Uwaga 2 2 50 2" xfId="37847"/>
    <cellStyle name="Uwaga 2 2 50 3" xfId="37848"/>
    <cellStyle name="Uwaga 2 2 51" xfId="37849"/>
    <cellStyle name="Uwaga 2 2 51 2" xfId="37850"/>
    <cellStyle name="Uwaga 2 2 51 3" xfId="37851"/>
    <cellStyle name="Uwaga 2 2 52" xfId="37852"/>
    <cellStyle name="Uwaga 2 2 52 2" xfId="37853"/>
    <cellStyle name="Uwaga 2 2 52 3" xfId="37854"/>
    <cellStyle name="Uwaga 2 2 53" xfId="37855"/>
    <cellStyle name="Uwaga 2 2 53 2" xfId="37856"/>
    <cellStyle name="Uwaga 2 2 53 3" xfId="37857"/>
    <cellStyle name="Uwaga 2 2 54" xfId="37858"/>
    <cellStyle name="Uwaga 2 2 54 2" xfId="37859"/>
    <cellStyle name="Uwaga 2 2 54 3" xfId="37860"/>
    <cellStyle name="Uwaga 2 2 55" xfId="37861"/>
    <cellStyle name="Uwaga 2 2 55 2" xfId="37862"/>
    <cellStyle name="Uwaga 2 2 55 3" xfId="37863"/>
    <cellStyle name="Uwaga 2 2 56" xfId="37864"/>
    <cellStyle name="Uwaga 2 2 56 2" xfId="37865"/>
    <cellStyle name="Uwaga 2 2 56 3" xfId="37866"/>
    <cellStyle name="Uwaga 2 2 57" xfId="37867"/>
    <cellStyle name="Uwaga 2 2 58" xfId="37868"/>
    <cellStyle name="Uwaga 2 2 59" xfId="37869"/>
    <cellStyle name="Uwaga 2 2 6" xfId="37870"/>
    <cellStyle name="Uwaga 2 2 6 2" xfId="37871"/>
    <cellStyle name="Uwaga 2 2 6 3" xfId="37872"/>
    <cellStyle name="Uwaga 2 2 6 4" xfId="37873"/>
    <cellStyle name="Uwaga 2 2 7" xfId="37874"/>
    <cellStyle name="Uwaga 2 2 7 2" xfId="37875"/>
    <cellStyle name="Uwaga 2 2 7 3" xfId="37876"/>
    <cellStyle name="Uwaga 2 2 7 4" xfId="37877"/>
    <cellStyle name="Uwaga 2 2 8" xfId="37878"/>
    <cellStyle name="Uwaga 2 2 8 2" xfId="37879"/>
    <cellStyle name="Uwaga 2 2 8 3" xfId="37880"/>
    <cellStyle name="Uwaga 2 2 8 4" xfId="37881"/>
    <cellStyle name="Uwaga 2 2 9" xfId="37882"/>
    <cellStyle name="Uwaga 2 2 9 2" xfId="37883"/>
    <cellStyle name="Uwaga 2 2 9 3" xfId="37884"/>
    <cellStyle name="Uwaga 2 2 9 4" xfId="37885"/>
    <cellStyle name="Uwaga 2 20" xfId="37886"/>
    <cellStyle name="Uwaga 2 20 10" xfId="37887"/>
    <cellStyle name="Uwaga 2 20 10 2" xfId="37888"/>
    <cellStyle name="Uwaga 2 20 10 3" xfId="37889"/>
    <cellStyle name="Uwaga 2 20 10 4" xfId="37890"/>
    <cellStyle name="Uwaga 2 20 11" xfId="37891"/>
    <cellStyle name="Uwaga 2 20 11 2" xfId="37892"/>
    <cellStyle name="Uwaga 2 20 11 3" xfId="37893"/>
    <cellStyle name="Uwaga 2 20 11 4" xfId="37894"/>
    <cellStyle name="Uwaga 2 20 12" xfId="37895"/>
    <cellStyle name="Uwaga 2 20 12 2" xfId="37896"/>
    <cellStyle name="Uwaga 2 20 12 3" xfId="37897"/>
    <cellStyle name="Uwaga 2 20 12 4" xfId="37898"/>
    <cellStyle name="Uwaga 2 20 13" xfId="37899"/>
    <cellStyle name="Uwaga 2 20 13 2" xfId="37900"/>
    <cellStyle name="Uwaga 2 20 13 3" xfId="37901"/>
    <cellStyle name="Uwaga 2 20 13 4" xfId="37902"/>
    <cellStyle name="Uwaga 2 20 14" xfId="37903"/>
    <cellStyle name="Uwaga 2 20 14 2" xfId="37904"/>
    <cellStyle name="Uwaga 2 20 14 3" xfId="37905"/>
    <cellStyle name="Uwaga 2 20 14 4" xfId="37906"/>
    <cellStyle name="Uwaga 2 20 15" xfId="37907"/>
    <cellStyle name="Uwaga 2 20 15 2" xfId="37908"/>
    <cellStyle name="Uwaga 2 20 15 3" xfId="37909"/>
    <cellStyle name="Uwaga 2 20 15 4" xfId="37910"/>
    <cellStyle name="Uwaga 2 20 16" xfId="37911"/>
    <cellStyle name="Uwaga 2 20 16 2" xfId="37912"/>
    <cellStyle name="Uwaga 2 20 16 3" xfId="37913"/>
    <cellStyle name="Uwaga 2 20 16 4" xfId="37914"/>
    <cellStyle name="Uwaga 2 20 17" xfId="37915"/>
    <cellStyle name="Uwaga 2 20 17 2" xfId="37916"/>
    <cellStyle name="Uwaga 2 20 17 3" xfId="37917"/>
    <cellStyle name="Uwaga 2 20 17 4" xfId="37918"/>
    <cellStyle name="Uwaga 2 20 18" xfId="37919"/>
    <cellStyle name="Uwaga 2 20 18 2" xfId="37920"/>
    <cellStyle name="Uwaga 2 20 18 3" xfId="37921"/>
    <cellStyle name="Uwaga 2 20 18 4" xfId="37922"/>
    <cellStyle name="Uwaga 2 20 19" xfId="37923"/>
    <cellStyle name="Uwaga 2 20 19 2" xfId="37924"/>
    <cellStyle name="Uwaga 2 20 19 3" xfId="37925"/>
    <cellStyle name="Uwaga 2 20 19 4" xfId="37926"/>
    <cellStyle name="Uwaga 2 20 2" xfId="37927"/>
    <cellStyle name="Uwaga 2 20 2 2" xfId="37928"/>
    <cellStyle name="Uwaga 2 20 2 3" xfId="37929"/>
    <cellStyle name="Uwaga 2 20 2 4" xfId="37930"/>
    <cellStyle name="Uwaga 2 20 20" xfId="37931"/>
    <cellStyle name="Uwaga 2 20 20 2" xfId="37932"/>
    <cellStyle name="Uwaga 2 20 20 3" xfId="37933"/>
    <cellStyle name="Uwaga 2 20 20 4" xfId="37934"/>
    <cellStyle name="Uwaga 2 20 21" xfId="37935"/>
    <cellStyle name="Uwaga 2 20 21 2" xfId="37936"/>
    <cellStyle name="Uwaga 2 20 21 3" xfId="37937"/>
    <cellStyle name="Uwaga 2 20 22" xfId="37938"/>
    <cellStyle name="Uwaga 2 20 22 2" xfId="37939"/>
    <cellStyle name="Uwaga 2 20 22 3" xfId="37940"/>
    <cellStyle name="Uwaga 2 20 23" xfId="37941"/>
    <cellStyle name="Uwaga 2 20 23 2" xfId="37942"/>
    <cellStyle name="Uwaga 2 20 23 3" xfId="37943"/>
    <cellStyle name="Uwaga 2 20 24" xfId="37944"/>
    <cellStyle name="Uwaga 2 20 24 2" xfId="37945"/>
    <cellStyle name="Uwaga 2 20 24 3" xfId="37946"/>
    <cellStyle name="Uwaga 2 20 25" xfId="37947"/>
    <cellStyle name="Uwaga 2 20 25 2" xfId="37948"/>
    <cellStyle name="Uwaga 2 20 25 3" xfId="37949"/>
    <cellStyle name="Uwaga 2 20 26" xfId="37950"/>
    <cellStyle name="Uwaga 2 20 26 2" xfId="37951"/>
    <cellStyle name="Uwaga 2 20 26 3" xfId="37952"/>
    <cellStyle name="Uwaga 2 20 27" xfId="37953"/>
    <cellStyle name="Uwaga 2 20 27 2" xfId="37954"/>
    <cellStyle name="Uwaga 2 20 27 3" xfId="37955"/>
    <cellStyle name="Uwaga 2 20 28" xfId="37956"/>
    <cellStyle name="Uwaga 2 20 28 2" xfId="37957"/>
    <cellStyle name="Uwaga 2 20 28 3" xfId="37958"/>
    <cellStyle name="Uwaga 2 20 29" xfId="37959"/>
    <cellStyle name="Uwaga 2 20 29 2" xfId="37960"/>
    <cellStyle name="Uwaga 2 20 29 3" xfId="37961"/>
    <cellStyle name="Uwaga 2 20 3" xfId="37962"/>
    <cellStyle name="Uwaga 2 20 3 2" xfId="37963"/>
    <cellStyle name="Uwaga 2 20 3 3" xfId="37964"/>
    <cellStyle name="Uwaga 2 20 3 4" xfId="37965"/>
    <cellStyle name="Uwaga 2 20 30" xfId="37966"/>
    <cellStyle name="Uwaga 2 20 30 2" xfId="37967"/>
    <cellStyle name="Uwaga 2 20 30 3" xfId="37968"/>
    <cellStyle name="Uwaga 2 20 31" xfId="37969"/>
    <cellStyle name="Uwaga 2 20 31 2" xfId="37970"/>
    <cellStyle name="Uwaga 2 20 31 3" xfId="37971"/>
    <cellStyle name="Uwaga 2 20 32" xfId="37972"/>
    <cellStyle name="Uwaga 2 20 32 2" xfId="37973"/>
    <cellStyle name="Uwaga 2 20 32 3" xfId="37974"/>
    <cellStyle name="Uwaga 2 20 33" xfId="37975"/>
    <cellStyle name="Uwaga 2 20 33 2" xfId="37976"/>
    <cellStyle name="Uwaga 2 20 33 3" xfId="37977"/>
    <cellStyle name="Uwaga 2 20 34" xfId="37978"/>
    <cellStyle name="Uwaga 2 20 34 2" xfId="37979"/>
    <cellStyle name="Uwaga 2 20 34 3" xfId="37980"/>
    <cellStyle name="Uwaga 2 20 35" xfId="37981"/>
    <cellStyle name="Uwaga 2 20 35 2" xfId="37982"/>
    <cellStyle name="Uwaga 2 20 35 3" xfId="37983"/>
    <cellStyle name="Uwaga 2 20 36" xfId="37984"/>
    <cellStyle name="Uwaga 2 20 36 2" xfId="37985"/>
    <cellStyle name="Uwaga 2 20 36 3" xfId="37986"/>
    <cellStyle name="Uwaga 2 20 37" xfId="37987"/>
    <cellStyle name="Uwaga 2 20 37 2" xfId="37988"/>
    <cellStyle name="Uwaga 2 20 37 3" xfId="37989"/>
    <cellStyle name="Uwaga 2 20 38" xfId="37990"/>
    <cellStyle name="Uwaga 2 20 38 2" xfId="37991"/>
    <cellStyle name="Uwaga 2 20 38 3" xfId="37992"/>
    <cellStyle name="Uwaga 2 20 39" xfId="37993"/>
    <cellStyle name="Uwaga 2 20 39 2" xfId="37994"/>
    <cellStyle name="Uwaga 2 20 39 3" xfId="37995"/>
    <cellStyle name="Uwaga 2 20 4" xfId="37996"/>
    <cellStyle name="Uwaga 2 20 4 2" xfId="37997"/>
    <cellStyle name="Uwaga 2 20 4 3" xfId="37998"/>
    <cellStyle name="Uwaga 2 20 4 4" xfId="37999"/>
    <cellStyle name="Uwaga 2 20 40" xfId="38000"/>
    <cellStyle name="Uwaga 2 20 40 2" xfId="38001"/>
    <cellStyle name="Uwaga 2 20 40 3" xfId="38002"/>
    <cellStyle name="Uwaga 2 20 41" xfId="38003"/>
    <cellStyle name="Uwaga 2 20 41 2" xfId="38004"/>
    <cellStyle name="Uwaga 2 20 41 3" xfId="38005"/>
    <cellStyle name="Uwaga 2 20 42" xfId="38006"/>
    <cellStyle name="Uwaga 2 20 42 2" xfId="38007"/>
    <cellStyle name="Uwaga 2 20 42 3" xfId="38008"/>
    <cellStyle name="Uwaga 2 20 43" xfId="38009"/>
    <cellStyle name="Uwaga 2 20 43 2" xfId="38010"/>
    <cellStyle name="Uwaga 2 20 43 3" xfId="38011"/>
    <cellStyle name="Uwaga 2 20 44" xfId="38012"/>
    <cellStyle name="Uwaga 2 20 44 2" xfId="38013"/>
    <cellStyle name="Uwaga 2 20 44 3" xfId="38014"/>
    <cellStyle name="Uwaga 2 20 45" xfId="38015"/>
    <cellStyle name="Uwaga 2 20 45 2" xfId="38016"/>
    <cellStyle name="Uwaga 2 20 45 3" xfId="38017"/>
    <cellStyle name="Uwaga 2 20 46" xfId="38018"/>
    <cellStyle name="Uwaga 2 20 46 2" xfId="38019"/>
    <cellStyle name="Uwaga 2 20 46 3" xfId="38020"/>
    <cellStyle name="Uwaga 2 20 47" xfId="38021"/>
    <cellStyle name="Uwaga 2 20 47 2" xfId="38022"/>
    <cellStyle name="Uwaga 2 20 47 3" xfId="38023"/>
    <cellStyle name="Uwaga 2 20 48" xfId="38024"/>
    <cellStyle name="Uwaga 2 20 48 2" xfId="38025"/>
    <cellStyle name="Uwaga 2 20 48 3" xfId="38026"/>
    <cellStyle name="Uwaga 2 20 49" xfId="38027"/>
    <cellStyle name="Uwaga 2 20 49 2" xfId="38028"/>
    <cellStyle name="Uwaga 2 20 49 3" xfId="38029"/>
    <cellStyle name="Uwaga 2 20 5" xfId="38030"/>
    <cellStyle name="Uwaga 2 20 5 2" xfId="38031"/>
    <cellStyle name="Uwaga 2 20 5 3" xfId="38032"/>
    <cellStyle name="Uwaga 2 20 5 4" xfId="38033"/>
    <cellStyle name="Uwaga 2 20 50" xfId="38034"/>
    <cellStyle name="Uwaga 2 20 50 2" xfId="38035"/>
    <cellStyle name="Uwaga 2 20 50 3" xfId="38036"/>
    <cellStyle name="Uwaga 2 20 51" xfId="38037"/>
    <cellStyle name="Uwaga 2 20 51 2" xfId="38038"/>
    <cellStyle name="Uwaga 2 20 51 3" xfId="38039"/>
    <cellStyle name="Uwaga 2 20 52" xfId="38040"/>
    <cellStyle name="Uwaga 2 20 52 2" xfId="38041"/>
    <cellStyle name="Uwaga 2 20 52 3" xfId="38042"/>
    <cellStyle name="Uwaga 2 20 53" xfId="38043"/>
    <cellStyle name="Uwaga 2 20 53 2" xfId="38044"/>
    <cellStyle name="Uwaga 2 20 53 3" xfId="38045"/>
    <cellStyle name="Uwaga 2 20 54" xfId="38046"/>
    <cellStyle name="Uwaga 2 20 54 2" xfId="38047"/>
    <cellStyle name="Uwaga 2 20 54 3" xfId="38048"/>
    <cellStyle name="Uwaga 2 20 55" xfId="38049"/>
    <cellStyle name="Uwaga 2 20 55 2" xfId="38050"/>
    <cellStyle name="Uwaga 2 20 55 3" xfId="38051"/>
    <cellStyle name="Uwaga 2 20 56" xfId="38052"/>
    <cellStyle name="Uwaga 2 20 56 2" xfId="38053"/>
    <cellStyle name="Uwaga 2 20 56 3" xfId="38054"/>
    <cellStyle name="Uwaga 2 20 57" xfId="38055"/>
    <cellStyle name="Uwaga 2 20 58" xfId="38056"/>
    <cellStyle name="Uwaga 2 20 6" xfId="38057"/>
    <cellStyle name="Uwaga 2 20 6 2" xfId="38058"/>
    <cellStyle name="Uwaga 2 20 6 3" xfId="38059"/>
    <cellStyle name="Uwaga 2 20 6 4" xfId="38060"/>
    <cellStyle name="Uwaga 2 20 7" xfId="38061"/>
    <cellStyle name="Uwaga 2 20 7 2" xfId="38062"/>
    <cellStyle name="Uwaga 2 20 7 3" xfId="38063"/>
    <cellStyle name="Uwaga 2 20 7 4" xfId="38064"/>
    <cellStyle name="Uwaga 2 20 8" xfId="38065"/>
    <cellStyle name="Uwaga 2 20 8 2" xfId="38066"/>
    <cellStyle name="Uwaga 2 20 8 3" xfId="38067"/>
    <cellStyle name="Uwaga 2 20 8 4" xfId="38068"/>
    <cellStyle name="Uwaga 2 20 9" xfId="38069"/>
    <cellStyle name="Uwaga 2 20 9 2" xfId="38070"/>
    <cellStyle name="Uwaga 2 20 9 3" xfId="38071"/>
    <cellStyle name="Uwaga 2 20 9 4" xfId="38072"/>
    <cellStyle name="Uwaga 2 21" xfId="38073"/>
    <cellStyle name="Uwaga 2 21 10" xfId="38074"/>
    <cellStyle name="Uwaga 2 21 10 2" xfId="38075"/>
    <cellStyle name="Uwaga 2 21 10 3" xfId="38076"/>
    <cellStyle name="Uwaga 2 21 10 4" xfId="38077"/>
    <cellStyle name="Uwaga 2 21 11" xfId="38078"/>
    <cellStyle name="Uwaga 2 21 11 2" xfId="38079"/>
    <cellStyle name="Uwaga 2 21 11 3" xfId="38080"/>
    <cellStyle name="Uwaga 2 21 11 4" xfId="38081"/>
    <cellStyle name="Uwaga 2 21 12" xfId="38082"/>
    <cellStyle name="Uwaga 2 21 12 2" xfId="38083"/>
    <cellStyle name="Uwaga 2 21 12 3" xfId="38084"/>
    <cellStyle name="Uwaga 2 21 12 4" xfId="38085"/>
    <cellStyle name="Uwaga 2 21 13" xfId="38086"/>
    <cellStyle name="Uwaga 2 21 13 2" xfId="38087"/>
    <cellStyle name="Uwaga 2 21 13 3" xfId="38088"/>
    <cellStyle name="Uwaga 2 21 13 4" xfId="38089"/>
    <cellStyle name="Uwaga 2 21 14" xfId="38090"/>
    <cellStyle name="Uwaga 2 21 14 2" xfId="38091"/>
    <cellStyle name="Uwaga 2 21 14 3" xfId="38092"/>
    <cellStyle name="Uwaga 2 21 14 4" xfId="38093"/>
    <cellStyle name="Uwaga 2 21 15" xfId="38094"/>
    <cellStyle name="Uwaga 2 21 15 2" xfId="38095"/>
    <cellStyle name="Uwaga 2 21 15 3" xfId="38096"/>
    <cellStyle name="Uwaga 2 21 15 4" xfId="38097"/>
    <cellStyle name="Uwaga 2 21 16" xfId="38098"/>
    <cellStyle name="Uwaga 2 21 16 2" xfId="38099"/>
    <cellStyle name="Uwaga 2 21 16 3" xfId="38100"/>
    <cellStyle name="Uwaga 2 21 16 4" xfId="38101"/>
    <cellStyle name="Uwaga 2 21 17" xfId="38102"/>
    <cellStyle name="Uwaga 2 21 17 2" xfId="38103"/>
    <cellStyle name="Uwaga 2 21 17 3" xfId="38104"/>
    <cellStyle name="Uwaga 2 21 17 4" xfId="38105"/>
    <cellStyle name="Uwaga 2 21 18" xfId="38106"/>
    <cellStyle name="Uwaga 2 21 18 2" xfId="38107"/>
    <cellStyle name="Uwaga 2 21 18 3" xfId="38108"/>
    <cellStyle name="Uwaga 2 21 18 4" xfId="38109"/>
    <cellStyle name="Uwaga 2 21 19" xfId="38110"/>
    <cellStyle name="Uwaga 2 21 19 2" xfId="38111"/>
    <cellStyle name="Uwaga 2 21 19 3" xfId="38112"/>
    <cellStyle name="Uwaga 2 21 19 4" xfId="38113"/>
    <cellStyle name="Uwaga 2 21 2" xfId="38114"/>
    <cellStyle name="Uwaga 2 21 2 2" xfId="38115"/>
    <cellStyle name="Uwaga 2 21 2 3" xfId="38116"/>
    <cellStyle name="Uwaga 2 21 2 4" xfId="38117"/>
    <cellStyle name="Uwaga 2 21 20" xfId="38118"/>
    <cellStyle name="Uwaga 2 21 20 2" xfId="38119"/>
    <cellStyle name="Uwaga 2 21 20 3" xfId="38120"/>
    <cellStyle name="Uwaga 2 21 20 4" xfId="38121"/>
    <cellStyle name="Uwaga 2 21 21" xfId="38122"/>
    <cellStyle name="Uwaga 2 21 21 2" xfId="38123"/>
    <cellStyle name="Uwaga 2 21 21 3" xfId="38124"/>
    <cellStyle name="Uwaga 2 21 22" xfId="38125"/>
    <cellStyle name="Uwaga 2 21 22 2" xfId="38126"/>
    <cellStyle name="Uwaga 2 21 22 3" xfId="38127"/>
    <cellStyle name="Uwaga 2 21 23" xfId="38128"/>
    <cellStyle name="Uwaga 2 21 23 2" xfId="38129"/>
    <cellStyle name="Uwaga 2 21 23 3" xfId="38130"/>
    <cellStyle name="Uwaga 2 21 24" xfId="38131"/>
    <cellStyle name="Uwaga 2 21 24 2" xfId="38132"/>
    <cellStyle name="Uwaga 2 21 24 3" xfId="38133"/>
    <cellStyle name="Uwaga 2 21 25" xfId="38134"/>
    <cellStyle name="Uwaga 2 21 25 2" xfId="38135"/>
    <cellStyle name="Uwaga 2 21 25 3" xfId="38136"/>
    <cellStyle name="Uwaga 2 21 26" xfId="38137"/>
    <cellStyle name="Uwaga 2 21 26 2" xfId="38138"/>
    <cellStyle name="Uwaga 2 21 26 3" xfId="38139"/>
    <cellStyle name="Uwaga 2 21 27" xfId="38140"/>
    <cellStyle name="Uwaga 2 21 27 2" xfId="38141"/>
    <cellStyle name="Uwaga 2 21 27 3" xfId="38142"/>
    <cellStyle name="Uwaga 2 21 28" xfId="38143"/>
    <cellStyle name="Uwaga 2 21 28 2" xfId="38144"/>
    <cellStyle name="Uwaga 2 21 28 3" xfId="38145"/>
    <cellStyle name="Uwaga 2 21 29" xfId="38146"/>
    <cellStyle name="Uwaga 2 21 29 2" xfId="38147"/>
    <cellStyle name="Uwaga 2 21 29 3" xfId="38148"/>
    <cellStyle name="Uwaga 2 21 3" xfId="38149"/>
    <cellStyle name="Uwaga 2 21 3 2" xfId="38150"/>
    <cellStyle name="Uwaga 2 21 3 3" xfId="38151"/>
    <cellStyle name="Uwaga 2 21 3 4" xfId="38152"/>
    <cellStyle name="Uwaga 2 21 30" xfId="38153"/>
    <cellStyle name="Uwaga 2 21 30 2" xfId="38154"/>
    <cellStyle name="Uwaga 2 21 30 3" xfId="38155"/>
    <cellStyle name="Uwaga 2 21 31" xfId="38156"/>
    <cellStyle name="Uwaga 2 21 31 2" xfId="38157"/>
    <cellStyle name="Uwaga 2 21 31 3" xfId="38158"/>
    <cellStyle name="Uwaga 2 21 32" xfId="38159"/>
    <cellStyle name="Uwaga 2 21 32 2" xfId="38160"/>
    <cellStyle name="Uwaga 2 21 32 3" xfId="38161"/>
    <cellStyle name="Uwaga 2 21 33" xfId="38162"/>
    <cellStyle name="Uwaga 2 21 33 2" xfId="38163"/>
    <cellStyle name="Uwaga 2 21 33 3" xfId="38164"/>
    <cellStyle name="Uwaga 2 21 34" xfId="38165"/>
    <cellStyle name="Uwaga 2 21 34 2" xfId="38166"/>
    <cellStyle name="Uwaga 2 21 34 3" xfId="38167"/>
    <cellStyle name="Uwaga 2 21 35" xfId="38168"/>
    <cellStyle name="Uwaga 2 21 35 2" xfId="38169"/>
    <cellStyle name="Uwaga 2 21 35 3" xfId="38170"/>
    <cellStyle name="Uwaga 2 21 36" xfId="38171"/>
    <cellStyle name="Uwaga 2 21 36 2" xfId="38172"/>
    <cellStyle name="Uwaga 2 21 36 3" xfId="38173"/>
    <cellStyle name="Uwaga 2 21 37" xfId="38174"/>
    <cellStyle name="Uwaga 2 21 37 2" xfId="38175"/>
    <cellStyle name="Uwaga 2 21 37 3" xfId="38176"/>
    <cellStyle name="Uwaga 2 21 38" xfId="38177"/>
    <cellStyle name="Uwaga 2 21 38 2" xfId="38178"/>
    <cellStyle name="Uwaga 2 21 38 3" xfId="38179"/>
    <cellStyle name="Uwaga 2 21 39" xfId="38180"/>
    <cellStyle name="Uwaga 2 21 39 2" xfId="38181"/>
    <cellStyle name="Uwaga 2 21 39 3" xfId="38182"/>
    <cellStyle name="Uwaga 2 21 4" xfId="38183"/>
    <cellStyle name="Uwaga 2 21 4 2" xfId="38184"/>
    <cellStyle name="Uwaga 2 21 4 3" xfId="38185"/>
    <cellStyle name="Uwaga 2 21 4 4" xfId="38186"/>
    <cellStyle name="Uwaga 2 21 40" xfId="38187"/>
    <cellStyle name="Uwaga 2 21 40 2" xfId="38188"/>
    <cellStyle name="Uwaga 2 21 40 3" xfId="38189"/>
    <cellStyle name="Uwaga 2 21 41" xfId="38190"/>
    <cellStyle name="Uwaga 2 21 41 2" xfId="38191"/>
    <cellStyle name="Uwaga 2 21 41 3" xfId="38192"/>
    <cellStyle name="Uwaga 2 21 42" xfId="38193"/>
    <cellStyle name="Uwaga 2 21 42 2" xfId="38194"/>
    <cellStyle name="Uwaga 2 21 42 3" xfId="38195"/>
    <cellStyle name="Uwaga 2 21 43" xfId="38196"/>
    <cellStyle name="Uwaga 2 21 43 2" xfId="38197"/>
    <cellStyle name="Uwaga 2 21 43 3" xfId="38198"/>
    <cellStyle name="Uwaga 2 21 44" xfId="38199"/>
    <cellStyle name="Uwaga 2 21 44 2" xfId="38200"/>
    <cellStyle name="Uwaga 2 21 44 3" xfId="38201"/>
    <cellStyle name="Uwaga 2 21 45" xfId="38202"/>
    <cellStyle name="Uwaga 2 21 45 2" xfId="38203"/>
    <cellStyle name="Uwaga 2 21 45 3" xfId="38204"/>
    <cellStyle name="Uwaga 2 21 46" xfId="38205"/>
    <cellStyle name="Uwaga 2 21 46 2" xfId="38206"/>
    <cellStyle name="Uwaga 2 21 46 3" xfId="38207"/>
    <cellStyle name="Uwaga 2 21 47" xfId="38208"/>
    <cellStyle name="Uwaga 2 21 47 2" xfId="38209"/>
    <cellStyle name="Uwaga 2 21 47 3" xfId="38210"/>
    <cellStyle name="Uwaga 2 21 48" xfId="38211"/>
    <cellStyle name="Uwaga 2 21 48 2" xfId="38212"/>
    <cellStyle name="Uwaga 2 21 48 3" xfId="38213"/>
    <cellStyle name="Uwaga 2 21 49" xfId="38214"/>
    <cellStyle name="Uwaga 2 21 49 2" xfId="38215"/>
    <cellStyle name="Uwaga 2 21 49 3" xfId="38216"/>
    <cellStyle name="Uwaga 2 21 5" xfId="38217"/>
    <cellStyle name="Uwaga 2 21 5 2" xfId="38218"/>
    <cellStyle name="Uwaga 2 21 5 3" xfId="38219"/>
    <cellStyle name="Uwaga 2 21 5 4" xfId="38220"/>
    <cellStyle name="Uwaga 2 21 50" xfId="38221"/>
    <cellStyle name="Uwaga 2 21 50 2" xfId="38222"/>
    <cellStyle name="Uwaga 2 21 50 3" xfId="38223"/>
    <cellStyle name="Uwaga 2 21 51" xfId="38224"/>
    <cellStyle name="Uwaga 2 21 51 2" xfId="38225"/>
    <cellStyle name="Uwaga 2 21 51 3" xfId="38226"/>
    <cellStyle name="Uwaga 2 21 52" xfId="38227"/>
    <cellStyle name="Uwaga 2 21 52 2" xfId="38228"/>
    <cellStyle name="Uwaga 2 21 52 3" xfId="38229"/>
    <cellStyle name="Uwaga 2 21 53" xfId="38230"/>
    <cellStyle name="Uwaga 2 21 53 2" xfId="38231"/>
    <cellStyle name="Uwaga 2 21 53 3" xfId="38232"/>
    <cellStyle name="Uwaga 2 21 54" xfId="38233"/>
    <cellStyle name="Uwaga 2 21 54 2" xfId="38234"/>
    <cellStyle name="Uwaga 2 21 54 3" xfId="38235"/>
    <cellStyle name="Uwaga 2 21 55" xfId="38236"/>
    <cellStyle name="Uwaga 2 21 55 2" xfId="38237"/>
    <cellStyle name="Uwaga 2 21 55 3" xfId="38238"/>
    <cellStyle name="Uwaga 2 21 56" xfId="38239"/>
    <cellStyle name="Uwaga 2 21 56 2" xfId="38240"/>
    <cellStyle name="Uwaga 2 21 56 3" xfId="38241"/>
    <cellStyle name="Uwaga 2 21 57" xfId="38242"/>
    <cellStyle name="Uwaga 2 21 58" xfId="38243"/>
    <cellStyle name="Uwaga 2 21 6" xfId="38244"/>
    <cellStyle name="Uwaga 2 21 6 2" xfId="38245"/>
    <cellStyle name="Uwaga 2 21 6 3" xfId="38246"/>
    <cellStyle name="Uwaga 2 21 6 4" xfId="38247"/>
    <cellStyle name="Uwaga 2 21 7" xfId="38248"/>
    <cellStyle name="Uwaga 2 21 7 2" xfId="38249"/>
    <cellStyle name="Uwaga 2 21 7 3" xfId="38250"/>
    <cellStyle name="Uwaga 2 21 7 4" xfId="38251"/>
    <cellStyle name="Uwaga 2 21 8" xfId="38252"/>
    <cellStyle name="Uwaga 2 21 8 2" xfId="38253"/>
    <cellStyle name="Uwaga 2 21 8 3" xfId="38254"/>
    <cellStyle name="Uwaga 2 21 8 4" xfId="38255"/>
    <cellStyle name="Uwaga 2 21 9" xfId="38256"/>
    <cellStyle name="Uwaga 2 21 9 2" xfId="38257"/>
    <cellStyle name="Uwaga 2 21 9 3" xfId="38258"/>
    <cellStyle name="Uwaga 2 21 9 4" xfId="38259"/>
    <cellStyle name="Uwaga 2 22" xfId="38260"/>
    <cellStyle name="Uwaga 2 22 10" xfId="38261"/>
    <cellStyle name="Uwaga 2 22 10 2" xfId="38262"/>
    <cellStyle name="Uwaga 2 22 10 3" xfId="38263"/>
    <cellStyle name="Uwaga 2 22 10 4" xfId="38264"/>
    <cellStyle name="Uwaga 2 22 11" xfId="38265"/>
    <cellStyle name="Uwaga 2 22 11 2" xfId="38266"/>
    <cellStyle name="Uwaga 2 22 11 3" xfId="38267"/>
    <cellStyle name="Uwaga 2 22 11 4" xfId="38268"/>
    <cellStyle name="Uwaga 2 22 12" xfId="38269"/>
    <cellStyle name="Uwaga 2 22 12 2" xfId="38270"/>
    <cellStyle name="Uwaga 2 22 12 3" xfId="38271"/>
    <cellStyle name="Uwaga 2 22 12 4" xfId="38272"/>
    <cellStyle name="Uwaga 2 22 13" xfId="38273"/>
    <cellStyle name="Uwaga 2 22 13 2" xfId="38274"/>
    <cellStyle name="Uwaga 2 22 13 3" xfId="38275"/>
    <cellStyle name="Uwaga 2 22 13 4" xfId="38276"/>
    <cellStyle name="Uwaga 2 22 14" xfId="38277"/>
    <cellStyle name="Uwaga 2 22 14 2" xfId="38278"/>
    <cellStyle name="Uwaga 2 22 14 3" xfId="38279"/>
    <cellStyle name="Uwaga 2 22 14 4" xfId="38280"/>
    <cellStyle name="Uwaga 2 22 15" xfId="38281"/>
    <cellStyle name="Uwaga 2 22 15 2" xfId="38282"/>
    <cellStyle name="Uwaga 2 22 15 3" xfId="38283"/>
    <cellStyle name="Uwaga 2 22 15 4" xfId="38284"/>
    <cellStyle name="Uwaga 2 22 16" xfId="38285"/>
    <cellStyle name="Uwaga 2 22 16 2" xfId="38286"/>
    <cellStyle name="Uwaga 2 22 16 3" xfId="38287"/>
    <cellStyle name="Uwaga 2 22 16 4" xfId="38288"/>
    <cellStyle name="Uwaga 2 22 17" xfId="38289"/>
    <cellStyle name="Uwaga 2 22 17 2" xfId="38290"/>
    <cellStyle name="Uwaga 2 22 17 3" xfId="38291"/>
    <cellStyle name="Uwaga 2 22 17 4" xfId="38292"/>
    <cellStyle name="Uwaga 2 22 18" xfId="38293"/>
    <cellStyle name="Uwaga 2 22 18 2" xfId="38294"/>
    <cellStyle name="Uwaga 2 22 18 3" xfId="38295"/>
    <cellStyle name="Uwaga 2 22 18 4" xfId="38296"/>
    <cellStyle name="Uwaga 2 22 19" xfId="38297"/>
    <cellStyle name="Uwaga 2 22 19 2" xfId="38298"/>
    <cellStyle name="Uwaga 2 22 19 3" xfId="38299"/>
    <cellStyle name="Uwaga 2 22 19 4" xfId="38300"/>
    <cellStyle name="Uwaga 2 22 2" xfId="38301"/>
    <cellStyle name="Uwaga 2 22 2 2" xfId="38302"/>
    <cellStyle name="Uwaga 2 22 2 3" xfId="38303"/>
    <cellStyle name="Uwaga 2 22 2 4" xfId="38304"/>
    <cellStyle name="Uwaga 2 22 20" xfId="38305"/>
    <cellStyle name="Uwaga 2 22 20 2" xfId="38306"/>
    <cellStyle name="Uwaga 2 22 20 3" xfId="38307"/>
    <cellStyle name="Uwaga 2 22 20 4" xfId="38308"/>
    <cellStyle name="Uwaga 2 22 21" xfId="38309"/>
    <cellStyle name="Uwaga 2 22 21 2" xfId="38310"/>
    <cellStyle name="Uwaga 2 22 21 3" xfId="38311"/>
    <cellStyle name="Uwaga 2 22 22" xfId="38312"/>
    <cellStyle name="Uwaga 2 22 22 2" xfId="38313"/>
    <cellStyle name="Uwaga 2 22 22 3" xfId="38314"/>
    <cellStyle name="Uwaga 2 22 23" xfId="38315"/>
    <cellStyle name="Uwaga 2 22 23 2" xfId="38316"/>
    <cellStyle name="Uwaga 2 22 23 3" xfId="38317"/>
    <cellStyle name="Uwaga 2 22 24" xfId="38318"/>
    <cellStyle name="Uwaga 2 22 24 2" xfId="38319"/>
    <cellStyle name="Uwaga 2 22 24 3" xfId="38320"/>
    <cellStyle name="Uwaga 2 22 25" xfId="38321"/>
    <cellStyle name="Uwaga 2 22 25 2" xfId="38322"/>
    <cellStyle name="Uwaga 2 22 25 3" xfId="38323"/>
    <cellStyle name="Uwaga 2 22 26" xfId="38324"/>
    <cellStyle name="Uwaga 2 22 26 2" xfId="38325"/>
    <cellStyle name="Uwaga 2 22 26 3" xfId="38326"/>
    <cellStyle name="Uwaga 2 22 27" xfId="38327"/>
    <cellStyle name="Uwaga 2 22 27 2" xfId="38328"/>
    <cellStyle name="Uwaga 2 22 27 3" xfId="38329"/>
    <cellStyle name="Uwaga 2 22 28" xfId="38330"/>
    <cellStyle name="Uwaga 2 22 28 2" xfId="38331"/>
    <cellStyle name="Uwaga 2 22 28 3" xfId="38332"/>
    <cellStyle name="Uwaga 2 22 29" xfId="38333"/>
    <cellStyle name="Uwaga 2 22 29 2" xfId="38334"/>
    <cellStyle name="Uwaga 2 22 29 3" xfId="38335"/>
    <cellStyle name="Uwaga 2 22 3" xfId="38336"/>
    <cellStyle name="Uwaga 2 22 3 2" xfId="38337"/>
    <cellStyle name="Uwaga 2 22 3 3" xfId="38338"/>
    <cellStyle name="Uwaga 2 22 3 4" xfId="38339"/>
    <cellStyle name="Uwaga 2 22 30" xfId="38340"/>
    <cellStyle name="Uwaga 2 22 30 2" xfId="38341"/>
    <cellStyle name="Uwaga 2 22 30 3" xfId="38342"/>
    <cellStyle name="Uwaga 2 22 31" xfId="38343"/>
    <cellStyle name="Uwaga 2 22 31 2" xfId="38344"/>
    <cellStyle name="Uwaga 2 22 31 3" xfId="38345"/>
    <cellStyle name="Uwaga 2 22 32" xfId="38346"/>
    <cellStyle name="Uwaga 2 22 32 2" xfId="38347"/>
    <cellStyle name="Uwaga 2 22 32 3" xfId="38348"/>
    <cellStyle name="Uwaga 2 22 33" xfId="38349"/>
    <cellStyle name="Uwaga 2 22 33 2" xfId="38350"/>
    <cellStyle name="Uwaga 2 22 33 3" xfId="38351"/>
    <cellStyle name="Uwaga 2 22 34" xfId="38352"/>
    <cellStyle name="Uwaga 2 22 34 2" xfId="38353"/>
    <cellStyle name="Uwaga 2 22 34 3" xfId="38354"/>
    <cellStyle name="Uwaga 2 22 35" xfId="38355"/>
    <cellStyle name="Uwaga 2 22 35 2" xfId="38356"/>
    <cellStyle name="Uwaga 2 22 35 3" xfId="38357"/>
    <cellStyle name="Uwaga 2 22 36" xfId="38358"/>
    <cellStyle name="Uwaga 2 22 36 2" xfId="38359"/>
    <cellStyle name="Uwaga 2 22 36 3" xfId="38360"/>
    <cellStyle name="Uwaga 2 22 37" xfId="38361"/>
    <cellStyle name="Uwaga 2 22 37 2" xfId="38362"/>
    <cellStyle name="Uwaga 2 22 37 3" xfId="38363"/>
    <cellStyle name="Uwaga 2 22 38" xfId="38364"/>
    <cellStyle name="Uwaga 2 22 38 2" xfId="38365"/>
    <cellStyle name="Uwaga 2 22 38 3" xfId="38366"/>
    <cellStyle name="Uwaga 2 22 39" xfId="38367"/>
    <cellStyle name="Uwaga 2 22 39 2" xfId="38368"/>
    <cellStyle name="Uwaga 2 22 39 3" xfId="38369"/>
    <cellStyle name="Uwaga 2 22 4" xfId="38370"/>
    <cellStyle name="Uwaga 2 22 4 2" xfId="38371"/>
    <cellStyle name="Uwaga 2 22 4 3" xfId="38372"/>
    <cellStyle name="Uwaga 2 22 4 4" xfId="38373"/>
    <cellStyle name="Uwaga 2 22 40" xfId="38374"/>
    <cellStyle name="Uwaga 2 22 40 2" xfId="38375"/>
    <cellStyle name="Uwaga 2 22 40 3" xfId="38376"/>
    <cellStyle name="Uwaga 2 22 41" xfId="38377"/>
    <cellStyle name="Uwaga 2 22 41 2" xfId="38378"/>
    <cellStyle name="Uwaga 2 22 41 3" xfId="38379"/>
    <cellStyle name="Uwaga 2 22 42" xfId="38380"/>
    <cellStyle name="Uwaga 2 22 42 2" xfId="38381"/>
    <cellStyle name="Uwaga 2 22 42 3" xfId="38382"/>
    <cellStyle name="Uwaga 2 22 43" xfId="38383"/>
    <cellStyle name="Uwaga 2 22 43 2" xfId="38384"/>
    <cellStyle name="Uwaga 2 22 43 3" xfId="38385"/>
    <cellStyle name="Uwaga 2 22 44" xfId="38386"/>
    <cellStyle name="Uwaga 2 22 44 2" xfId="38387"/>
    <cellStyle name="Uwaga 2 22 44 3" xfId="38388"/>
    <cellStyle name="Uwaga 2 22 45" xfId="38389"/>
    <cellStyle name="Uwaga 2 22 45 2" xfId="38390"/>
    <cellStyle name="Uwaga 2 22 45 3" xfId="38391"/>
    <cellStyle name="Uwaga 2 22 46" xfId="38392"/>
    <cellStyle name="Uwaga 2 22 46 2" xfId="38393"/>
    <cellStyle name="Uwaga 2 22 46 3" xfId="38394"/>
    <cellStyle name="Uwaga 2 22 47" xfId="38395"/>
    <cellStyle name="Uwaga 2 22 47 2" xfId="38396"/>
    <cellStyle name="Uwaga 2 22 47 3" xfId="38397"/>
    <cellStyle name="Uwaga 2 22 48" xfId="38398"/>
    <cellStyle name="Uwaga 2 22 48 2" xfId="38399"/>
    <cellStyle name="Uwaga 2 22 48 3" xfId="38400"/>
    <cellStyle name="Uwaga 2 22 49" xfId="38401"/>
    <cellStyle name="Uwaga 2 22 49 2" xfId="38402"/>
    <cellStyle name="Uwaga 2 22 49 3" xfId="38403"/>
    <cellStyle name="Uwaga 2 22 5" xfId="38404"/>
    <cellStyle name="Uwaga 2 22 5 2" xfId="38405"/>
    <cellStyle name="Uwaga 2 22 5 3" xfId="38406"/>
    <cellStyle name="Uwaga 2 22 5 4" xfId="38407"/>
    <cellStyle name="Uwaga 2 22 50" xfId="38408"/>
    <cellStyle name="Uwaga 2 22 50 2" xfId="38409"/>
    <cellStyle name="Uwaga 2 22 50 3" xfId="38410"/>
    <cellStyle name="Uwaga 2 22 51" xfId="38411"/>
    <cellStyle name="Uwaga 2 22 51 2" xfId="38412"/>
    <cellStyle name="Uwaga 2 22 51 3" xfId="38413"/>
    <cellStyle name="Uwaga 2 22 52" xfId="38414"/>
    <cellStyle name="Uwaga 2 22 52 2" xfId="38415"/>
    <cellStyle name="Uwaga 2 22 52 3" xfId="38416"/>
    <cellStyle name="Uwaga 2 22 53" xfId="38417"/>
    <cellStyle name="Uwaga 2 22 53 2" xfId="38418"/>
    <cellStyle name="Uwaga 2 22 53 3" xfId="38419"/>
    <cellStyle name="Uwaga 2 22 54" xfId="38420"/>
    <cellStyle name="Uwaga 2 22 54 2" xfId="38421"/>
    <cellStyle name="Uwaga 2 22 54 3" xfId="38422"/>
    <cellStyle name="Uwaga 2 22 55" xfId="38423"/>
    <cellStyle name="Uwaga 2 22 55 2" xfId="38424"/>
    <cellStyle name="Uwaga 2 22 55 3" xfId="38425"/>
    <cellStyle name="Uwaga 2 22 56" xfId="38426"/>
    <cellStyle name="Uwaga 2 22 56 2" xfId="38427"/>
    <cellStyle name="Uwaga 2 22 56 3" xfId="38428"/>
    <cellStyle name="Uwaga 2 22 57" xfId="38429"/>
    <cellStyle name="Uwaga 2 22 58" xfId="38430"/>
    <cellStyle name="Uwaga 2 22 6" xfId="38431"/>
    <cellStyle name="Uwaga 2 22 6 2" xfId="38432"/>
    <cellStyle name="Uwaga 2 22 6 3" xfId="38433"/>
    <cellStyle name="Uwaga 2 22 6 4" xfId="38434"/>
    <cellStyle name="Uwaga 2 22 7" xfId="38435"/>
    <cellStyle name="Uwaga 2 22 7 2" xfId="38436"/>
    <cellStyle name="Uwaga 2 22 7 3" xfId="38437"/>
    <cellStyle name="Uwaga 2 22 7 4" xfId="38438"/>
    <cellStyle name="Uwaga 2 22 8" xfId="38439"/>
    <cellStyle name="Uwaga 2 22 8 2" xfId="38440"/>
    <cellStyle name="Uwaga 2 22 8 3" xfId="38441"/>
    <cellStyle name="Uwaga 2 22 8 4" xfId="38442"/>
    <cellStyle name="Uwaga 2 22 9" xfId="38443"/>
    <cellStyle name="Uwaga 2 22 9 2" xfId="38444"/>
    <cellStyle name="Uwaga 2 22 9 3" xfId="38445"/>
    <cellStyle name="Uwaga 2 22 9 4" xfId="38446"/>
    <cellStyle name="Uwaga 2 23" xfId="38447"/>
    <cellStyle name="Uwaga 2 23 10" xfId="38448"/>
    <cellStyle name="Uwaga 2 23 10 2" xfId="38449"/>
    <cellStyle name="Uwaga 2 23 10 3" xfId="38450"/>
    <cellStyle name="Uwaga 2 23 10 4" xfId="38451"/>
    <cellStyle name="Uwaga 2 23 11" xfId="38452"/>
    <cellStyle name="Uwaga 2 23 11 2" xfId="38453"/>
    <cellStyle name="Uwaga 2 23 11 3" xfId="38454"/>
    <cellStyle name="Uwaga 2 23 11 4" xfId="38455"/>
    <cellStyle name="Uwaga 2 23 12" xfId="38456"/>
    <cellStyle name="Uwaga 2 23 12 2" xfId="38457"/>
    <cellStyle name="Uwaga 2 23 12 3" xfId="38458"/>
    <cellStyle name="Uwaga 2 23 12 4" xfId="38459"/>
    <cellStyle name="Uwaga 2 23 13" xfId="38460"/>
    <cellStyle name="Uwaga 2 23 13 2" xfId="38461"/>
    <cellStyle name="Uwaga 2 23 13 3" xfId="38462"/>
    <cellStyle name="Uwaga 2 23 13 4" xfId="38463"/>
    <cellStyle name="Uwaga 2 23 14" xfId="38464"/>
    <cellStyle name="Uwaga 2 23 14 2" xfId="38465"/>
    <cellStyle name="Uwaga 2 23 14 3" xfId="38466"/>
    <cellStyle name="Uwaga 2 23 14 4" xfId="38467"/>
    <cellStyle name="Uwaga 2 23 15" xfId="38468"/>
    <cellStyle name="Uwaga 2 23 15 2" xfId="38469"/>
    <cellStyle name="Uwaga 2 23 15 3" xfId="38470"/>
    <cellStyle name="Uwaga 2 23 15 4" xfId="38471"/>
    <cellStyle name="Uwaga 2 23 16" xfId="38472"/>
    <cellStyle name="Uwaga 2 23 16 2" xfId="38473"/>
    <cellStyle name="Uwaga 2 23 16 3" xfId="38474"/>
    <cellStyle name="Uwaga 2 23 16 4" xfId="38475"/>
    <cellStyle name="Uwaga 2 23 17" xfId="38476"/>
    <cellStyle name="Uwaga 2 23 17 2" xfId="38477"/>
    <cellStyle name="Uwaga 2 23 17 3" xfId="38478"/>
    <cellStyle name="Uwaga 2 23 17 4" xfId="38479"/>
    <cellStyle name="Uwaga 2 23 18" xfId="38480"/>
    <cellStyle name="Uwaga 2 23 18 2" xfId="38481"/>
    <cellStyle name="Uwaga 2 23 18 3" xfId="38482"/>
    <cellStyle name="Uwaga 2 23 18 4" xfId="38483"/>
    <cellStyle name="Uwaga 2 23 19" xfId="38484"/>
    <cellStyle name="Uwaga 2 23 19 2" xfId="38485"/>
    <cellStyle name="Uwaga 2 23 19 3" xfId="38486"/>
    <cellStyle name="Uwaga 2 23 19 4" xfId="38487"/>
    <cellStyle name="Uwaga 2 23 2" xfId="38488"/>
    <cellStyle name="Uwaga 2 23 2 2" xfId="38489"/>
    <cellStyle name="Uwaga 2 23 2 3" xfId="38490"/>
    <cellStyle name="Uwaga 2 23 2 4" xfId="38491"/>
    <cellStyle name="Uwaga 2 23 20" xfId="38492"/>
    <cellStyle name="Uwaga 2 23 20 2" xfId="38493"/>
    <cellStyle name="Uwaga 2 23 20 3" xfId="38494"/>
    <cellStyle name="Uwaga 2 23 20 4" xfId="38495"/>
    <cellStyle name="Uwaga 2 23 21" xfId="38496"/>
    <cellStyle name="Uwaga 2 23 21 2" xfId="38497"/>
    <cellStyle name="Uwaga 2 23 21 3" xfId="38498"/>
    <cellStyle name="Uwaga 2 23 22" xfId="38499"/>
    <cellStyle name="Uwaga 2 23 22 2" xfId="38500"/>
    <cellStyle name="Uwaga 2 23 22 3" xfId="38501"/>
    <cellStyle name="Uwaga 2 23 23" xfId="38502"/>
    <cellStyle name="Uwaga 2 23 23 2" xfId="38503"/>
    <cellStyle name="Uwaga 2 23 23 3" xfId="38504"/>
    <cellStyle name="Uwaga 2 23 24" xfId="38505"/>
    <cellStyle name="Uwaga 2 23 24 2" xfId="38506"/>
    <cellStyle name="Uwaga 2 23 24 3" xfId="38507"/>
    <cellStyle name="Uwaga 2 23 25" xfId="38508"/>
    <cellStyle name="Uwaga 2 23 25 2" xfId="38509"/>
    <cellStyle name="Uwaga 2 23 25 3" xfId="38510"/>
    <cellStyle name="Uwaga 2 23 26" xfId="38511"/>
    <cellStyle name="Uwaga 2 23 26 2" xfId="38512"/>
    <cellStyle name="Uwaga 2 23 26 3" xfId="38513"/>
    <cellStyle name="Uwaga 2 23 27" xfId="38514"/>
    <cellStyle name="Uwaga 2 23 27 2" xfId="38515"/>
    <cellStyle name="Uwaga 2 23 27 3" xfId="38516"/>
    <cellStyle name="Uwaga 2 23 28" xfId="38517"/>
    <cellStyle name="Uwaga 2 23 28 2" xfId="38518"/>
    <cellStyle name="Uwaga 2 23 28 3" xfId="38519"/>
    <cellStyle name="Uwaga 2 23 29" xfId="38520"/>
    <cellStyle name="Uwaga 2 23 29 2" xfId="38521"/>
    <cellStyle name="Uwaga 2 23 29 3" xfId="38522"/>
    <cellStyle name="Uwaga 2 23 3" xfId="38523"/>
    <cellStyle name="Uwaga 2 23 3 2" xfId="38524"/>
    <cellStyle name="Uwaga 2 23 3 3" xfId="38525"/>
    <cellStyle name="Uwaga 2 23 3 4" xfId="38526"/>
    <cellStyle name="Uwaga 2 23 30" xfId="38527"/>
    <cellStyle name="Uwaga 2 23 30 2" xfId="38528"/>
    <cellStyle name="Uwaga 2 23 30 3" xfId="38529"/>
    <cellStyle name="Uwaga 2 23 31" xfId="38530"/>
    <cellStyle name="Uwaga 2 23 31 2" xfId="38531"/>
    <cellStyle name="Uwaga 2 23 31 3" xfId="38532"/>
    <cellStyle name="Uwaga 2 23 32" xfId="38533"/>
    <cellStyle name="Uwaga 2 23 32 2" xfId="38534"/>
    <cellStyle name="Uwaga 2 23 32 3" xfId="38535"/>
    <cellStyle name="Uwaga 2 23 33" xfId="38536"/>
    <cellStyle name="Uwaga 2 23 33 2" xfId="38537"/>
    <cellStyle name="Uwaga 2 23 33 3" xfId="38538"/>
    <cellStyle name="Uwaga 2 23 34" xfId="38539"/>
    <cellStyle name="Uwaga 2 23 34 2" xfId="38540"/>
    <cellStyle name="Uwaga 2 23 34 3" xfId="38541"/>
    <cellStyle name="Uwaga 2 23 35" xfId="38542"/>
    <cellStyle name="Uwaga 2 23 35 2" xfId="38543"/>
    <cellStyle name="Uwaga 2 23 35 3" xfId="38544"/>
    <cellStyle name="Uwaga 2 23 36" xfId="38545"/>
    <cellStyle name="Uwaga 2 23 36 2" xfId="38546"/>
    <cellStyle name="Uwaga 2 23 36 3" xfId="38547"/>
    <cellStyle name="Uwaga 2 23 37" xfId="38548"/>
    <cellStyle name="Uwaga 2 23 37 2" xfId="38549"/>
    <cellStyle name="Uwaga 2 23 37 3" xfId="38550"/>
    <cellStyle name="Uwaga 2 23 38" xfId="38551"/>
    <cellStyle name="Uwaga 2 23 38 2" xfId="38552"/>
    <cellStyle name="Uwaga 2 23 38 3" xfId="38553"/>
    <cellStyle name="Uwaga 2 23 39" xfId="38554"/>
    <cellStyle name="Uwaga 2 23 39 2" xfId="38555"/>
    <cellStyle name="Uwaga 2 23 39 3" xfId="38556"/>
    <cellStyle name="Uwaga 2 23 4" xfId="38557"/>
    <cellStyle name="Uwaga 2 23 4 2" xfId="38558"/>
    <cellStyle name="Uwaga 2 23 4 3" xfId="38559"/>
    <cellStyle name="Uwaga 2 23 4 4" xfId="38560"/>
    <cellStyle name="Uwaga 2 23 40" xfId="38561"/>
    <cellStyle name="Uwaga 2 23 40 2" xfId="38562"/>
    <cellStyle name="Uwaga 2 23 40 3" xfId="38563"/>
    <cellStyle name="Uwaga 2 23 41" xfId="38564"/>
    <cellStyle name="Uwaga 2 23 41 2" xfId="38565"/>
    <cellStyle name="Uwaga 2 23 41 3" xfId="38566"/>
    <cellStyle name="Uwaga 2 23 42" xfId="38567"/>
    <cellStyle name="Uwaga 2 23 42 2" xfId="38568"/>
    <cellStyle name="Uwaga 2 23 42 3" xfId="38569"/>
    <cellStyle name="Uwaga 2 23 43" xfId="38570"/>
    <cellStyle name="Uwaga 2 23 43 2" xfId="38571"/>
    <cellStyle name="Uwaga 2 23 43 3" xfId="38572"/>
    <cellStyle name="Uwaga 2 23 44" xfId="38573"/>
    <cellStyle name="Uwaga 2 23 44 2" xfId="38574"/>
    <cellStyle name="Uwaga 2 23 44 3" xfId="38575"/>
    <cellStyle name="Uwaga 2 23 45" xfId="38576"/>
    <cellStyle name="Uwaga 2 23 45 2" xfId="38577"/>
    <cellStyle name="Uwaga 2 23 45 3" xfId="38578"/>
    <cellStyle name="Uwaga 2 23 46" xfId="38579"/>
    <cellStyle name="Uwaga 2 23 46 2" xfId="38580"/>
    <cellStyle name="Uwaga 2 23 46 3" xfId="38581"/>
    <cellStyle name="Uwaga 2 23 47" xfId="38582"/>
    <cellStyle name="Uwaga 2 23 47 2" xfId="38583"/>
    <cellStyle name="Uwaga 2 23 47 3" xfId="38584"/>
    <cellStyle name="Uwaga 2 23 48" xfId="38585"/>
    <cellStyle name="Uwaga 2 23 48 2" xfId="38586"/>
    <cellStyle name="Uwaga 2 23 48 3" xfId="38587"/>
    <cellStyle name="Uwaga 2 23 49" xfId="38588"/>
    <cellStyle name="Uwaga 2 23 49 2" xfId="38589"/>
    <cellStyle name="Uwaga 2 23 49 3" xfId="38590"/>
    <cellStyle name="Uwaga 2 23 5" xfId="38591"/>
    <cellStyle name="Uwaga 2 23 5 2" xfId="38592"/>
    <cellStyle name="Uwaga 2 23 5 3" xfId="38593"/>
    <cellStyle name="Uwaga 2 23 5 4" xfId="38594"/>
    <cellStyle name="Uwaga 2 23 50" xfId="38595"/>
    <cellStyle name="Uwaga 2 23 50 2" xfId="38596"/>
    <cellStyle name="Uwaga 2 23 50 3" xfId="38597"/>
    <cellStyle name="Uwaga 2 23 51" xfId="38598"/>
    <cellStyle name="Uwaga 2 23 51 2" xfId="38599"/>
    <cellStyle name="Uwaga 2 23 51 3" xfId="38600"/>
    <cellStyle name="Uwaga 2 23 52" xfId="38601"/>
    <cellStyle name="Uwaga 2 23 52 2" xfId="38602"/>
    <cellStyle name="Uwaga 2 23 52 3" xfId="38603"/>
    <cellStyle name="Uwaga 2 23 53" xfId="38604"/>
    <cellStyle name="Uwaga 2 23 53 2" xfId="38605"/>
    <cellStyle name="Uwaga 2 23 53 3" xfId="38606"/>
    <cellStyle name="Uwaga 2 23 54" xfId="38607"/>
    <cellStyle name="Uwaga 2 23 54 2" xfId="38608"/>
    <cellStyle name="Uwaga 2 23 54 3" xfId="38609"/>
    <cellStyle name="Uwaga 2 23 55" xfId="38610"/>
    <cellStyle name="Uwaga 2 23 55 2" xfId="38611"/>
    <cellStyle name="Uwaga 2 23 55 3" xfId="38612"/>
    <cellStyle name="Uwaga 2 23 56" xfId="38613"/>
    <cellStyle name="Uwaga 2 23 56 2" xfId="38614"/>
    <cellStyle name="Uwaga 2 23 56 3" xfId="38615"/>
    <cellStyle name="Uwaga 2 23 57" xfId="38616"/>
    <cellStyle name="Uwaga 2 23 58" xfId="38617"/>
    <cellStyle name="Uwaga 2 23 6" xfId="38618"/>
    <cellStyle name="Uwaga 2 23 6 2" xfId="38619"/>
    <cellStyle name="Uwaga 2 23 6 3" xfId="38620"/>
    <cellStyle name="Uwaga 2 23 6 4" xfId="38621"/>
    <cellStyle name="Uwaga 2 23 7" xfId="38622"/>
    <cellStyle name="Uwaga 2 23 7 2" xfId="38623"/>
    <cellStyle name="Uwaga 2 23 7 3" xfId="38624"/>
    <cellStyle name="Uwaga 2 23 7 4" xfId="38625"/>
    <cellStyle name="Uwaga 2 23 8" xfId="38626"/>
    <cellStyle name="Uwaga 2 23 8 2" xfId="38627"/>
    <cellStyle name="Uwaga 2 23 8 3" xfId="38628"/>
    <cellStyle name="Uwaga 2 23 8 4" xfId="38629"/>
    <cellStyle name="Uwaga 2 23 9" xfId="38630"/>
    <cellStyle name="Uwaga 2 23 9 2" xfId="38631"/>
    <cellStyle name="Uwaga 2 23 9 3" xfId="38632"/>
    <cellStyle name="Uwaga 2 23 9 4" xfId="38633"/>
    <cellStyle name="Uwaga 2 24" xfId="38634"/>
    <cellStyle name="Uwaga 2 24 10" xfId="38635"/>
    <cellStyle name="Uwaga 2 24 10 2" xfId="38636"/>
    <cellStyle name="Uwaga 2 24 10 3" xfId="38637"/>
    <cellStyle name="Uwaga 2 24 10 4" xfId="38638"/>
    <cellStyle name="Uwaga 2 24 11" xfId="38639"/>
    <cellStyle name="Uwaga 2 24 11 2" xfId="38640"/>
    <cellStyle name="Uwaga 2 24 11 3" xfId="38641"/>
    <cellStyle name="Uwaga 2 24 11 4" xfId="38642"/>
    <cellStyle name="Uwaga 2 24 12" xfId="38643"/>
    <cellStyle name="Uwaga 2 24 12 2" xfId="38644"/>
    <cellStyle name="Uwaga 2 24 12 3" xfId="38645"/>
    <cellStyle name="Uwaga 2 24 12 4" xfId="38646"/>
    <cellStyle name="Uwaga 2 24 13" xfId="38647"/>
    <cellStyle name="Uwaga 2 24 13 2" xfId="38648"/>
    <cellStyle name="Uwaga 2 24 13 3" xfId="38649"/>
    <cellStyle name="Uwaga 2 24 13 4" xfId="38650"/>
    <cellStyle name="Uwaga 2 24 14" xfId="38651"/>
    <cellStyle name="Uwaga 2 24 14 2" xfId="38652"/>
    <cellStyle name="Uwaga 2 24 14 3" xfId="38653"/>
    <cellStyle name="Uwaga 2 24 14 4" xfId="38654"/>
    <cellStyle name="Uwaga 2 24 15" xfId="38655"/>
    <cellStyle name="Uwaga 2 24 15 2" xfId="38656"/>
    <cellStyle name="Uwaga 2 24 15 3" xfId="38657"/>
    <cellStyle name="Uwaga 2 24 15 4" xfId="38658"/>
    <cellStyle name="Uwaga 2 24 16" xfId="38659"/>
    <cellStyle name="Uwaga 2 24 16 2" xfId="38660"/>
    <cellStyle name="Uwaga 2 24 16 3" xfId="38661"/>
    <cellStyle name="Uwaga 2 24 16 4" xfId="38662"/>
    <cellStyle name="Uwaga 2 24 17" xfId="38663"/>
    <cellStyle name="Uwaga 2 24 17 2" xfId="38664"/>
    <cellStyle name="Uwaga 2 24 17 3" xfId="38665"/>
    <cellStyle name="Uwaga 2 24 17 4" xfId="38666"/>
    <cellStyle name="Uwaga 2 24 18" xfId="38667"/>
    <cellStyle name="Uwaga 2 24 18 2" xfId="38668"/>
    <cellStyle name="Uwaga 2 24 18 3" xfId="38669"/>
    <cellStyle name="Uwaga 2 24 18 4" xfId="38670"/>
    <cellStyle name="Uwaga 2 24 19" xfId="38671"/>
    <cellStyle name="Uwaga 2 24 19 2" xfId="38672"/>
    <cellStyle name="Uwaga 2 24 19 3" xfId="38673"/>
    <cellStyle name="Uwaga 2 24 19 4" xfId="38674"/>
    <cellStyle name="Uwaga 2 24 2" xfId="38675"/>
    <cellStyle name="Uwaga 2 24 2 2" xfId="38676"/>
    <cellStyle name="Uwaga 2 24 2 3" xfId="38677"/>
    <cellStyle name="Uwaga 2 24 2 4" xfId="38678"/>
    <cellStyle name="Uwaga 2 24 20" xfId="38679"/>
    <cellStyle name="Uwaga 2 24 20 2" xfId="38680"/>
    <cellStyle name="Uwaga 2 24 20 3" xfId="38681"/>
    <cellStyle name="Uwaga 2 24 20 4" xfId="38682"/>
    <cellStyle name="Uwaga 2 24 21" xfId="38683"/>
    <cellStyle name="Uwaga 2 24 21 2" xfId="38684"/>
    <cellStyle name="Uwaga 2 24 21 3" xfId="38685"/>
    <cellStyle name="Uwaga 2 24 22" xfId="38686"/>
    <cellStyle name="Uwaga 2 24 22 2" xfId="38687"/>
    <cellStyle name="Uwaga 2 24 22 3" xfId="38688"/>
    <cellStyle name="Uwaga 2 24 23" xfId="38689"/>
    <cellStyle name="Uwaga 2 24 23 2" xfId="38690"/>
    <cellStyle name="Uwaga 2 24 23 3" xfId="38691"/>
    <cellStyle name="Uwaga 2 24 24" xfId="38692"/>
    <cellStyle name="Uwaga 2 24 24 2" xfId="38693"/>
    <cellStyle name="Uwaga 2 24 24 3" xfId="38694"/>
    <cellStyle name="Uwaga 2 24 25" xfId="38695"/>
    <cellStyle name="Uwaga 2 24 25 2" xfId="38696"/>
    <cellStyle name="Uwaga 2 24 25 3" xfId="38697"/>
    <cellStyle name="Uwaga 2 24 26" xfId="38698"/>
    <cellStyle name="Uwaga 2 24 26 2" xfId="38699"/>
    <cellStyle name="Uwaga 2 24 26 3" xfId="38700"/>
    <cellStyle name="Uwaga 2 24 27" xfId="38701"/>
    <cellStyle name="Uwaga 2 24 27 2" xfId="38702"/>
    <cellStyle name="Uwaga 2 24 27 3" xfId="38703"/>
    <cellStyle name="Uwaga 2 24 28" xfId="38704"/>
    <cellStyle name="Uwaga 2 24 28 2" xfId="38705"/>
    <cellStyle name="Uwaga 2 24 28 3" xfId="38706"/>
    <cellStyle name="Uwaga 2 24 29" xfId="38707"/>
    <cellStyle name="Uwaga 2 24 29 2" xfId="38708"/>
    <cellStyle name="Uwaga 2 24 29 3" xfId="38709"/>
    <cellStyle name="Uwaga 2 24 3" xfId="38710"/>
    <cellStyle name="Uwaga 2 24 3 2" xfId="38711"/>
    <cellStyle name="Uwaga 2 24 3 3" xfId="38712"/>
    <cellStyle name="Uwaga 2 24 3 4" xfId="38713"/>
    <cellStyle name="Uwaga 2 24 30" xfId="38714"/>
    <cellStyle name="Uwaga 2 24 30 2" xfId="38715"/>
    <cellStyle name="Uwaga 2 24 30 3" xfId="38716"/>
    <cellStyle name="Uwaga 2 24 31" xfId="38717"/>
    <cellStyle name="Uwaga 2 24 31 2" xfId="38718"/>
    <cellStyle name="Uwaga 2 24 31 3" xfId="38719"/>
    <cellStyle name="Uwaga 2 24 32" xfId="38720"/>
    <cellStyle name="Uwaga 2 24 32 2" xfId="38721"/>
    <cellStyle name="Uwaga 2 24 32 3" xfId="38722"/>
    <cellStyle name="Uwaga 2 24 33" xfId="38723"/>
    <cellStyle name="Uwaga 2 24 33 2" xfId="38724"/>
    <cellStyle name="Uwaga 2 24 33 3" xfId="38725"/>
    <cellStyle name="Uwaga 2 24 34" xfId="38726"/>
    <cellStyle name="Uwaga 2 24 34 2" xfId="38727"/>
    <cellStyle name="Uwaga 2 24 34 3" xfId="38728"/>
    <cellStyle name="Uwaga 2 24 35" xfId="38729"/>
    <cellStyle name="Uwaga 2 24 35 2" xfId="38730"/>
    <cellStyle name="Uwaga 2 24 35 3" xfId="38731"/>
    <cellStyle name="Uwaga 2 24 36" xfId="38732"/>
    <cellStyle name="Uwaga 2 24 36 2" xfId="38733"/>
    <cellStyle name="Uwaga 2 24 36 3" xfId="38734"/>
    <cellStyle name="Uwaga 2 24 37" xfId="38735"/>
    <cellStyle name="Uwaga 2 24 37 2" xfId="38736"/>
    <cellStyle name="Uwaga 2 24 37 3" xfId="38737"/>
    <cellStyle name="Uwaga 2 24 38" xfId="38738"/>
    <cellStyle name="Uwaga 2 24 38 2" xfId="38739"/>
    <cellStyle name="Uwaga 2 24 38 3" xfId="38740"/>
    <cellStyle name="Uwaga 2 24 39" xfId="38741"/>
    <cellStyle name="Uwaga 2 24 39 2" xfId="38742"/>
    <cellStyle name="Uwaga 2 24 39 3" xfId="38743"/>
    <cellStyle name="Uwaga 2 24 4" xfId="38744"/>
    <cellStyle name="Uwaga 2 24 4 2" xfId="38745"/>
    <cellStyle name="Uwaga 2 24 4 3" xfId="38746"/>
    <cellStyle name="Uwaga 2 24 4 4" xfId="38747"/>
    <cellStyle name="Uwaga 2 24 40" xfId="38748"/>
    <cellStyle name="Uwaga 2 24 40 2" xfId="38749"/>
    <cellStyle name="Uwaga 2 24 40 3" xfId="38750"/>
    <cellStyle name="Uwaga 2 24 41" xfId="38751"/>
    <cellStyle name="Uwaga 2 24 41 2" xfId="38752"/>
    <cellStyle name="Uwaga 2 24 41 3" xfId="38753"/>
    <cellStyle name="Uwaga 2 24 42" xfId="38754"/>
    <cellStyle name="Uwaga 2 24 42 2" xfId="38755"/>
    <cellStyle name="Uwaga 2 24 42 3" xfId="38756"/>
    <cellStyle name="Uwaga 2 24 43" xfId="38757"/>
    <cellStyle name="Uwaga 2 24 43 2" xfId="38758"/>
    <cellStyle name="Uwaga 2 24 43 3" xfId="38759"/>
    <cellStyle name="Uwaga 2 24 44" xfId="38760"/>
    <cellStyle name="Uwaga 2 24 44 2" xfId="38761"/>
    <cellStyle name="Uwaga 2 24 44 3" xfId="38762"/>
    <cellStyle name="Uwaga 2 24 45" xfId="38763"/>
    <cellStyle name="Uwaga 2 24 45 2" xfId="38764"/>
    <cellStyle name="Uwaga 2 24 45 3" xfId="38765"/>
    <cellStyle name="Uwaga 2 24 46" xfId="38766"/>
    <cellStyle name="Uwaga 2 24 46 2" xfId="38767"/>
    <cellStyle name="Uwaga 2 24 46 3" xfId="38768"/>
    <cellStyle name="Uwaga 2 24 47" xfId="38769"/>
    <cellStyle name="Uwaga 2 24 47 2" xfId="38770"/>
    <cellStyle name="Uwaga 2 24 47 3" xfId="38771"/>
    <cellStyle name="Uwaga 2 24 48" xfId="38772"/>
    <cellStyle name="Uwaga 2 24 48 2" xfId="38773"/>
    <cellStyle name="Uwaga 2 24 48 3" xfId="38774"/>
    <cellStyle name="Uwaga 2 24 49" xfId="38775"/>
    <cellStyle name="Uwaga 2 24 49 2" xfId="38776"/>
    <cellStyle name="Uwaga 2 24 49 3" xfId="38777"/>
    <cellStyle name="Uwaga 2 24 5" xfId="38778"/>
    <cellStyle name="Uwaga 2 24 5 2" xfId="38779"/>
    <cellStyle name="Uwaga 2 24 5 3" xfId="38780"/>
    <cellStyle name="Uwaga 2 24 5 4" xfId="38781"/>
    <cellStyle name="Uwaga 2 24 50" xfId="38782"/>
    <cellStyle name="Uwaga 2 24 50 2" xfId="38783"/>
    <cellStyle name="Uwaga 2 24 50 3" xfId="38784"/>
    <cellStyle name="Uwaga 2 24 51" xfId="38785"/>
    <cellStyle name="Uwaga 2 24 51 2" xfId="38786"/>
    <cellStyle name="Uwaga 2 24 51 3" xfId="38787"/>
    <cellStyle name="Uwaga 2 24 52" xfId="38788"/>
    <cellStyle name="Uwaga 2 24 52 2" xfId="38789"/>
    <cellStyle name="Uwaga 2 24 52 3" xfId="38790"/>
    <cellStyle name="Uwaga 2 24 53" xfId="38791"/>
    <cellStyle name="Uwaga 2 24 53 2" xfId="38792"/>
    <cellStyle name="Uwaga 2 24 53 3" xfId="38793"/>
    <cellStyle name="Uwaga 2 24 54" xfId="38794"/>
    <cellStyle name="Uwaga 2 24 54 2" xfId="38795"/>
    <cellStyle name="Uwaga 2 24 54 3" xfId="38796"/>
    <cellStyle name="Uwaga 2 24 55" xfId="38797"/>
    <cellStyle name="Uwaga 2 24 55 2" xfId="38798"/>
    <cellStyle name="Uwaga 2 24 55 3" xfId="38799"/>
    <cellStyle name="Uwaga 2 24 56" xfId="38800"/>
    <cellStyle name="Uwaga 2 24 56 2" xfId="38801"/>
    <cellStyle name="Uwaga 2 24 56 3" xfId="38802"/>
    <cellStyle name="Uwaga 2 24 57" xfId="38803"/>
    <cellStyle name="Uwaga 2 24 58" xfId="38804"/>
    <cellStyle name="Uwaga 2 24 6" xfId="38805"/>
    <cellStyle name="Uwaga 2 24 6 2" xfId="38806"/>
    <cellStyle name="Uwaga 2 24 6 3" xfId="38807"/>
    <cellStyle name="Uwaga 2 24 6 4" xfId="38808"/>
    <cellStyle name="Uwaga 2 24 7" xfId="38809"/>
    <cellStyle name="Uwaga 2 24 7 2" xfId="38810"/>
    <cellStyle name="Uwaga 2 24 7 3" xfId="38811"/>
    <cellStyle name="Uwaga 2 24 7 4" xfId="38812"/>
    <cellStyle name="Uwaga 2 24 8" xfId="38813"/>
    <cellStyle name="Uwaga 2 24 8 2" xfId="38814"/>
    <cellStyle name="Uwaga 2 24 8 3" xfId="38815"/>
    <cellStyle name="Uwaga 2 24 8 4" xfId="38816"/>
    <cellStyle name="Uwaga 2 24 9" xfId="38817"/>
    <cellStyle name="Uwaga 2 24 9 2" xfId="38818"/>
    <cellStyle name="Uwaga 2 24 9 3" xfId="38819"/>
    <cellStyle name="Uwaga 2 24 9 4" xfId="38820"/>
    <cellStyle name="Uwaga 2 25" xfId="38821"/>
    <cellStyle name="Uwaga 2 25 10" xfId="38822"/>
    <cellStyle name="Uwaga 2 25 10 2" xfId="38823"/>
    <cellStyle name="Uwaga 2 25 10 3" xfId="38824"/>
    <cellStyle name="Uwaga 2 25 10 4" xfId="38825"/>
    <cellStyle name="Uwaga 2 25 11" xfId="38826"/>
    <cellStyle name="Uwaga 2 25 11 2" xfId="38827"/>
    <cellStyle name="Uwaga 2 25 11 3" xfId="38828"/>
    <cellStyle name="Uwaga 2 25 11 4" xfId="38829"/>
    <cellStyle name="Uwaga 2 25 12" xfId="38830"/>
    <cellStyle name="Uwaga 2 25 12 2" xfId="38831"/>
    <cellStyle name="Uwaga 2 25 12 3" xfId="38832"/>
    <cellStyle name="Uwaga 2 25 12 4" xfId="38833"/>
    <cellStyle name="Uwaga 2 25 13" xfId="38834"/>
    <cellStyle name="Uwaga 2 25 13 2" xfId="38835"/>
    <cellStyle name="Uwaga 2 25 13 3" xfId="38836"/>
    <cellStyle name="Uwaga 2 25 13 4" xfId="38837"/>
    <cellStyle name="Uwaga 2 25 14" xfId="38838"/>
    <cellStyle name="Uwaga 2 25 14 2" xfId="38839"/>
    <cellStyle name="Uwaga 2 25 14 3" xfId="38840"/>
    <cellStyle name="Uwaga 2 25 14 4" xfId="38841"/>
    <cellStyle name="Uwaga 2 25 15" xfId="38842"/>
    <cellStyle name="Uwaga 2 25 15 2" xfId="38843"/>
    <cellStyle name="Uwaga 2 25 15 3" xfId="38844"/>
    <cellStyle name="Uwaga 2 25 15 4" xfId="38845"/>
    <cellStyle name="Uwaga 2 25 16" xfId="38846"/>
    <cellStyle name="Uwaga 2 25 16 2" xfId="38847"/>
    <cellStyle name="Uwaga 2 25 16 3" xfId="38848"/>
    <cellStyle name="Uwaga 2 25 16 4" xfId="38849"/>
    <cellStyle name="Uwaga 2 25 17" xfId="38850"/>
    <cellStyle name="Uwaga 2 25 17 2" xfId="38851"/>
    <cellStyle name="Uwaga 2 25 17 3" xfId="38852"/>
    <cellStyle name="Uwaga 2 25 17 4" xfId="38853"/>
    <cellStyle name="Uwaga 2 25 18" xfId="38854"/>
    <cellStyle name="Uwaga 2 25 18 2" xfId="38855"/>
    <cellStyle name="Uwaga 2 25 18 3" xfId="38856"/>
    <cellStyle name="Uwaga 2 25 18 4" xfId="38857"/>
    <cellStyle name="Uwaga 2 25 19" xfId="38858"/>
    <cellStyle name="Uwaga 2 25 19 2" xfId="38859"/>
    <cellStyle name="Uwaga 2 25 19 3" xfId="38860"/>
    <cellStyle name="Uwaga 2 25 19 4" xfId="38861"/>
    <cellStyle name="Uwaga 2 25 2" xfId="38862"/>
    <cellStyle name="Uwaga 2 25 2 2" xfId="38863"/>
    <cellStyle name="Uwaga 2 25 2 3" xfId="38864"/>
    <cellStyle name="Uwaga 2 25 2 4" xfId="38865"/>
    <cellStyle name="Uwaga 2 25 20" xfId="38866"/>
    <cellStyle name="Uwaga 2 25 20 2" xfId="38867"/>
    <cellStyle name="Uwaga 2 25 20 3" xfId="38868"/>
    <cellStyle name="Uwaga 2 25 20 4" xfId="38869"/>
    <cellStyle name="Uwaga 2 25 21" xfId="38870"/>
    <cellStyle name="Uwaga 2 25 21 2" xfId="38871"/>
    <cellStyle name="Uwaga 2 25 21 3" xfId="38872"/>
    <cellStyle name="Uwaga 2 25 22" xfId="38873"/>
    <cellStyle name="Uwaga 2 25 22 2" xfId="38874"/>
    <cellStyle name="Uwaga 2 25 22 3" xfId="38875"/>
    <cellStyle name="Uwaga 2 25 23" xfId="38876"/>
    <cellStyle name="Uwaga 2 25 23 2" xfId="38877"/>
    <cellStyle name="Uwaga 2 25 23 3" xfId="38878"/>
    <cellStyle name="Uwaga 2 25 24" xfId="38879"/>
    <cellStyle name="Uwaga 2 25 24 2" xfId="38880"/>
    <cellStyle name="Uwaga 2 25 24 3" xfId="38881"/>
    <cellStyle name="Uwaga 2 25 25" xfId="38882"/>
    <cellStyle name="Uwaga 2 25 25 2" xfId="38883"/>
    <cellStyle name="Uwaga 2 25 25 3" xfId="38884"/>
    <cellStyle name="Uwaga 2 25 26" xfId="38885"/>
    <cellStyle name="Uwaga 2 25 26 2" xfId="38886"/>
    <cellStyle name="Uwaga 2 25 26 3" xfId="38887"/>
    <cellStyle name="Uwaga 2 25 27" xfId="38888"/>
    <cellStyle name="Uwaga 2 25 27 2" xfId="38889"/>
    <cellStyle name="Uwaga 2 25 27 3" xfId="38890"/>
    <cellStyle name="Uwaga 2 25 28" xfId="38891"/>
    <cellStyle name="Uwaga 2 25 28 2" xfId="38892"/>
    <cellStyle name="Uwaga 2 25 28 3" xfId="38893"/>
    <cellStyle name="Uwaga 2 25 29" xfId="38894"/>
    <cellStyle name="Uwaga 2 25 29 2" xfId="38895"/>
    <cellStyle name="Uwaga 2 25 29 3" xfId="38896"/>
    <cellStyle name="Uwaga 2 25 3" xfId="38897"/>
    <cellStyle name="Uwaga 2 25 3 2" xfId="38898"/>
    <cellStyle name="Uwaga 2 25 3 3" xfId="38899"/>
    <cellStyle name="Uwaga 2 25 3 4" xfId="38900"/>
    <cellStyle name="Uwaga 2 25 30" xfId="38901"/>
    <cellStyle name="Uwaga 2 25 30 2" xfId="38902"/>
    <cellStyle name="Uwaga 2 25 30 3" xfId="38903"/>
    <cellStyle name="Uwaga 2 25 31" xfId="38904"/>
    <cellStyle name="Uwaga 2 25 31 2" xfId="38905"/>
    <cellStyle name="Uwaga 2 25 31 3" xfId="38906"/>
    <cellStyle name="Uwaga 2 25 32" xfId="38907"/>
    <cellStyle name="Uwaga 2 25 32 2" xfId="38908"/>
    <cellStyle name="Uwaga 2 25 32 3" xfId="38909"/>
    <cellStyle name="Uwaga 2 25 33" xfId="38910"/>
    <cellStyle name="Uwaga 2 25 33 2" xfId="38911"/>
    <cellStyle name="Uwaga 2 25 33 3" xfId="38912"/>
    <cellStyle name="Uwaga 2 25 34" xfId="38913"/>
    <cellStyle name="Uwaga 2 25 34 2" xfId="38914"/>
    <cellStyle name="Uwaga 2 25 34 3" xfId="38915"/>
    <cellStyle name="Uwaga 2 25 35" xfId="38916"/>
    <cellStyle name="Uwaga 2 25 35 2" xfId="38917"/>
    <cellStyle name="Uwaga 2 25 35 3" xfId="38918"/>
    <cellStyle name="Uwaga 2 25 36" xfId="38919"/>
    <cellStyle name="Uwaga 2 25 36 2" xfId="38920"/>
    <cellStyle name="Uwaga 2 25 36 3" xfId="38921"/>
    <cellStyle name="Uwaga 2 25 37" xfId="38922"/>
    <cellStyle name="Uwaga 2 25 37 2" xfId="38923"/>
    <cellStyle name="Uwaga 2 25 37 3" xfId="38924"/>
    <cellStyle name="Uwaga 2 25 38" xfId="38925"/>
    <cellStyle name="Uwaga 2 25 38 2" xfId="38926"/>
    <cellStyle name="Uwaga 2 25 38 3" xfId="38927"/>
    <cellStyle name="Uwaga 2 25 39" xfId="38928"/>
    <cellStyle name="Uwaga 2 25 39 2" xfId="38929"/>
    <cellStyle name="Uwaga 2 25 39 3" xfId="38930"/>
    <cellStyle name="Uwaga 2 25 4" xfId="38931"/>
    <cellStyle name="Uwaga 2 25 4 2" xfId="38932"/>
    <cellStyle name="Uwaga 2 25 4 3" xfId="38933"/>
    <cellStyle name="Uwaga 2 25 4 4" xfId="38934"/>
    <cellStyle name="Uwaga 2 25 40" xfId="38935"/>
    <cellStyle name="Uwaga 2 25 40 2" xfId="38936"/>
    <cellStyle name="Uwaga 2 25 40 3" xfId="38937"/>
    <cellStyle name="Uwaga 2 25 41" xfId="38938"/>
    <cellStyle name="Uwaga 2 25 41 2" xfId="38939"/>
    <cellStyle name="Uwaga 2 25 41 3" xfId="38940"/>
    <cellStyle name="Uwaga 2 25 42" xfId="38941"/>
    <cellStyle name="Uwaga 2 25 42 2" xfId="38942"/>
    <cellStyle name="Uwaga 2 25 42 3" xfId="38943"/>
    <cellStyle name="Uwaga 2 25 43" xfId="38944"/>
    <cellStyle name="Uwaga 2 25 43 2" xfId="38945"/>
    <cellStyle name="Uwaga 2 25 43 3" xfId="38946"/>
    <cellStyle name="Uwaga 2 25 44" xfId="38947"/>
    <cellStyle name="Uwaga 2 25 44 2" xfId="38948"/>
    <cellStyle name="Uwaga 2 25 44 3" xfId="38949"/>
    <cellStyle name="Uwaga 2 25 45" xfId="38950"/>
    <cellStyle name="Uwaga 2 25 45 2" xfId="38951"/>
    <cellStyle name="Uwaga 2 25 45 3" xfId="38952"/>
    <cellStyle name="Uwaga 2 25 46" xfId="38953"/>
    <cellStyle name="Uwaga 2 25 46 2" xfId="38954"/>
    <cellStyle name="Uwaga 2 25 46 3" xfId="38955"/>
    <cellStyle name="Uwaga 2 25 47" xfId="38956"/>
    <cellStyle name="Uwaga 2 25 47 2" xfId="38957"/>
    <cellStyle name="Uwaga 2 25 47 3" xfId="38958"/>
    <cellStyle name="Uwaga 2 25 48" xfId="38959"/>
    <cellStyle name="Uwaga 2 25 48 2" xfId="38960"/>
    <cellStyle name="Uwaga 2 25 48 3" xfId="38961"/>
    <cellStyle name="Uwaga 2 25 49" xfId="38962"/>
    <cellStyle name="Uwaga 2 25 49 2" xfId="38963"/>
    <cellStyle name="Uwaga 2 25 49 3" xfId="38964"/>
    <cellStyle name="Uwaga 2 25 5" xfId="38965"/>
    <cellStyle name="Uwaga 2 25 5 2" xfId="38966"/>
    <cellStyle name="Uwaga 2 25 5 3" xfId="38967"/>
    <cellStyle name="Uwaga 2 25 5 4" xfId="38968"/>
    <cellStyle name="Uwaga 2 25 50" xfId="38969"/>
    <cellStyle name="Uwaga 2 25 50 2" xfId="38970"/>
    <cellStyle name="Uwaga 2 25 50 3" xfId="38971"/>
    <cellStyle name="Uwaga 2 25 51" xfId="38972"/>
    <cellStyle name="Uwaga 2 25 51 2" xfId="38973"/>
    <cellStyle name="Uwaga 2 25 51 3" xfId="38974"/>
    <cellStyle name="Uwaga 2 25 52" xfId="38975"/>
    <cellStyle name="Uwaga 2 25 52 2" xfId="38976"/>
    <cellStyle name="Uwaga 2 25 52 3" xfId="38977"/>
    <cellStyle name="Uwaga 2 25 53" xfId="38978"/>
    <cellStyle name="Uwaga 2 25 53 2" xfId="38979"/>
    <cellStyle name="Uwaga 2 25 53 3" xfId="38980"/>
    <cellStyle name="Uwaga 2 25 54" xfId="38981"/>
    <cellStyle name="Uwaga 2 25 54 2" xfId="38982"/>
    <cellStyle name="Uwaga 2 25 54 3" xfId="38983"/>
    <cellStyle name="Uwaga 2 25 55" xfId="38984"/>
    <cellStyle name="Uwaga 2 25 55 2" xfId="38985"/>
    <cellStyle name="Uwaga 2 25 55 3" xfId="38986"/>
    <cellStyle name="Uwaga 2 25 56" xfId="38987"/>
    <cellStyle name="Uwaga 2 25 56 2" xfId="38988"/>
    <cellStyle name="Uwaga 2 25 56 3" xfId="38989"/>
    <cellStyle name="Uwaga 2 25 57" xfId="38990"/>
    <cellStyle name="Uwaga 2 25 58" xfId="38991"/>
    <cellStyle name="Uwaga 2 25 6" xfId="38992"/>
    <cellStyle name="Uwaga 2 25 6 2" xfId="38993"/>
    <cellStyle name="Uwaga 2 25 6 3" xfId="38994"/>
    <cellStyle name="Uwaga 2 25 6 4" xfId="38995"/>
    <cellStyle name="Uwaga 2 25 7" xfId="38996"/>
    <cellStyle name="Uwaga 2 25 7 2" xfId="38997"/>
    <cellStyle name="Uwaga 2 25 7 3" xfId="38998"/>
    <cellStyle name="Uwaga 2 25 7 4" xfId="38999"/>
    <cellStyle name="Uwaga 2 25 8" xfId="39000"/>
    <cellStyle name="Uwaga 2 25 8 2" xfId="39001"/>
    <cellStyle name="Uwaga 2 25 8 3" xfId="39002"/>
    <cellStyle name="Uwaga 2 25 8 4" xfId="39003"/>
    <cellStyle name="Uwaga 2 25 9" xfId="39004"/>
    <cellStyle name="Uwaga 2 25 9 2" xfId="39005"/>
    <cellStyle name="Uwaga 2 25 9 3" xfId="39006"/>
    <cellStyle name="Uwaga 2 25 9 4" xfId="39007"/>
    <cellStyle name="Uwaga 2 26" xfId="39008"/>
    <cellStyle name="Uwaga 2 26 10" xfId="39009"/>
    <cellStyle name="Uwaga 2 26 10 2" xfId="39010"/>
    <cellStyle name="Uwaga 2 26 10 3" xfId="39011"/>
    <cellStyle name="Uwaga 2 26 10 4" xfId="39012"/>
    <cellStyle name="Uwaga 2 26 11" xfId="39013"/>
    <cellStyle name="Uwaga 2 26 11 2" xfId="39014"/>
    <cellStyle name="Uwaga 2 26 11 3" xfId="39015"/>
    <cellStyle name="Uwaga 2 26 11 4" xfId="39016"/>
    <cellStyle name="Uwaga 2 26 12" xfId="39017"/>
    <cellStyle name="Uwaga 2 26 12 2" xfId="39018"/>
    <cellStyle name="Uwaga 2 26 12 3" xfId="39019"/>
    <cellStyle name="Uwaga 2 26 12 4" xfId="39020"/>
    <cellStyle name="Uwaga 2 26 13" xfId="39021"/>
    <cellStyle name="Uwaga 2 26 13 2" xfId="39022"/>
    <cellStyle name="Uwaga 2 26 13 3" xfId="39023"/>
    <cellStyle name="Uwaga 2 26 13 4" xfId="39024"/>
    <cellStyle name="Uwaga 2 26 14" xfId="39025"/>
    <cellStyle name="Uwaga 2 26 14 2" xfId="39026"/>
    <cellStyle name="Uwaga 2 26 14 3" xfId="39027"/>
    <cellStyle name="Uwaga 2 26 14 4" xfId="39028"/>
    <cellStyle name="Uwaga 2 26 15" xfId="39029"/>
    <cellStyle name="Uwaga 2 26 15 2" xfId="39030"/>
    <cellStyle name="Uwaga 2 26 15 3" xfId="39031"/>
    <cellStyle name="Uwaga 2 26 15 4" xfId="39032"/>
    <cellStyle name="Uwaga 2 26 16" xfId="39033"/>
    <cellStyle name="Uwaga 2 26 16 2" xfId="39034"/>
    <cellStyle name="Uwaga 2 26 16 3" xfId="39035"/>
    <cellStyle name="Uwaga 2 26 16 4" xfId="39036"/>
    <cellStyle name="Uwaga 2 26 17" xfId="39037"/>
    <cellStyle name="Uwaga 2 26 17 2" xfId="39038"/>
    <cellStyle name="Uwaga 2 26 17 3" xfId="39039"/>
    <cellStyle name="Uwaga 2 26 17 4" xfId="39040"/>
    <cellStyle name="Uwaga 2 26 18" xfId="39041"/>
    <cellStyle name="Uwaga 2 26 18 2" xfId="39042"/>
    <cellStyle name="Uwaga 2 26 18 3" xfId="39043"/>
    <cellStyle name="Uwaga 2 26 18 4" xfId="39044"/>
    <cellStyle name="Uwaga 2 26 19" xfId="39045"/>
    <cellStyle name="Uwaga 2 26 19 2" xfId="39046"/>
    <cellStyle name="Uwaga 2 26 19 3" xfId="39047"/>
    <cellStyle name="Uwaga 2 26 19 4" xfId="39048"/>
    <cellStyle name="Uwaga 2 26 2" xfId="39049"/>
    <cellStyle name="Uwaga 2 26 2 2" xfId="39050"/>
    <cellStyle name="Uwaga 2 26 2 3" xfId="39051"/>
    <cellStyle name="Uwaga 2 26 2 4" xfId="39052"/>
    <cellStyle name="Uwaga 2 26 20" xfId="39053"/>
    <cellStyle name="Uwaga 2 26 20 2" xfId="39054"/>
    <cellStyle name="Uwaga 2 26 20 3" xfId="39055"/>
    <cellStyle name="Uwaga 2 26 20 4" xfId="39056"/>
    <cellStyle name="Uwaga 2 26 21" xfId="39057"/>
    <cellStyle name="Uwaga 2 26 21 2" xfId="39058"/>
    <cellStyle name="Uwaga 2 26 21 3" xfId="39059"/>
    <cellStyle name="Uwaga 2 26 22" xfId="39060"/>
    <cellStyle name="Uwaga 2 26 22 2" xfId="39061"/>
    <cellStyle name="Uwaga 2 26 22 3" xfId="39062"/>
    <cellStyle name="Uwaga 2 26 23" xfId="39063"/>
    <cellStyle name="Uwaga 2 26 23 2" xfId="39064"/>
    <cellStyle name="Uwaga 2 26 23 3" xfId="39065"/>
    <cellStyle name="Uwaga 2 26 24" xfId="39066"/>
    <cellStyle name="Uwaga 2 26 24 2" xfId="39067"/>
    <cellStyle name="Uwaga 2 26 24 3" xfId="39068"/>
    <cellStyle name="Uwaga 2 26 25" xfId="39069"/>
    <cellStyle name="Uwaga 2 26 25 2" xfId="39070"/>
    <cellStyle name="Uwaga 2 26 25 3" xfId="39071"/>
    <cellStyle name="Uwaga 2 26 26" xfId="39072"/>
    <cellStyle name="Uwaga 2 26 26 2" xfId="39073"/>
    <cellStyle name="Uwaga 2 26 26 3" xfId="39074"/>
    <cellStyle name="Uwaga 2 26 27" xfId="39075"/>
    <cellStyle name="Uwaga 2 26 27 2" xfId="39076"/>
    <cellStyle name="Uwaga 2 26 27 3" xfId="39077"/>
    <cellStyle name="Uwaga 2 26 28" xfId="39078"/>
    <cellStyle name="Uwaga 2 26 28 2" xfId="39079"/>
    <cellStyle name="Uwaga 2 26 28 3" xfId="39080"/>
    <cellStyle name="Uwaga 2 26 29" xfId="39081"/>
    <cellStyle name="Uwaga 2 26 29 2" xfId="39082"/>
    <cellStyle name="Uwaga 2 26 29 3" xfId="39083"/>
    <cellStyle name="Uwaga 2 26 3" xfId="39084"/>
    <cellStyle name="Uwaga 2 26 3 2" xfId="39085"/>
    <cellStyle name="Uwaga 2 26 3 3" xfId="39086"/>
    <cellStyle name="Uwaga 2 26 3 4" xfId="39087"/>
    <cellStyle name="Uwaga 2 26 30" xfId="39088"/>
    <cellStyle name="Uwaga 2 26 30 2" xfId="39089"/>
    <cellStyle name="Uwaga 2 26 30 3" xfId="39090"/>
    <cellStyle name="Uwaga 2 26 31" xfId="39091"/>
    <cellStyle name="Uwaga 2 26 31 2" xfId="39092"/>
    <cellStyle name="Uwaga 2 26 31 3" xfId="39093"/>
    <cellStyle name="Uwaga 2 26 32" xfId="39094"/>
    <cellStyle name="Uwaga 2 26 32 2" xfId="39095"/>
    <cellStyle name="Uwaga 2 26 32 3" xfId="39096"/>
    <cellStyle name="Uwaga 2 26 33" xfId="39097"/>
    <cellStyle name="Uwaga 2 26 33 2" xfId="39098"/>
    <cellStyle name="Uwaga 2 26 33 3" xfId="39099"/>
    <cellStyle name="Uwaga 2 26 34" xfId="39100"/>
    <cellStyle name="Uwaga 2 26 34 2" xfId="39101"/>
    <cellStyle name="Uwaga 2 26 34 3" xfId="39102"/>
    <cellStyle name="Uwaga 2 26 35" xfId="39103"/>
    <cellStyle name="Uwaga 2 26 35 2" xfId="39104"/>
    <cellStyle name="Uwaga 2 26 35 3" xfId="39105"/>
    <cellStyle name="Uwaga 2 26 36" xfId="39106"/>
    <cellStyle name="Uwaga 2 26 36 2" xfId="39107"/>
    <cellStyle name="Uwaga 2 26 36 3" xfId="39108"/>
    <cellStyle name="Uwaga 2 26 37" xfId="39109"/>
    <cellStyle name="Uwaga 2 26 37 2" xfId="39110"/>
    <cellStyle name="Uwaga 2 26 37 3" xfId="39111"/>
    <cellStyle name="Uwaga 2 26 38" xfId="39112"/>
    <cellStyle name="Uwaga 2 26 38 2" xfId="39113"/>
    <cellStyle name="Uwaga 2 26 38 3" xfId="39114"/>
    <cellStyle name="Uwaga 2 26 39" xfId="39115"/>
    <cellStyle name="Uwaga 2 26 39 2" xfId="39116"/>
    <cellStyle name="Uwaga 2 26 39 3" xfId="39117"/>
    <cellStyle name="Uwaga 2 26 4" xfId="39118"/>
    <cellStyle name="Uwaga 2 26 4 2" xfId="39119"/>
    <cellStyle name="Uwaga 2 26 4 3" xfId="39120"/>
    <cellStyle name="Uwaga 2 26 4 4" xfId="39121"/>
    <cellStyle name="Uwaga 2 26 40" xfId="39122"/>
    <cellStyle name="Uwaga 2 26 40 2" xfId="39123"/>
    <cellStyle name="Uwaga 2 26 40 3" xfId="39124"/>
    <cellStyle name="Uwaga 2 26 41" xfId="39125"/>
    <cellStyle name="Uwaga 2 26 41 2" xfId="39126"/>
    <cellStyle name="Uwaga 2 26 41 3" xfId="39127"/>
    <cellStyle name="Uwaga 2 26 42" xfId="39128"/>
    <cellStyle name="Uwaga 2 26 42 2" xfId="39129"/>
    <cellStyle name="Uwaga 2 26 42 3" xfId="39130"/>
    <cellStyle name="Uwaga 2 26 43" xfId="39131"/>
    <cellStyle name="Uwaga 2 26 43 2" xfId="39132"/>
    <cellStyle name="Uwaga 2 26 43 3" xfId="39133"/>
    <cellStyle name="Uwaga 2 26 44" xfId="39134"/>
    <cellStyle name="Uwaga 2 26 44 2" xfId="39135"/>
    <cellStyle name="Uwaga 2 26 44 3" xfId="39136"/>
    <cellStyle name="Uwaga 2 26 45" xfId="39137"/>
    <cellStyle name="Uwaga 2 26 45 2" xfId="39138"/>
    <cellStyle name="Uwaga 2 26 45 3" xfId="39139"/>
    <cellStyle name="Uwaga 2 26 46" xfId="39140"/>
    <cellStyle name="Uwaga 2 26 46 2" xfId="39141"/>
    <cellStyle name="Uwaga 2 26 46 3" xfId="39142"/>
    <cellStyle name="Uwaga 2 26 47" xfId="39143"/>
    <cellStyle name="Uwaga 2 26 47 2" xfId="39144"/>
    <cellStyle name="Uwaga 2 26 47 3" xfId="39145"/>
    <cellStyle name="Uwaga 2 26 48" xfId="39146"/>
    <cellStyle name="Uwaga 2 26 48 2" xfId="39147"/>
    <cellStyle name="Uwaga 2 26 48 3" xfId="39148"/>
    <cellStyle name="Uwaga 2 26 49" xfId="39149"/>
    <cellStyle name="Uwaga 2 26 49 2" xfId="39150"/>
    <cellStyle name="Uwaga 2 26 49 3" xfId="39151"/>
    <cellStyle name="Uwaga 2 26 5" xfId="39152"/>
    <cellStyle name="Uwaga 2 26 5 2" xfId="39153"/>
    <cellStyle name="Uwaga 2 26 5 3" xfId="39154"/>
    <cellStyle name="Uwaga 2 26 5 4" xfId="39155"/>
    <cellStyle name="Uwaga 2 26 50" xfId="39156"/>
    <cellStyle name="Uwaga 2 26 50 2" xfId="39157"/>
    <cellStyle name="Uwaga 2 26 50 3" xfId="39158"/>
    <cellStyle name="Uwaga 2 26 51" xfId="39159"/>
    <cellStyle name="Uwaga 2 26 51 2" xfId="39160"/>
    <cellStyle name="Uwaga 2 26 51 3" xfId="39161"/>
    <cellStyle name="Uwaga 2 26 52" xfId="39162"/>
    <cellStyle name="Uwaga 2 26 52 2" xfId="39163"/>
    <cellStyle name="Uwaga 2 26 52 3" xfId="39164"/>
    <cellStyle name="Uwaga 2 26 53" xfId="39165"/>
    <cellStyle name="Uwaga 2 26 53 2" xfId="39166"/>
    <cellStyle name="Uwaga 2 26 53 3" xfId="39167"/>
    <cellStyle name="Uwaga 2 26 54" xfId="39168"/>
    <cellStyle name="Uwaga 2 26 54 2" xfId="39169"/>
    <cellStyle name="Uwaga 2 26 54 3" xfId="39170"/>
    <cellStyle name="Uwaga 2 26 55" xfId="39171"/>
    <cellStyle name="Uwaga 2 26 55 2" xfId="39172"/>
    <cellStyle name="Uwaga 2 26 55 3" xfId="39173"/>
    <cellStyle name="Uwaga 2 26 56" xfId="39174"/>
    <cellStyle name="Uwaga 2 26 56 2" xfId="39175"/>
    <cellStyle name="Uwaga 2 26 56 3" xfId="39176"/>
    <cellStyle name="Uwaga 2 26 57" xfId="39177"/>
    <cellStyle name="Uwaga 2 26 58" xfId="39178"/>
    <cellStyle name="Uwaga 2 26 6" xfId="39179"/>
    <cellStyle name="Uwaga 2 26 6 2" xfId="39180"/>
    <cellStyle name="Uwaga 2 26 6 3" xfId="39181"/>
    <cellStyle name="Uwaga 2 26 6 4" xfId="39182"/>
    <cellStyle name="Uwaga 2 26 7" xfId="39183"/>
    <cellStyle name="Uwaga 2 26 7 2" xfId="39184"/>
    <cellStyle name="Uwaga 2 26 7 3" xfId="39185"/>
    <cellStyle name="Uwaga 2 26 7 4" xfId="39186"/>
    <cellStyle name="Uwaga 2 26 8" xfId="39187"/>
    <cellStyle name="Uwaga 2 26 8 2" xfId="39188"/>
    <cellStyle name="Uwaga 2 26 8 3" xfId="39189"/>
    <cellStyle name="Uwaga 2 26 8 4" xfId="39190"/>
    <cellStyle name="Uwaga 2 26 9" xfId="39191"/>
    <cellStyle name="Uwaga 2 26 9 2" xfId="39192"/>
    <cellStyle name="Uwaga 2 26 9 3" xfId="39193"/>
    <cellStyle name="Uwaga 2 26 9 4" xfId="39194"/>
    <cellStyle name="Uwaga 2 27" xfId="39195"/>
    <cellStyle name="Uwaga 2 27 10" xfId="39196"/>
    <cellStyle name="Uwaga 2 27 10 2" xfId="39197"/>
    <cellStyle name="Uwaga 2 27 10 3" xfId="39198"/>
    <cellStyle name="Uwaga 2 27 10 4" xfId="39199"/>
    <cellStyle name="Uwaga 2 27 11" xfId="39200"/>
    <cellStyle name="Uwaga 2 27 11 2" xfId="39201"/>
    <cellStyle name="Uwaga 2 27 11 3" xfId="39202"/>
    <cellStyle name="Uwaga 2 27 11 4" xfId="39203"/>
    <cellStyle name="Uwaga 2 27 12" xfId="39204"/>
    <cellStyle name="Uwaga 2 27 12 2" xfId="39205"/>
    <cellStyle name="Uwaga 2 27 12 3" xfId="39206"/>
    <cellStyle name="Uwaga 2 27 12 4" xfId="39207"/>
    <cellStyle name="Uwaga 2 27 13" xfId="39208"/>
    <cellStyle name="Uwaga 2 27 13 2" xfId="39209"/>
    <cellStyle name="Uwaga 2 27 13 3" xfId="39210"/>
    <cellStyle name="Uwaga 2 27 13 4" xfId="39211"/>
    <cellStyle name="Uwaga 2 27 14" xfId="39212"/>
    <cellStyle name="Uwaga 2 27 14 2" xfId="39213"/>
    <cellStyle name="Uwaga 2 27 14 3" xfId="39214"/>
    <cellStyle name="Uwaga 2 27 14 4" xfId="39215"/>
    <cellStyle name="Uwaga 2 27 15" xfId="39216"/>
    <cellStyle name="Uwaga 2 27 15 2" xfId="39217"/>
    <cellStyle name="Uwaga 2 27 15 3" xfId="39218"/>
    <cellStyle name="Uwaga 2 27 15 4" xfId="39219"/>
    <cellStyle name="Uwaga 2 27 16" xfId="39220"/>
    <cellStyle name="Uwaga 2 27 16 2" xfId="39221"/>
    <cellStyle name="Uwaga 2 27 16 3" xfId="39222"/>
    <cellStyle name="Uwaga 2 27 16 4" xfId="39223"/>
    <cellStyle name="Uwaga 2 27 17" xfId="39224"/>
    <cellStyle name="Uwaga 2 27 17 2" xfId="39225"/>
    <cellStyle name="Uwaga 2 27 17 3" xfId="39226"/>
    <cellStyle name="Uwaga 2 27 17 4" xfId="39227"/>
    <cellStyle name="Uwaga 2 27 18" xfId="39228"/>
    <cellStyle name="Uwaga 2 27 18 2" xfId="39229"/>
    <cellStyle name="Uwaga 2 27 18 3" xfId="39230"/>
    <cellStyle name="Uwaga 2 27 18 4" xfId="39231"/>
    <cellStyle name="Uwaga 2 27 19" xfId="39232"/>
    <cellStyle name="Uwaga 2 27 19 2" xfId="39233"/>
    <cellStyle name="Uwaga 2 27 19 3" xfId="39234"/>
    <cellStyle name="Uwaga 2 27 19 4" xfId="39235"/>
    <cellStyle name="Uwaga 2 27 2" xfId="39236"/>
    <cellStyle name="Uwaga 2 27 2 2" xfId="39237"/>
    <cellStyle name="Uwaga 2 27 2 3" xfId="39238"/>
    <cellStyle name="Uwaga 2 27 2 4" xfId="39239"/>
    <cellStyle name="Uwaga 2 27 20" xfId="39240"/>
    <cellStyle name="Uwaga 2 27 20 2" xfId="39241"/>
    <cellStyle name="Uwaga 2 27 20 3" xfId="39242"/>
    <cellStyle name="Uwaga 2 27 20 4" xfId="39243"/>
    <cellStyle name="Uwaga 2 27 21" xfId="39244"/>
    <cellStyle name="Uwaga 2 27 21 2" xfId="39245"/>
    <cellStyle name="Uwaga 2 27 21 3" xfId="39246"/>
    <cellStyle name="Uwaga 2 27 22" xfId="39247"/>
    <cellStyle name="Uwaga 2 27 22 2" xfId="39248"/>
    <cellStyle name="Uwaga 2 27 22 3" xfId="39249"/>
    <cellStyle name="Uwaga 2 27 23" xfId="39250"/>
    <cellStyle name="Uwaga 2 27 23 2" xfId="39251"/>
    <cellStyle name="Uwaga 2 27 23 3" xfId="39252"/>
    <cellStyle name="Uwaga 2 27 24" xfId="39253"/>
    <cellStyle name="Uwaga 2 27 24 2" xfId="39254"/>
    <cellStyle name="Uwaga 2 27 24 3" xfId="39255"/>
    <cellStyle name="Uwaga 2 27 25" xfId="39256"/>
    <cellStyle name="Uwaga 2 27 25 2" xfId="39257"/>
    <cellStyle name="Uwaga 2 27 25 3" xfId="39258"/>
    <cellStyle name="Uwaga 2 27 26" xfId="39259"/>
    <cellStyle name="Uwaga 2 27 26 2" xfId="39260"/>
    <cellStyle name="Uwaga 2 27 26 3" xfId="39261"/>
    <cellStyle name="Uwaga 2 27 27" xfId="39262"/>
    <cellStyle name="Uwaga 2 27 27 2" xfId="39263"/>
    <cellStyle name="Uwaga 2 27 27 3" xfId="39264"/>
    <cellStyle name="Uwaga 2 27 28" xfId="39265"/>
    <cellStyle name="Uwaga 2 27 28 2" xfId="39266"/>
    <cellStyle name="Uwaga 2 27 28 3" xfId="39267"/>
    <cellStyle name="Uwaga 2 27 29" xfId="39268"/>
    <cellStyle name="Uwaga 2 27 29 2" xfId="39269"/>
    <cellStyle name="Uwaga 2 27 29 3" xfId="39270"/>
    <cellStyle name="Uwaga 2 27 3" xfId="39271"/>
    <cellStyle name="Uwaga 2 27 3 2" xfId="39272"/>
    <cellStyle name="Uwaga 2 27 3 3" xfId="39273"/>
    <cellStyle name="Uwaga 2 27 3 4" xfId="39274"/>
    <cellStyle name="Uwaga 2 27 30" xfId="39275"/>
    <cellStyle name="Uwaga 2 27 30 2" xfId="39276"/>
    <cellStyle name="Uwaga 2 27 30 3" xfId="39277"/>
    <cellStyle name="Uwaga 2 27 31" xfId="39278"/>
    <cellStyle name="Uwaga 2 27 31 2" xfId="39279"/>
    <cellStyle name="Uwaga 2 27 31 3" xfId="39280"/>
    <cellStyle name="Uwaga 2 27 32" xfId="39281"/>
    <cellStyle name="Uwaga 2 27 32 2" xfId="39282"/>
    <cellStyle name="Uwaga 2 27 32 3" xfId="39283"/>
    <cellStyle name="Uwaga 2 27 33" xfId="39284"/>
    <cellStyle name="Uwaga 2 27 33 2" xfId="39285"/>
    <cellStyle name="Uwaga 2 27 33 3" xfId="39286"/>
    <cellStyle name="Uwaga 2 27 34" xfId="39287"/>
    <cellStyle name="Uwaga 2 27 34 2" xfId="39288"/>
    <cellStyle name="Uwaga 2 27 34 3" xfId="39289"/>
    <cellStyle name="Uwaga 2 27 35" xfId="39290"/>
    <cellStyle name="Uwaga 2 27 35 2" xfId="39291"/>
    <cellStyle name="Uwaga 2 27 35 3" xfId="39292"/>
    <cellStyle name="Uwaga 2 27 36" xfId="39293"/>
    <cellStyle name="Uwaga 2 27 36 2" xfId="39294"/>
    <cellStyle name="Uwaga 2 27 36 3" xfId="39295"/>
    <cellStyle name="Uwaga 2 27 37" xfId="39296"/>
    <cellStyle name="Uwaga 2 27 37 2" xfId="39297"/>
    <cellStyle name="Uwaga 2 27 37 3" xfId="39298"/>
    <cellStyle name="Uwaga 2 27 38" xfId="39299"/>
    <cellStyle name="Uwaga 2 27 38 2" xfId="39300"/>
    <cellStyle name="Uwaga 2 27 38 3" xfId="39301"/>
    <cellStyle name="Uwaga 2 27 39" xfId="39302"/>
    <cellStyle name="Uwaga 2 27 39 2" xfId="39303"/>
    <cellStyle name="Uwaga 2 27 39 3" xfId="39304"/>
    <cellStyle name="Uwaga 2 27 4" xfId="39305"/>
    <cellStyle name="Uwaga 2 27 4 2" xfId="39306"/>
    <cellStyle name="Uwaga 2 27 4 3" xfId="39307"/>
    <cellStyle name="Uwaga 2 27 4 4" xfId="39308"/>
    <cellStyle name="Uwaga 2 27 40" xfId="39309"/>
    <cellStyle name="Uwaga 2 27 40 2" xfId="39310"/>
    <cellStyle name="Uwaga 2 27 40 3" xfId="39311"/>
    <cellStyle name="Uwaga 2 27 41" xfId="39312"/>
    <cellStyle name="Uwaga 2 27 41 2" xfId="39313"/>
    <cellStyle name="Uwaga 2 27 41 3" xfId="39314"/>
    <cellStyle name="Uwaga 2 27 42" xfId="39315"/>
    <cellStyle name="Uwaga 2 27 42 2" xfId="39316"/>
    <cellStyle name="Uwaga 2 27 42 3" xfId="39317"/>
    <cellStyle name="Uwaga 2 27 43" xfId="39318"/>
    <cellStyle name="Uwaga 2 27 43 2" xfId="39319"/>
    <cellStyle name="Uwaga 2 27 43 3" xfId="39320"/>
    <cellStyle name="Uwaga 2 27 44" xfId="39321"/>
    <cellStyle name="Uwaga 2 27 44 2" xfId="39322"/>
    <cellStyle name="Uwaga 2 27 44 3" xfId="39323"/>
    <cellStyle name="Uwaga 2 27 45" xfId="39324"/>
    <cellStyle name="Uwaga 2 27 45 2" xfId="39325"/>
    <cellStyle name="Uwaga 2 27 45 3" xfId="39326"/>
    <cellStyle name="Uwaga 2 27 46" xfId="39327"/>
    <cellStyle name="Uwaga 2 27 46 2" xfId="39328"/>
    <cellStyle name="Uwaga 2 27 46 3" xfId="39329"/>
    <cellStyle name="Uwaga 2 27 47" xfId="39330"/>
    <cellStyle name="Uwaga 2 27 47 2" xfId="39331"/>
    <cellStyle name="Uwaga 2 27 47 3" xfId="39332"/>
    <cellStyle name="Uwaga 2 27 48" xfId="39333"/>
    <cellStyle name="Uwaga 2 27 48 2" xfId="39334"/>
    <cellStyle name="Uwaga 2 27 48 3" xfId="39335"/>
    <cellStyle name="Uwaga 2 27 49" xfId="39336"/>
    <cellStyle name="Uwaga 2 27 49 2" xfId="39337"/>
    <cellStyle name="Uwaga 2 27 49 3" xfId="39338"/>
    <cellStyle name="Uwaga 2 27 5" xfId="39339"/>
    <cellStyle name="Uwaga 2 27 5 2" xfId="39340"/>
    <cellStyle name="Uwaga 2 27 5 3" xfId="39341"/>
    <cellStyle name="Uwaga 2 27 5 4" xfId="39342"/>
    <cellStyle name="Uwaga 2 27 50" xfId="39343"/>
    <cellStyle name="Uwaga 2 27 50 2" xfId="39344"/>
    <cellStyle name="Uwaga 2 27 50 3" xfId="39345"/>
    <cellStyle name="Uwaga 2 27 51" xfId="39346"/>
    <cellStyle name="Uwaga 2 27 51 2" xfId="39347"/>
    <cellStyle name="Uwaga 2 27 51 3" xfId="39348"/>
    <cellStyle name="Uwaga 2 27 52" xfId="39349"/>
    <cellStyle name="Uwaga 2 27 52 2" xfId="39350"/>
    <cellStyle name="Uwaga 2 27 52 3" xfId="39351"/>
    <cellStyle name="Uwaga 2 27 53" xfId="39352"/>
    <cellStyle name="Uwaga 2 27 53 2" xfId="39353"/>
    <cellStyle name="Uwaga 2 27 53 3" xfId="39354"/>
    <cellStyle name="Uwaga 2 27 54" xfId="39355"/>
    <cellStyle name="Uwaga 2 27 54 2" xfId="39356"/>
    <cellStyle name="Uwaga 2 27 54 3" xfId="39357"/>
    <cellStyle name="Uwaga 2 27 55" xfId="39358"/>
    <cellStyle name="Uwaga 2 27 55 2" xfId="39359"/>
    <cellStyle name="Uwaga 2 27 55 3" xfId="39360"/>
    <cellStyle name="Uwaga 2 27 56" xfId="39361"/>
    <cellStyle name="Uwaga 2 27 56 2" xfId="39362"/>
    <cellStyle name="Uwaga 2 27 56 3" xfId="39363"/>
    <cellStyle name="Uwaga 2 27 57" xfId="39364"/>
    <cellStyle name="Uwaga 2 27 58" xfId="39365"/>
    <cellStyle name="Uwaga 2 27 6" xfId="39366"/>
    <cellStyle name="Uwaga 2 27 6 2" xfId="39367"/>
    <cellStyle name="Uwaga 2 27 6 3" xfId="39368"/>
    <cellStyle name="Uwaga 2 27 6 4" xfId="39369"/>
    <cellStyle name="Uwaga 2 27 7" xfId="39370"/>
    <cellStyle name="Uwaga 2 27 7 2" xfId="39371"/>
    <cellStyle name="Uwaga 2 27 7 3" xfId="39372"/>
    <cellStyle name="Uwaga 2 27 7 4" xfId="39373"/>
    <cellStyle name="Uwaga 2 27 8" xfId="39374"/>
    <cellStyle name="Uwaga 2 27 8 2" xfId="39375"/>
    <cellStyle name="Uwaga 2 27 8 3" xfId="39376"/>
    <cellStyle name="Uwaga 2 27 8 4" xfId="39377"/>
    <cellStyle name="Uwaga 2 27 9" xfId="39378"/>
    <cellStyle name="Uwaga 2 27 9 2" xfId="39379"/>
    <cellStyle name="Uwaga 2 27 9 3" xfId="39380"/>
    <cellStyle name="Uwaga 2 27 9 4" xfId="39381"/>
    <cellStyle name="Uwaga 2 28" xfId="39382"/>
    <cellStyle name="Uwaga 2 28 10" xfId="39383"/>
    <cellStyle name="Uwaga 2 28 10 2" xfId="39384"/>
    <cellStyle name="Uwaga 2 28 10 3" xfId="39385"/>
    <cellStyle name="Uwaga 2 28 10 4" xfId="39386"/>
    <cellStyle name="Uwaga 2 28 11" xfId="39387"/>
    <cellStyle name="Uwaga 2 28 11 2" xfId="39388"/>
    <cellStyle name="Uwaga 2 28 11 3" xfId="39389"/>
    <cellStyle name="Uwaga 2 28 11 4" xfId="39390"/>
    <cellStyle name="Uwaga 2 28 12" xfId="39391"/>
    <cellStyle name="Uwaga 2 28 12 2" xfId="39392"/>
    <cellStyle name="Uwaga 2 28 12 3" xfId="39393"/>
    <cellStyle name="Uwaga 2 28 12 4" xfId="39394"/>
    <cellStyle name="Uwaga 2 28 13" xfId="39395"/>
    <cellStyle name="Uwaga 2 28 13 2" xfId="39396"/>
    <cellStyle name="Uwaga 2 28 13 3" xfId="39397"/>
    <cellStyle name="Uwaga 2 28 13 4" xfId="39398"/>
    <cellStyle name="Uwaga 2 28 14" xfId="39399"/>
    <cellStyle name="Uwaga 2 28 14 2" xfId="39400"/>
    <cellStyle name="Uwaga 2 28 14 3" xfId="39401"/>
    <cellStyle name="Uwaga 2 28 14 4" xfId="39402"/>
    <cellStyle name="Uwaga 2 28 15" xfId="39403"/>
    <cellStyle name="Uwaga 2 28 15 2" xfId="39404"/>
    <cellStyle name="Uwaga 2 28 15 3" xfId="39405"/>
    <cellStyle name="Uwaga 2 28 15 4" xfId="39406"/>
    <cellStyle name="Uwaga 2 28 16" xfId="39407"/>
    <cellStyle name="Uwaga 2 28 16 2" xfId="39408"/>
    <cellStyle name="Uwaga 2 28 16 3" xfId="39409"/>
    <cellStyle name="Uwaga 2 28 16 4" xfId="39410"/>
    <cellStyle name="Uwaga 2 28 17" xfId="39411"/>
    <cellStyle name="Uwaga 2 28 17 2" xfId="39412"/>
    <cellStyle name="Uwaga 2 28 17 3" xfId="39413"/>
    <cellStyle name="Uwaga 2 28 17 4" xfId="39414"/>
    <cellStyle name="Uwaga 2 28 18" xfId="39415"/>
    <cellStyle name="Uwaga 2 28 18 2" xfId="39416"/>
    <cellStyle name="Uwaga 2 28 18 3" xfId="39417"/>
    <cellStyle name="Uwaga 2 28 18 4" xfId="39418"/>
    <cellStyle name="Uwaga 2 28 19" xfId="39419"/>
    <cellStyle name="Uwaga 2 28 19 2" xfId="39420"/>
    <cellStyle name="Uwaga 2 28 19 3" xfId="39421"/>
    <cellStyle name="Uwaga 2 28 19 4" xfId="39422"/>
    <cellStyle name="Uwaga 2 28 2" xfId="39423"/>
    <cellStyle name="Uwaga 2 28 2 2" xfId="39424"/>
    <cellStyle name="Uwaga 2 28 2 3" xfId="39425"/>
    <cellStyle name="Uwaga 2 28 2 4" xfId="39426"/>
    <cellStyle name="Uwaga 2 28 20" xfId="39427"/>
    <cellStyle name="Uwaga 2 28 20 2" xfId="39428"/>
    <cellStyle name="Uwaga 2 28 20 3" xfId="39429"/>
    <cellStyle name="Uwaga 2 28 20 4" xfId="39430"/>
    <cellStyle name="Uwaga 2 28 21" xfId="39431"/>
    <cellStyle name="Uwaga 2 28 21 2" xfId="39432"/>
    <cellStyle name="Uwaga 2 28 21 3" xfId="39433"/>
    <cellStyle name="Uwaga 2 28 22" xfId="39434"/>
    <cellStyle name="Uwaga 2 28 22 2" xfId="39435"/>
    <cellStyle name="Uwaga 2 28 22 3" xfId="39436"/>
    <cellStyle name="Uwaga 2 28 23" xfId="39437"/>
    <cellStyle name="Uwaga 2 28 23 2" xfId="39438"/>
    <cellStyle name="Uwaga 2 28 23 3" xfId="39439"/>
    <cellStyle name="Uwaga 2 28 24" xfId="39440"/>
    <cellStyle name="Uwaga 2 28 24 2" xfId="39441"/>
    <cellStyle name="Uwaga 2 28 24 3" xfId="39442"/>
    <cellStyle name="Uwaga 2 28 25" xfId="39443"/>
    <cellStyle name="Uwaga 2 28 25 2" xfId="39444"/>
    <cellStyle name="Uwaga 2 28 25 3" xfId="39445"/>
    <cellStyle name="Uwaga 2 28 26" xfId="39446"/>
    <cellStyle name="Uwaga 2 28 26 2" xfId="39447"/>
    <cellStyle name="Uwaga 2 28 26 3" xfId="39448"/>
    <cellStyle name="Uwaga 2 28 27" xfId="39449"/>
    <cellStyle name="Uwaga 2 28 27 2" xfId="39450"/>
    <cellStyle name="Uwaga 2 28 27 3" xfId="39451"/>
    <cellStyle name="Uwaga 2 28 28" xfId="39452"/>
    <cellStyle name="Uwaga 2 28 28 2" xfId="39453"/>
    <cellStyle name="Uwaga 2 28 28 3" xfId="39454"/>
    <cellStyle name="Uwaga 2 28 29" xfId="39455"/>
    <cellStyle name="Uwaga 2 28 29 2" xfId="39456"/>
    <cellStyle name="Uwaga 2 28 29 3" xfId="39457"/>
    <cellStyle name="Uwaga 2 28 3" xfId="39458"/>
    <cellStyle name="Uwaga 2 28 3 2" xfId="39459"/>
    <cellStyle name="Uwaga 2 28 3 3" xfId="39460"/>
    <cellStyle name="Uwaga 2 28 3 4" xfId="39461"/>
    <cellStyle name="Uwaga 2 28 30" xfId="39462"/>
    <cellStyle name="Uwaga 2 28 30 2" xfId="39463"/>
    <cellStyle name="Uwaga 2 28 30 3" xfId="39464"/>
    <cellStyle name="Uwaga 2 28 31" xfId="39465"/>
    <cellStyle name="Uwaga 2 28 31 2" xfId="39466"/>
    <cellStyle name="Uwaga 2 28 31 3" xfId="39467"/>
    <cellStyle name="Uwaga 2 28 32" xfId="39468"/>
    <cellStyle name="Uwaga 2 28 32 2" xfId="39469"/>
    <cellStyle name="Uwaga 2 28 32 3" xfId="39470"/>
    <cellStyle name="Uwaga 2 28 33" xfId="39471"/>
    <cellStyle name="Uwaga 2 28 33 2" xfId="39472"/>
    <cellStyle name="Uwaga 2 28 33 3" xfId="39473"/>
    <cellStyle name="Uwaga 2 28 34" xfId="39474"/>
    <cellStyle name="Uwaga 2 28 34 2" xfId="39475"/>
    <cellStyle name="Uwaga 2 28 34 3" xfId="39476"/>
    <cellStyle name="Uwaga 2 28 35" xfId="39477"/>
    <cellStyle name="Uwaga 2 28 35 2" xfId="39478"/>
    <cellStyle name="Uwaga 2 28 35 3" xfId="39479"/>
    <cellStyle name="Uwaga 2 28 36" xfId="39480"/>
    <cellStyle name="Uwaga 2 28 36 2" xfId="39481"/>
    <cellStyle name="Uwaga 2 28 36 3" xfId="39482"/>
    <cellStyle name="Uwaga 2 28 37" xfId="39483"/>
    <cellStyle name="Uwaga 2 28 37 2" xfId="39484"/>
    <cellStyle name="Uwaga 2 28 37 3" xfId="39485"/>
    <cellStyle name="Uwaga 2 28 38" xfId="39486"/>
    <cellStyle name="Uwaga 2 28 38 2" xfId="39487"/>
    <cellStyle name="Uwaga 2 28 38 3" xfId="39488"/>
    <cellStyle name="Uwaga 2 28 39" xfId="39489"/>
    <cellStyle name="Uwaga 2 28 39 2" xfId="39490"/>
    <cellStyle name="Uwaga 2 28 39 3" xfId="39491"/>
    <cellStyle name="Uwaga 2 28 4" xfId="39492"/>
    <cellStyle name="Uwaga 2 28 4 2" xfId="39493"/>
    <cellStyle name="Uwaga 2 28 4 3" xfId="39494"/>
    <cellStyle name="Uwaga 2 28 4 4" xfId="39495"/>
    <cellStyle name="Uwaga 2 28 40" xfId="39496"/>
    <cellStyle name="Uwaga 2 28 40 2" xfId="39497"/>
    <cellStyle name="Uwaga 2 28 40 3" xfId="39498"/>
    <cellStyle name="Uwaga 2 28 41" xfId="39499"/>
    <cellStyle name="Uwaga 2 28 41 2" xfId="39500"/>
    <cellStyle name="Uwaga 2 28 41 3" xfId="39501"/>
    <cellStyle name="Uwaga 2 28 42" xfId="39502"/>
    <cellStyle name="Uwaga 2 28 42 2" xfId="39503"/>
    <cellStyle name="Uwaga 2 28 42 3" xfId="39504"/>
    <cellStyle name="Uwaga 2 28 43" xfId="39505"/>
    <cellStyle name="Uwaga 2 28 43 2" xfId="39506"/>
    <cellStyle name="Uwaga 2 28 43 3" xfId="39507"/>
    <cellStyle name="Uwaga 2 28 44" xfId="39508"/>
    <cellStyle name="Uwaga 2 28 44 2" xfId="39509"/>
    <cellStyle name="Uwaga 2 28 44 3" xfId="39510"/>
    <cellStyle name="Uwaga 2 28 45" xfId="39511"/>
    <cellStyle name="Uwaga 2 28 45 2" xfId="39512"/>
    <cellStyle name="Uwaga 2 28 45 3" xfId="39513"/>
    <cellStyle name="Uwaga 2 28 46" xfId="39514"/>
    <cellStyle name="Uwaga 2 28 46 2" xfId="39515"/>
    <cellStyle name="Uwaga 2 28 46 3" xfId="39516"/>
    <cellStyle name="Uwaga 2 28 47" xfId="39517"/>
    <cellStyle name="Uwaga 2 28 47 2" xfId="39518"/>
    <cellStyle name="Uwaga 2 28 47 3" xfId="39519"/>
    <cellStyle name="Uwaga 2 28 48" xfId="39520"/>
    <cellStyle name="Uwaga 2 28 48 2" xfId="39521"/>
    <cellStyle name="Uwaga 2 28 48 3" xfId="39522"/>
    <cellStyle name="Uwaga 2 28 49" xfId="39523"/>
    <cellStyle name="Uwaga 2 28 49 2" xfId="39524"/>
    <cellStyle name="Uwaga 2 28 49 3" xfId="39525"/>
    <cellStyle name="Uwaga 2 28 5" xfId="39526"/>
    <cellStyle name="Uwaga 2 28 5 2" xfId="39527"/>
    <cellStyle name="Uwaga 2 28 5 3" xfId="39528"/>
    <cellStyle name="Uwaga 2 28 5 4" xfId="39529"/>
    <cellStyle name="Uwaga 2 28 50" xfId="39530"/>
    <cellStyle name="Uwaga 2 28 50 2" xfId="39531"/>
    <cellStyle name="Uwaga 2 28 50 3" xfId="39532"/>
    <cellStyle name="Uwaga 2 28 51" xfId="39533"/>
    <cellStyle name="Uwaga 2 28 51 2" xfId="39534"/>
    <cellStyle name="Uwaga 2 28 51 3" xfId="39535"/>
    <cellStyle name="Uwaga 2 28 52" xfId="39536"/>
    <cellStyle name="Uwaga 2 28 52 2" xfId="39537"/>
    <cellStyle name="Uwaga 2 28 52 3" xfId="39538"/>
    <cellStyle name="Uwaga 2 28 53" xfId="39539"/>
    <cellStyle name="Uwaga 2 28 53 2" xfId="39540"/>
    <cellStyle name="Uwaga 2 28 53 3" xfId="39541"/>
    <cellStyle name="Uwaga 2 28 54" xfId="39542"/>
    <cellStyle name="Uwaga 2 28 54 2" xfId="39543"/>
    <cellStyle name="Uwaga 2 28 54 3" xfId="39544"/>
    <cellStyle name="Uwaga 2 28 55" xfId="39545"/>
    <cellStyle name="Uwaga 2 28 55 2" xfId="39546"/>
    <cellStyle name="Uwaga 2 28 55 3" xfId="39547"/>
    <cellStyle name="Uwaga 2 28 56" xfId="39548"/>
    <cellStyle name="Uwaga 2 28 56 2" xfId="39549"/>
    <cellStyle name="Uwaga 2 28 56 3" xfId="39550"/>
    <cellStyle name="Uwaga 2 28 57" xfId="39551"/>
    <cellStyle name="Uwaga 2 28 58" xfId="39552"/>
    <cellStyle name="Uwaga 2 28 6" xfId="39553"/>
    <cellStyle name="Uwaga 2 28 6 2" xfId="39554"/>
    <cellStyle name="Uwaga 2 28 6 3" xfId="39555"/>
    <cellStyle name="Uwaga 2 28 6 4" xfId="39556"/>
    <cellStyle name="Uwaga 2 28 7" xfId="39557"/>
    <cellStyle name="Uwaga 2 28 7 2" xfId="39558"/>
    <cellStyle name="Uwaga 2 28 7 3" xfId="39559"/>
    <cellStyle name="Uwaga 2 28 7 4" xfId="39560"/>
    <cellStyle name="Uwaga 2 28 8" xfId="39561"/>
    <cellStyle name="Uwaga 2 28 8 2" xfId="39562"/>
    <cellStyle name="Uwaga 2 28 8 3" xfId="39563"/>
    <cellStyle name="Uwaga 2 28 8 4" xfId="39564"/>
    <cellStyle name="Uwaga 2 28 9" xfId="39565"/>
    <cellStyle name="Uwaga 2 28 9 2" xfId="39566"/>
    <cellStyle name="Uwaga 2 28 9 3" xfId="39567"/>
    <cellStyle name="Uwaga 2 28 9 4" xfId="39568"/>
    <cellStyle name="Uwaga 2 29" xfId="39569"/>
    <cellStyle name="Uwaga 2 29 2" xfId="39570"/>
    <cellStyle name="Uwaga 2 3" xfId="39571"/>
    <cellStyle name="Uwaga 2 3 10" xfId="39572"/>
    <cellStyle name="Uwaga 2 3 10 2" xfId="39573"/>
    <cellStyle name="Uwaga 2 3 10 3" xfId="39574"/>
    <cellStyle name="Uwaga 2 3 10 4" xfId="39575"/>
    <cellStyle name="Uwaga 2 3 11" xfId="39576"/>
    <cellStyle name="Uwaga 2 3 11 2" xfId="39577"/>
    <cellStyle name="Uwaga 2 3 11 3" xfId="39578"/>
    <cellStyle name="Uwaga 2 3 11 4" xfId="39579"/>
    <cellStyle name="Uwaga 2 3 12" xfId="39580"/>
    <cellStyle name="Uwaga 2 3 12 2" xfId="39581"/>
    <cellStyle name="Uwaga 2 3 12 3" xfId="39582"/>
    <cellStyle name="Uwaga 2 3 12 4" xfId="39583"/>
    <cellStyle name="Uwaga 2 3 13" xfId="39584"/>
    <cellStyle name="Uwaga 2 3 13 2" xfId="39585"/>
    <cellStyle name="Uwaga 2 3 13 3" xfId="39586"/>
    <cellStyle name="Uwaga 2 3 13 4" xfId="39587"/>
    <cellStyle name="Uwaga 2 3 14" xfId="39588"/>
    <cellStyle name="Uwaga 2 3 14 2" xfId="39589"/>
    <cellStyle name="Uwaga 2 3 14 3" xfId="39590"/>
    <cellStyle name="Uwaga 2 3 14 4" xfId="39591"/>
    <cellStyle name="Uwaga 2 3 15" xfId="39592"/>
    <cellStyle name="Uwaga 2 3 15 2" xfId="39593"/>
    <cellStyle name="Uwaga 2 3 15 3" xfId="39594"/>
    <cellStyle name="Uwaga 2 3 15 4" xfId="39595"/>
    <cellStyle name="Uwaga 2 3 16" xfId="39596"/>
    <cellStyle name="Uwaga 2 3 16 2" xfId="39597"/>
    <cellStyle name="Uwaga 2 3 16 3" xfId="39598"/>
    <cellStyle name="Uwaga 2 3 16 4" xfId="39599"/>
    <cellStyle name="Uwaga 2 3 17" xfId="39600"/>
    <cellStyle name="Uwaga 2 3 17 2" xfId="39601"/>
    <cellStyle name="Uwaga 2 3 17 3" xfId="39602"/>
    <cellStyle name="Uwaga 2 3 17 4" xfId="39603"/>
    <cellStyle name="Uwaga 2 3 18" xfId="39604"/>
    <cellStyle name="Uwaga 2 3 18 2" xfId="39605"/>
    <cellStyle name="Uwaga 2 3 18 3" xfId="39606"/>
    <cellStyle name="Uwaga 2 3 18 4" xfId="39607"/>
    <cellStyle name="Uwaga 2 3 19" xfId="39608"/>
    <cellStyle name="Uwaga 2 3 19 2" xfId="39609"/>
    <cellStyle name="Uwaga 2 3 19 3" xfId="39610"/>
    <cellStyle name="Uwaga 2 3 19 4" xfId="39611"/>
    <cellStyle name="Uwaga 2 3 2" xfId="39612"/>
    <cellStyle name="Uwaga 2 3 2 2" xfId="39613"/>
    <cellStyle name="Uwaga 2 3 2 3" xfId="39614"/>
    <cellStyle name="Uwaga 2 3 2 4" xfId="39615"/>
    <cellStyle name="Uwaga 2 3 20" xfId="39616"/>
    <cellStyle name="Uwaga 2 3 20 2" xfId="39617"/>
    <cellStyle name="Uwaga 2 3 20 3" xfId="39618"/>
    <cellStyle name="Uwaga 2 3 20 4" xfId="39619"/>
    <cellStyle name="Uwaga 2 3 21" xfId="39620"/>
    <cellStyle name="Uwaga 2 3 21 2" xfId="39621"/>
    <cellStyle name="Uwaga 2 3 21 3" xfId="39622"/>
    <cellStyle name="Uwaga 2 3 22" xfId="39623"/>
    <cellStyle name="Uwaga 2 3 22 2" xfId="39624"/>
    <cellStyle name="Uwaga 2 3 22 3" xfId="39625"/>
    <cellStyle name="Uwaga 2 3 23" xfId="39626"/>
    <cellStyle name="Uwaga 2 3 23 2" xfId="39627"/>
    <cellStyle name="Uwaga 2 3 23 3" xfId="39628"/>
    <cellStyle name="Uwaga 2 3 24" xfId="39629"/>
    <cellStyle name="Uwaga 2 3 24 2" xfId="39630"/>
    <cellStyle name="Uwaga 2 3 24 3" xfId="39631"/>
    <cellStyle name="Uwaga 2 3 25" xfId="39632"/>
    <cellStyle name="Uwaga 2 3 25 2" xfId="39633"/>
    <cellStyle name="Uwaga 2 3 25 3" xfId="39634"/>
    <cellStyle name="Uwaga 2 3 26" xfId="39635"/>
    <cellStyle name="Uwaga 2 3 26 2" xfId="39636"/>
    <cellStyle name="Uwaga 2 3 26 3" xfId="39637"/>
    <cellStyle name="Uwaga 2 3 27" xfId="39638"/>
    <cellStyle name="Uwaga 2 3 27 2" xfId="39639"/>
    <cellStyle name="Uwaga 2 3 27 3" xfId="39640"/>
    <cellStyle name="Uwaga 2 3 28" xfId="39641"/>
    <cellStyle name="Uwaga 2 3 28 2" xfId="39642"/>
    <cellStyle name="Uwaga 2 3 28 3" xfId="39643"/>
    <cellStyle name="Uwaga 2 3 29" xfId="39644"/>
    <cellStyle name="Uwaga 2 3 29 2" xfId="39645"/>
    <cellStyle name="Uwaga 2 3 29 3" xfId="39646"/>
    <cellStyle name="Uwaga 2 3 3" xfId="39647"/>
    <cellStyle name="Uwaga 2 3 3 2" xfId="39648"/>
    <cellStyle name="Uwaga 2 3 3 3" xfId="39649"/>
    <cellStyle name="Uwaga 2 3 3 4" xfId="39650"/>
    <cellStyle name="Uwaga 2 3 30" xfId="39651"/>
    <cellStyle name="Uwaga 2 3 30 2" xfId="39652"/>
    <cellStyle name="Uwaga 2 3 30 3" xfId="39653"/>
    <cellStyle name="Uwaga 2 3 31" xfId="39654"/>
    <cellStyle name="Uwaga 2 3 31 2" xfId="39655"/>
    <cellStyle name="Uwaga 2 3 31 3" xfId="39656"/>
    <cellStyle name="Uwaga 2 3 32" xfId="39657"/>
    <cellStyle name="Uwaga 2 3 32 2" xfId="39658"/>
    <cellStyle name="Uwaga 2 3 32 3" xfId="39659"/>
    <cellStyle name="Uwaga 2 3 33" xfId="39660"/>
    <cellStyle name="Uwaga 2 3 33 2" xfId="39661"/>
    <cellStyle name="Uwaga 2 3 33 3" xfId="39662"/>
    <cellStyle name="Uwaga 2 3 34" xfId="39663"/>
    <cellStyle name="Uwaga 2 3 34 2" xfId="39664"/>
    <cellStyle name="Uwaga 2 3 34 3" xfId="39665"/>
    <cellStyle name="Uwaga 2 3 35" xfId="39666"/>
    <cellStyle name="Uwaga 2 3 35 2" xfId="39667"/>
    <cellStyle name="Uwaga 2 3 35 3" xfId="39668"/>
    <cellStyle name="Uwaga 2 3 36" xfId="39669"/>
    <cellStyle name="Uwaga 2 3 36 2" xfId="39670"/>
    <cellStyle name="Uwaga 2 3 36 3" xfId="39671"/>
    <cellStyle name="Uwaga 2 3 37" xfId="39672"/>
    <cellStyle name="Uwaga 2 3 37 2" xfId="39673"/>
    <cellStyle name="Uwaga 2 3 37 3" xfId="39674"/>
    <cellStyle name="Uwaga 2 3 38" xfId="39675"/>
    <cellStyle name="Uwaga 2 3 38 2" xfId="39676"/>
    <cellStyle name="Uwaga 2 3 38 3" xfId="39677"/>
    <cellStyle name="Uwaga 2 3 39" xfId="39678"/>
    <cellStyle name="Uwaga 2 3 39 2" xfId="39679"/>
    <cellStyle name="Uwaga 2 3 39 3" xfId="39680"/>
    <cellStyle name="Uwaga 2 3 4" xfId="39681"/>
    <cellStyle name="Uwaga 2 3 4 2" xfId="39682"/>
    <cellStyle name="Uwaga 2 3 4 3" xfId="39683"/>
    <cellStyle name="Uwaga 2 3 4 4" xfId="39684"/>
    <cellStyle name="Uwaga 2 3 40" xfId="39685"/>
    <cellStyle name="Uwaga 2 3 40 2" xfId="39686"/>
    <cellStyle name="Uwaga 2 3 40 3" xfId="39687"/>
    <cellStyle name="Uwaga 2 3 41" xfId="39688"/>
    <cellStyle name="Uwaga 2 3 41 2" xfId="39689"/>
    <cellStyle name="Uwaga 2 3 41 3" xfId="39690"/>
    <cellStyle name="Uwaga 2 3 42" xfId="39691"/>
    <cellStyle name="Uwaga 2 3 42 2" xfId="39692"/>
    <cellStyle name="Uwaga 2 3 42 3" xfId="39693"/>
    <cellStyle name="Uwaga 2 3 43" xfId="39694"/>
    <cellStyle name="Uwaga 2 3 43 2" xfId="39695"/>
    <cellStyle name="Uwaga 2 3 43 3" xfId="39696"/>
    <cellStyle name="Uwaga 2 3 44" xfId="39697"/>
    <cellStyle name="Uwaga 2 3 44 2" xfId="39698"/>
    <cellStyle name="Uwaga 2 3 44 3" xfId="39699"/>
    <cellStyle name="Uwaga 2 3 45" xfId="39700"/>
    <cellStyle name="Uwaga 2 3 45 2" xfId="39701"/>
    <cellStyle name="Uwaga 2 3 45 3" xfId="39702"/>
    <cellStyle name="Uwaga 2 3 46" xfId="39703"/>
    <cellStyle name="Uwaga 2 3 46 2" xfId="39704"/>
    <cellStyle name="Uwaga 2 3 46 3" xfId="39705"/>
    <cellStyle name="Uwaga 2 3 47" xfId="39706"/>
    <cellStyle name="Uwaga 2 3 47 2" xfId="39707"/>
    <cellStyle name="Uwaga 2 3 47 3" xfId="39708"/>
    <cellStyle name="Uwaga 2 3 48" xfId="39709"/>
    <cellStyle name="Uwaga 2 3 48 2" xfId="39710"/>
    <cellStyle name="Uwaga 2 3 48 3" xfId="39711"/>
    <cellStyle name="Uwaga 2 3 49" xfId="39712"/>
    <cellStyle name="Uwaga 2 3 49 2" xfId="39713"/>
    <cellStyle name="Uwaga 2 3 49 3" xfId="39714"/>
    <cellStyle name="Uwaga 2 3 5" xfId="39715"/>
    <cellStyle name="Uwaga 2 3 5 2" xfId="39716"/>
    <cellStyle name="Uwaga 2 3 5 3" xfId="39717"/>
    <cellStyle name="Uwaga 2 3 5 4" xfId="39718"/>
    <cellStyle name="Uwaga 2 3 50" xfId="39719"/>
    <cellStyle name="Uwaga 2 3 50 2" xfId="39720"/>
    <cellStyle name="Uwaga 2 3 50 3" xfId="39721"/>
    <cellStyle name="Uwaga 2 3 51" xfId="39722"/>
    <cellStyle name="Uwaga 2 3 51 2" xfId="39723"/>
    <cellStyle name="Uwaga 2 3 51 3" xfId="39724"/>
    <cellStyle name="Uwaga 2 3 52" xfId="39725"/>
    <cellStyle name="Uwaga 2 3 52 2" xfId="39726"/>
    <cellStyle name="Uwaga 2 3 52 3" xfId="39727"/>
    <cellStyle name="Uwaga 2 3 53" xfId="39728"/>
    <cellStyle name="Uwaga 2 3 53 2" xfId="39729"/>
    <cellStyle name="Uwaga 2 3 53 3" xfId="39730"/>
    <cellStyle name="Uwaga 2 3 54" xfId="39731"/>
    <cellStyle name="Uwaga 2 3 54 2" xfId="39732"/>
    <cellStyle name="Uwaga 2 3 54 3" xfId="39733"/>
    <cellStyle name="Uwaga 2 3 55" xfId="39734"/>
    <cellStyle name="Uwaga 2 3 55 2" xfId="39735"/>
    <cellStyle name="Uwaga 2 3 55 3" xfId="39736"/>
    <cellStyle name="Uwaga 2 3 56" xfId="39737"/>
    <cellStyle name="Uwaga 2 3 56 2" xfId="39738"/>
    <cellStyle name="Uwaga 2 3 56 3" xfId="39739"/>
    <cellStyle name="Uwaga 2 3 57" xfId="39740"/>
    <cellStyle name="Uwaga 2 3 58" xfId="39741"/>
    <cellStyle name="Uwaga 2 3 59" xfId="39742"/>
    <cellStyle name="Uwaga 2 3 6" xfId="39743"/>
    <cellStyle name="Uwaga 2 3 6 2" xfId="39744"/>
    <cellStyle name="Uwaga 2 3 6 3" xfId="39745"/>
    <cellStyle name="Uwaga 2 3 6 4" xfId="39746"/>
    <cellStyle name="Uwaga 2 3 7" xfId="39747"/>
    <cellStyle name="Uwaga 2 3 7 2" xfId="39748"/>
    <cellStyle name="Uwaga 2 3 7 3" xfId="39749"/>
    <cellStyle name="Uwaga 2 3 7 4" xfId="39750"/>
    <cellStyle name="Uwaga 2 3 8" xfId="39751"/>
    <cellStyle name="Uwaga 2 3 8 2" xfId="39752"/>
    <cellStyle name="Uwaga 2 3 8 3" xfId="39753"/>
    <cellStyle name="Uwaga 2 3 8 4" xfId="39754"/>
    <cellStyle name="Uwaga 2 3 9" xfId="39755"/>
    <cellStyle name="Uwaga 2 3 9 2" xfId="39756"/>
    <cellStyle name="Uwaga 2 3 9 3" xfId="39757"/>
    <cellStyle name="Uwaga 2 3 9 4" xfId="39758"/>
    <cellStyle name="Uwaga 2 30" xfId="39759"/>
    <cellStyle name="Uwaga 2 30 2" xfId="39760"/>
    <cellStyle name="Uwaga 2 31" xfId="39761"/>
    <cellStyle name="Uwaga 2 31 2" xfId="39762"/>
    <cellStyle name="Uwaga 2 31 3" xfId="39763"/>
    <cellStyle name="Uwaga 2 31 4" xfId="39764"/>
    <cellStyle name="Uwaga 2 32" xfId="39765"/>
    <cellStyle name="Uwaga 2 32 2" xfId="39766"/>
    <cellStyle name="Uwaga 2 32 3" xfId="39767"/>
    <cellStyle name="Uwaga 2 32 4" xfId="39768"/>
    <cellStyle name="Uwaga 2 33" xfId="39769"/>
    <cellStyle name="Uwaga 2 33 2" xfId="39770"/>
    <cellStyle name="Uwaga 2 33 3" xfId="39771"/>
    <cellStyle name="Uwaga 2 33 4" xfId="39772"/>
    <cellStyle name="Uwaga 2 34" xfId="39773"/>
    <cellStyle name="Uwaga 2 34 2" xfId="39774"/>
    <cellStyle name="Uwaga 2 34 3" xfId="39775"/>
    <cellStyle name="Uwaga 2 34 4" xfId="39776"/>
    <cellStyle name="Uwaga 2 35" xfId="39777"/>
    <cellStyle name="Uwaga 2 35 2" xfId="39778"/>
    <cellStyle name="Uwaga 2 35 3" xfId="39779"/>
    <cellStyle name="Uwaga 2 35 4" xfId="39780"/>
    <cellStyle name="Uwaga 2 36" xfId="39781"/>
    <cellStyle name="Uwaga 2 36 2" xfId="39782"/>
    <cellStyle name="Uwaga 2 36 3" xfId="39783"/>
    <cellStyle name="Uwaga 2 36 4" xfId="39784"/>
    <cellStyle name="Uwaga 2 37" xfId="39785"/>
    <cellStyle name="Uwaga 2 37 2" xfId="39786"/>
    <cellStyle name="Uwaga 2 37 3" xfId="39787"/>
    <cellStyle name="Uwaga 2 37 4" xfId="39788"/>
    <cellStyle name="Uwaga 2 38" xfId="39789"/>
    <cellStyle name="Uwaga 2 38 2" xfId="39790"/>
    <cellStyle name="Uwaga 2 38 3" xfId="39791"/>
    <cellStyle name="Uwaga 2 38 4" xfId="39792"/>
    <cellStyle name="Uwaga 2 39" xfId="39793"/>
    <cellStyle name="Uwaga 2 39 2" xfId="39794"/>
    <cellStyle name="Uwaga 2 39 3" xfId="39795"/>
    <cellStyle name="Uwaga 2 39 4" xfId="39796"/>
    <cellStyle name="Uwaga 2 4" xfId="39797"/>
    <cellStyle name="Uwaga 2 4 10" xfId="39798"/>
    <cellStyle name="Uwaga 2 4 10 2" xfId="39799"/>
    <cellStyle name="Uwaga 2 4 10 3" xfId="39800"/>
    <cellStyle name="Uwaga 2 4 10 4" xfId="39801"/>
    <cellStyle name="Uwaga 2 4 11" xfId="39802"/>
    <cellStyle name="Uwaga 2 4 11 2" xfId="39803"/>
    <cellStyle name="Uwaga 2 4 11 3" xfId="39804"/>
    <cellStyle name="Uwaga 2 4 11 4" xfId="39805"/>
    <cellStyle name="Uwaga 2 4 12" xfId="39806"/>
    <cellStyle name="Uwaga 2 4 12 2" xfId="39807"/>
    <cellStyle name="Uwaga 2 4 12 3" xfId="39808"/>
    <cellStyle name="Uwaga 2 4 12 4" xfId="39809"/>
    <cellStyle name="Uwaga 2 4 13" xfId="39810"/>
    <cellStyle name="Uwaga 2 4 13 2" xfId="39811"/>
    <cellStyle name="Uwaga 2 4 13 3" xfId="39812"/>
    <cellStyle name="Uwaga 2 4 13 4" xfId="39813"/>
    <cellStyle name="Uwaga 2 4 14" xfId="39814"/>
    <cellStyle name="Uwaga 2 4 14 2" xfId="39815"/>
    <cellStyle name="Uwaga 2 4 14 3" xfId="39816"/>
    <cellStyle name="Uwaga 2 4 14 4" xfId="39817"/>
    <cellStyle name="Uwaga 2 4 15" xfId="39818"/>
    <cellStyle name="Uwaga 2 4 15 2" xfId="39819"/>
    <cellStyle name="Uwaga 2 4 15 3" xfId="39820"/>
    <cellStyle name="Uwaga 2 4 15 4" xfId="39821"/>
    <cellStyle name="Uwaga 2 4 16" xfId="39822"/>
    <cellStyle name="Uwaga 2 4 16 2" xfId="39823"/>
    <cellStyle name="Uwaga 2 4 16 3" xfId="39824"/>
    <cellStyle name="Uwaga 2 4 16 4" xfId="39825"/>
    <cellStyle name="Uwaga 2 4 17" xfId="39826"/>
    <cellStyle name="Uwaga 2 4 17 2" xfId="39827"/>
    <cellStyle name="Uwaga 2 4 17 3" xfId="39828"/>
    <cellStyle name="Uwaga 2 4 17 4" xfId="39829"/>
    <cellStyle name="Uwaga 2 4 18" xfId="39830"/>
    <cellStyle name="Uwaga 2 4 18 2" xfId="39831"/>
    <cellStyle name="Uwaga 2 4 18 3" xfId="39832"/>
    <cellStyle name="Uwaga 2 4 18 4" xfId="39833"/>
    <cellStyle name="Uwaga 2 4 19" xfId="39834"/>
    <cellStyle name="Uwaga 2 4 19 2" xfId="39835"/>
    <cellStyle name="Uwaga 2 4 19 3" xfId="39836"/>
    <cellStyle name="Uwaga 2 4 19 4" xfId="39837"/>
    <cellStyle name="Uwaga 2 4 2" xfId="39838"/>
    <cellStyle name="Uwaga 2 4 2 2" xfId="39839"/>
    <cellStyle name="Uwaga 2 4 2 3" xfId="39840"/>
    <cellStyle name="Uwaga 2 4 2 4" xfId="39841"/>
    <cellStyle name="Uwaga 2 4 20" xfId="39842"/>
    <cellStyle name="Uwaga 2 4 20 2" xfId="39843"/>
    <cellStyle name="Uwaga 2 4 20 3" xfId="39844"/>
    <cellStyle name="Uwaga 2 4 20 4" xfId="39845"/>
    <cellStyle name="Uwaga 2 4 21" xfId="39846"/>
    <cellStyle name="Uwaga 2 4 21 2" xfId="39847"/>
    <cellStyle name="Uwaga 2 4 21 3" xfId="39848"/>
    <cellStyle name="Uwaga 2 4 22" xfId="39849"/>
    <cellStyle name="Uwaga 2 4 22 2" xfId="39850"/>
    <cellStyle name="Uwaga 2 4 22 3" xfId="39851"/>
    <cellStyle name="Uwaga 2 4 23" xfId="39852"/>
    <cellStyle name="Uwaga 2 4 23 2" xfId="39853"/>
    <cellStyle name="Uwaga 2 4 23 3" xfId="39854"/>
    <cellStyle name="Uwaga 2 4 24" xfId="39855"/>
    <cellStyle name="Uwaga 2 4 24 2" xfId="39856"/>
    <cellStyle name="Uwaga 2 4 24 3" xfId="39857"/>
    <cellStyle name="Uwaga 2 4 25" xfId="39858"/>
    <cellStyle name="Uwaga 2 4 25 2" xfId="39859"/>
    <cellStyle name="Uwaga 2 4 25 3" xfId="39860"/>
    <cellStyle name="Uwaga 2 4 26" xfId="39861"/>
    <cellStyle name="Uwaga 2 4 26 2" xfId="39862"/>
    <cellStyle name="Uwaga 2 4 26 3" xfId="39863"/>
    <cellStyle name="Uwaga 2 4 27" xfId="39864"/>
    <cellStyle name="Uwaga 2 4 27 2" xfId="39865"/>
    <cellStyle name="Uwaga 2 4 27 3" xfId="39866"/>
    <cellStyle name="Uwaga 2 4 28" xfId="39867"/>
    <cellStyle name="Uwaga 2 4 28 2" xfId="39868"/>
    <cellStyle name="Uwaga 2 4 28 3" xfId="39869"/>
    <cellStyle name="Uwaga 2 4 29" xfId="39870"/>
    <cellStyle name="Uwaga 2 4 29 2" xfId="39871"/>
    <cellStyle name="Uwaga 2 4 29 3" xfId="39872"/>
    <cellStyle name="Uwaga 2 4 3" xfId="39873"/>
    <cellStyle name="Uwaga 2 4 3 2" xfId="39874"/>
    <cellStyle name="Uwaga 2 4 3 3" xfId="39875"/>
    <cellStyle name="Uwaga 2 4 3 4" xfId="39876"/>
    <cellStyle name="Uwaga 2 4 30" xfId="39877"/>
    <cellStyle name="Uwaga 2 4 30 2" xfId="39878"/>
    <cellStyle name="Uwaga 2 4 30 3" xfId="39879"/>
    <cellStyle name="Uwaga 2 4 31" xfId="39880"/>
    <cellStyle name="Uwaga 2 4 31 2" xfId="39881"/>
    <cellStyle name="Uwaga 2 4 31 3" xfId="39882"/>
    <cellStyle name="Uwaga 2 4 32" xfId="39883"/>
    <cellStyle name="Uwaga 2 4 32 2" xfId="39884"/>
    <cellStyle name="Uwaga 2 4 32 3" xfId="39885"/>
    <cellStyle name="Uwaga 2 4 33" xfId="39886"/>
    <cellStyle name="Uwaga 2 4 33 2" xfId="39887"/>
    <cellStyle name="Uwaga 2 4 33 3" xfId="39888"/>
    <cellStyle name="Uwaga 2 4 34" xfId="39889"/>
    <cellStyle name="Uwaga 2 4 34 2" xfId="39890"/>
    <cellStyle name="Uwaga 2 4 34 3" xfId="39891"/>
    <cellStyle name="Uwaga 2 4 35" xfId="39892"/>
    <cellStyle name="Uwaga 2 4 35 2" xfId="39893"/>
    <cellStyle name="Uwaga 2 4 35 3" xfId="39894"/>
    <cellStyle name="Uwaga 2 4 36" xfId="39895"/>
    <cellStyle name="Uwaga 2 4 36 2" xfId="39896"/>
    <cellStyle name="Uwaga 2 4 36 3" xfId="39897"/>
    <cellStyle name="Uwaga 2 4 37" xfId="39898"/>
    <cellStyle name="Uwaga 2 4 37 2" xfId="39899"/>
    <cellStyle name="Uwaga 2 4 37 3" xfId="39900"/>
    <cellStyle name="Uwaga 2 4 38" xfId="39901"/>
    <cellStyle name="Uwaga 2 4 38 2" xfId="39902"/>
    <cellStyle name="Uwaga 2 4 38 3" xfId="39903"/>
    <cellStyle name="Uwaga 2 4 39" xfId="39904"/>
    <cellStyle name="Uwaga 2 4 39 2" xfId="39905"/>
    <cellStyle name="Uwaga 2 4 39 3" xfId="39906"/>
    <cellStyle name="Uwaga 2 4 4" xfId="39907"/>
    <cellStyle name="Uwaga 2 4 4 2" xfId="39908"/>
    <cellStyle name="Uwaga 2 4 4 3" xfId="39909"/>
    <cellStyle name="Uwaga 2 4 4 4" xfId="39910"/>
    <cellStyle name="Uwaga 2 4 40" xfId="39911"/>
    <cellStyle name="Uwaga 2 4 40 2" xfId="39912"/>
    <cellStyle name="Uwaga 2 4 40 3" xfId="39913"/>
    <cellStyle name="Uwaga 2 4 41" xfId="39914"/>
    <cellStyle name="Uwaga 2 4 41 2" xfId="39915"/>
    <cellStyle name="Uwaga 2 4 41 3" xfId="39916"/>
    <cellStyle name="Uwaga 2 4 42" xfId="39917"/>
    <cellStyle name="Uwaga 2 4 42 2" xfId="39918"/>
    <cellStyle name="Uwaga 2 4 42 3" xfId="39919"/>
    <cellStyle name="Uwaga 2 4 43" xfId="39920"/>
    <cellStyle name="Uwaga 2 4 43 2" xfId="39921"/>
    <cellStyle name="Uwaga 2 4 43 3" xfId="39922"/>
    <cellStyle name="Uwaga 2 4 44" xfId="39923"/>
    <cellStyle name="Uwaga 2 4 44 2" xfId="39924"/>
    <cellStyle name="Uwaga 2 4 44 3" xfId="39925"/>
    <cellStyle name="Uwaga 2 4 45" xfId="39926"/>
    <cellStyle name="Uwaga 2 4 45 2" xfId="39927"/>
    <cellStyle name="Uwaga 2 4 45 3" xfId="39928"/>
    <cellStyle name="Uwaga 2 4 46" xfId="39929"/>
    <cellStyle name="Uwaga 2 4 46 2" xfId="39930"/>
    <cellStyle name="Uwaga 2 4 46 3" xfId="39931"/>
    <cellStyle name="Uwaga 2 4 47" xfId="39932"/>
    <cellStyle name="Uwaga 2 4 47 2" xfId="39933"/>
    <cellStyle name="Uwaga 2 4 47 3" xfId="39934"/>
    <cellStyle name="Uwaga 2 4 48" xfId="39935"/>
    <cellStyle name="Uwaga 2 4 48 2" xfId="39936"/>
    <cellStyle name="Uwaga 2 4 48 3" xfId="39937"/>
    <cellStyle name="Uwaga 2 4 49" xfId="39938"/>
    <cellStyle name="Uwaga 2 4 49 2" xfId="39939"/>
    <cellStyle name="Uwaga 2 4 49 3" xfId="39940"/>
    <cellStyle name="Uwaga 2 4 5" xfId="39941"/>
    <cellStyle name="Uwaga 2 4 5 2" xfId="39942"/>
    <cellStyle name="Uwaga 2 4 5 3" xfId="39943"/>
    <cellStyle name="Uwaga 2 4 5 4" xfId="39944"/>
    <cellStyle name="Uwaga 2 4 50" xfId="39945"/>
    <cellStyle name="Uwaga 2 4 50 2" xfId="39946"/>
    <cellStyle name="Uwaga 2 4 50 3" xfId="39947"/>
    <cellStyle name="Uwaga 2 4 51" xfId="39948"/>
    <cellStyle name="Uwaga 2 4 51 2" xfId="39949"/>
    <cellStyle name="Uwaga 2 4 51 3" xfId="39950"/>
    <cellStyle name="Uwaga 2 4 52" xfId="39951"/>
    <cellStyle name="Uwaga 2 4 52 2" xfId="39952"/>
    <cellStyle name="Uwaga 2 4 52 3" xfId="39953"/>
    <cellStyle name="Uwaga 2 4 53" xfId="39954"/>
    <cellStyle name="Uwaga 2 4 53 2" xfId="39955"/>
    <cellStyle name="Uwaga 2 4 53 3" xfId="39956"/>
    <cellStyle name="Uwaga 2 4 54" xfId="39957"/>
    <cellStyle name="Uwaga 2 4 54 2" xfId="39958"/>
    <cellStyle name="Uwaga 2 4 54 3" xfId="39959"/>
    <cellStyle name="Uwaga 2 4 55" xfId="39960"/>
    <cellStyle name="Uwaga 2 4 55 2" xfId="39961"/>
    <cellStyle name="Uwaga 2 4 55 3" xfId="39962"/>
    <cellStyle name="Uwaga 2 4 56" xfId="39963"/>
    <cellStyle name="Uwaga 2 4 56 2" xfId="39964"/>
    <cellStyle name="Uwaga 2 4 56 3" xfId="39965"/>
    <cellStyle name="Uwaga 2 4 57" xfId="39966"/>
    <cellStyle name="Uwaga 2 4 58" xfId="39967"/>
    <cellStyle name="Uwaga 2 4 59" xfId="39968"/>
    <cellStyle name="Uwaga 2 4 6" xfId="39969"/>
    <cellStyle name="Uwaga 2 4 6 2" xfId="39970"/>
    <cellStyle name="Uwaga 2 4 6 3" xfId="39971"/>
    <cellStyle name="Uwaga 2 4 6 4" xfId="39972"/>
    <cellStyle name="Uwaga 2 4 7" xfId="39973"/>
    <cellStyle name="Uwaga 2 4 7 2" xfId="39974"/>
    <cellStyle name="Uwaga 2 4 7 3" xfId="39975"/>
    <cellStyle name="Uwaga 2 4 7 4" xfId="39976"/>
    <cellStyle name="Uwaga 2 4 8" xfId="39977"/>
    <cellStyle name="Uwaga 2 4 8 2" xfId="39978"/>
    <cellStyle name="Uwaga 2 4 8 3" xfId="39979"/>
    <cellStyle name="Uwaga 2 4 8 4" xfId="39980"/>
    <cellStyle name="Uwaga 2 4 9" xfId="39981"/>
    <cellStyle name="Uwaga 2 4 9 2" xfId="39982"/>
    <cellStyle name="Uwaga 2 4 9 3" xfId="39983"/>
    <cellStyle name="Uwaga 2 4 9 4" xfId="39984"/>
    <cellStyle name="Uwaga 2 40" xfId="39985"/>
    <cellStyle name="Uwaga 2 40 2" xfId="39986"/>
    <cellStyle name="Uwaga 2 40 3" xfId="39987"/>
    <cellStyle name="Uwaga 2 40 4" xfId="39988"/>
    <cellStyle name="Uwaga 2 41" xfId="39989"/>
    <cellStyle name="Uwaga 2 41 2" xfId="39990"/>
    <cellStyle name="Uwaga 2 41 3" xfId="39991"/>
    <cellStyle name="Uwaga 2 41 4" xfId="39992"/>
    <cellStyle name="Uwaga 2 42" xfId="39993"/>
    <cellStyle name="Uwaga 2 42 2" xfId="39994"/>
    <cellStyle name="Uwaga 2 42 3" xfId="39995"/>
    <cellStyle name="Uwaga 2 42 4" xfId="39996"/>
    <cellStyle name="Uwaga 2 43" xfId="39997"/>
    <cellStyle name="Uwaga 2 43 2" xfId="39998"/>
    <cellStyle name="Uwaga 2 43 3" xfId="39999"/>
    <cellStyle name="Uwaga 2 43 4" xfId="40000"/>
    <cellStyle name="Uwaga 2 44" xfId="40001"/>
    <cellStyle name="Uwaga 2 44 2" xfId="40002"/>
    <cellStyle name="Uwaga 2 44 3" xfId="40003"/>
    <cellStyle name="Uwaga 2 44 4" xfId="40004"/>
    <cellStyle name="Uwaga 2 45" xfId="40005"/>
    <cellStyle name="Uwaga 2 45 2" xfId="40006"/>
    <cellStyle name="Uwaga 2 45 3" xfId="40007"/>
    <cellStyle name="Uwaga 2 45 4" xfId="40008"/>
    <cellStyle name="Uwaga 2 46" xfId="40009"/>
    <cellStyle name="Uwaga 2 46 2" xfId="40010"/>
    <cellStyle name="Uwaga 2 46 3" xfId="40011"/>
    <cellStyle name="Uwaga 2 46 4" xfId="40012"/>
    <cellStyle name="Uwaga 2 47" xfId="40013"/>
    <cellStyle name="Uwaga 2 47 2" xfId="40014"/>
    <cellStyle name="Uwaga 2 47 3" xfId="40015"/>
    <cellStyle name="Uwaga 2 47 4" xfId="40016"/>
    <cellStyle name="Uwaga 2 48" xfId="40017"/>
    <cellStyle name="Uwaga 2 48 2" xfId="40018"/>
    <cellStyle name="Uwaga 2 48 3" xfId="40019"/>
    <cellStyle name="Uwaga 2 48 4" xfId="40020"/>
    <cellStyle name="Uwaga 2 49" xfId="40021"/>
    <cellStyle name="Uwaga 2 49 2" xfId="40022"/>
    <cellStyle name="Uwaga 2 49 3" xfId="40023"/>
    <cellStyle name="Uwaga 2 49 4" xfId="40024"/>
    <cellStyle name="Uwaga 2 5" xfId="40025"/>
    <cellStyle name="Uwaga 2 5 10" xfId="40026"/>
    <cellStyle name="Uwaga 2 5 10 2" xfId="40027"/>
    <cellStyle name="Uwaga 2 5 10 3" xfId="40028"/>
    <cellStyle name="Uwaga 2 5 10 4" xfId="40029"/>
    <cellStyle name="Uwaga 2 5 11" xfId="40030"/>
    <cellStyle name="Uwaga 2 5 11 2" xfId="40031"/>
    <cellStyle name="Uwaga 2 5 11 3" xfId="40032"/>
    <cellStyle name="Uwaga 2 5 11 4" xfId="40033"/>
    <cellStyle name="Uwaga 2 5 12" xfId="40034"/>
    <cellStyle name="Uwaga 2 5 12 2" xfId="40035"/>
    <cellStyle name="Uwaga 2 5 12 3" xfId="40036"/>
    <cellStyle name="Uwaga 2 5 12 4" xfId="40037"/>
    <cellStyle name="Uwaga 2 5 13" xfId="40038"/>
    <cellStyle name="Uwaga 2 5 13 2" xfId="40039"/>
    <cellStyle name="Uwaga 2 5 13 3" xfId="40040"/>
    <cellStyle name="Uwaga 2 5 13 4" xfId="40041"/>
    <cellStyle name="Uwaga 2 5 14" xfId="40042"/>
    <cellStyle name="Uwaga 2 5 14 2" xfId="40043"/>
    <cellStyle name="Uwaga 2 5 14 3" xfId="40044"/>
    <cellStyle name="Uwaga 2 5 14 4" xfId="40045"/>
    <cellStyle name="Uwaga 2 5 15" xfId="40046"/>
    <cellStyle name="Uwaga 2 5 15 2" xfId="40047"/>
    <cellStyle name="Uwaga 2 5 15 3" xfId="40048"/>
    <cellStyle name="Uwaga 2 5 15 4" xfId="40049"/>
    <cellStyle name="Uwaga 2 5 16" xfId="40050"/>
    <cellStyle name="Uwaga 2 5 16 2" xfId="40051"/>
    <cellStyle name="Uwaga 2 5 16 3" xfId="40052"/>
    <cellStyle name="Uwaga 2 5 16 4" xfId="40053"/>
    <cellStyle name="Uwaga 2 5 17" xfId="40054"/>
    <cellStyle name="Uwaga 2 5 17 2" xfId="40055"/>
    <cellStyle name="Uwaga 2 5 17 3" xfId="40056"/>
    <cellStyle name="Uwaga 2 5 17 4" xfId="40057"/>
    <cellStyle name="Uwaga 2 5 18" xfId="40058"/>
    <cellStyle name="Uwaga 2 5 18 2" xfId="40059"/>
    <cellStyle name="Uwaga 2 5 18 3" xfId="40060"/>
    <cellStyle name="Uwaga 2 5 18 4" xfId="40061"/>
    <cellStyle name="Uwaga 2 5 19" xfId="40062"/>
    <cellStyle name="Uwaga 2 5 19 2" xfId="40063"/>
    <cellStyle name="Uwaga 2 5 19 3" xfId="40064"/>
    <cellStyle name="Uwaga 2 5 19 4" xfId="40065"/>
    <cellStyle name="Uwaga 2 5 2" xfId="40066"/>
    <cellStyle name="Uwaga 2 5 2 2" xfId="40067"/>
    <cellStyle name="Uwaga 2 5 2 3" xfId="40068"/>
    <cellStyle name="Uwaga 2 5 2 4" xfId="40069"/>
    <cellStyle name="Uwaga 2 5 20" xfId="40070"/>
    <cellStyle name="Uwaga 2 5 20 2" xfId="40071"/>
    <cellStyle name="Uwaga 2 5 20 3" xfId="40072"/>
    <cellStyle name="Uwaga 2 5 20 4" xfId="40073"/>
    <cellStyle name="Uwaga 2 5 21" xfId="40074"/>
    <cellStyle name="Uwaga 2 5 21 2" xfId="40075"/>
    <cellStyle name="Uwaga 2 5 21 3" xfId="40076"/>
    <cellStyle name="Uwaga 2 5 22" xfId="40077"/>
    <cellStyle name="Uwaga 2 5 22 2" xfId="40078"/>
    <cellStyle name="Uwaga 2 5 22 3" xfId="40079"/>
    <cellStyle name="Uwaga 2 5 23" xfId="40080"/>
    <cellStyle name="Uwaga 2 5 23 2" xfId="40081"/>
    <cellStyle name="Uwaga 2 5 23 3" xfId="40082"/>
    <cellStyle name="Uwaga 2 5 24" xfId="40083"/>
    <cellStyle name="Uwaga 2 5 24 2" xfId="40084"/>
    <cellStyle name="Uwaga 2 5 24 3" xfId="40085"/>
    <cellStyle name="Uwaga 2 5 25" xfId="40086"/>
    <cellStyle name="Uwaga 2 5 25 2" xfId="40087"/>
    <cellStyle name="Uwaga 2 5 25 3" xfId="40088"/>
    <cellStyle name="Uwaga 2 5 26" xfId="40089"/>
    <cellStyle name="Uwaga 2 5 26 2" xfId="40090"/>
    <cellStyle name="Uwaga 2 5 26 3" xfId="40091"/>
    <cellStyle name="Uwaga 2 5 27" xfId="40092"/>
    <cellStyle name="Uwaga 2 5 27 2" xfId="40093"/>
    <cellStyle name="Uwaga 2 5 27 3" xfId="40094"/>
    <cellStyle name="Uwaga 2 5 28" xfId="40095"/>
    <cellStyle name="Uwaga 2 5 28 2" xfId="40096"/>
    <cellStyle name="Uwaga 2 5 28 3" xfId="40097"/>
    <cellStyle name="Uwaga 2 5 29" xfId="40098"/>
    <cellStyle name="Uwaga 2 5 29 2" xfId="40099"/>
    <cellStyle name="Uwaga 2 5 29 3" xfId="40100"/>
    <cellStyle name="Uwaga 2 5 3" xfId="40101"/>
    <cellStyle name="Uwaga 2 5 3 2" xfId="40102"/>
    <cellStyle name="Uwaga 2 5 3 3" xfId="40103"/>
    <cellStyle name="Uwaga 2 5 3 4" xfId="40104"/>
    <cellStyle name="Uwaga 2 5 30" xfId="40105"/>
    <cellStyle name="Uwaga 2 5 30 2" xfId="40106"/>
    <cellStyle name="Uwaga 2 5 30 3" xfId="40107"/>
    <cellStyle name="Uwaga 2 5 31" xfId="40108"/>
    <cellStyle name="Uwaga 2 5 31 2" xfId="40109"/>
    <cellStyle name="Uwaga 2 5 31 3" xfId="40110"/>
    <cellStyle name="Uwaga 2 5 32" xfId="40111"/>
    <cellStyle name="Uwaga 2 5 32 2" xfId="40112"/>
    <cellStyle name="Uwaga 2 5 32 3" xfId="40113"/>
    <cellStyle name="Uwaga 2 5 33" xfId="40114"/>
    <cellStyle name="Uwaga 2 5 33 2" xfId="40115"/>
    <cellStyle name="Uwaga 2 5 33 3" xfId="40116"/>
    <cellStyle name="Uwaga 2 5 34" xfId="40117"/>
    <cellStyle name="Uwaga 2 5 34 2" xfId="40118"/>
    <cellStyle name="Uwaga 2 5 34 3" xfId="40119"/>
    <cellStyle name="Uwaga 2 5 35" xfId="40120"/>
    <cellStyle name="Uwaga 2 5 35 2" xfId="40121"/>
    <cellStyle name="Uwaga 2 5 35 3" xfId="40122"/>
    <cellStyle name="Uwaga 2 5 36" xfId="40123"/>
    <cellStyle name="Uwaga 2 5 36 2" xfId="40124"/>
    <cellStyle name="Uwaga 2 5 36 3" xfId="40125"/>
    <cellStyle name="Uwaga 2 5 37" xfId="40126"/>
    <cellStyle name="Uwaga 2 5 37 2" xfId="40127"/>
    <cellStyle name="Uwaga 2 5 37 3" xfId="40128"/>
    <cellStyle name="Uwaga 2 5 38" xfId="40129"/>
    <cellStyle name="Uwaga 2 5 38 2" xfId="40130"/>
    <cellStyle name="Uwaga 2 5 38 3" xfId="40131"/>
    <cellStyle name="Uwaga 2 5 39" xfId="40132"/>
    <cellStyle name="Uwaga 2 5 39 2" xfId="40133"/>
    <cellStyle name="Uwaga 2 5 39 3" xfId="40134"/>
    <cellStyle name="Uwaga 2 5 4" xfId="40135"/>
    <cellStyle name="Uwaga 2 5 4 2" xfId="40136"/>
    <cellStyle name="Uwaga 2 5 4 3" xfId="40137"/>
    <cellStyle name="Uwaga 2 5 4 4" xfId="40138"/>
    <cellStyle name="Uwaga 2 5 40" xfId="40139"/>
    <cellStyle name="Uwaga 2 5 40 2" xfId="40140"/>
    <cellStyle name="Uwaga 2 5 40 3" xfId="40141"/>
    <cellStyle name="Uwaga 2 5 41" xfId="40142"/>
    <cellStyle name="Uwaga 2 5 41 2" xfId="40143"/>
    <cellStyle name="Uwaga 2 5 41 3" xfId="40144"/>
    <cellStyle name="Uwaga 2 5 42" xfId="40145"/>
    <cellStyle name="Uwaga 2 5 42 2" xfId="40146"/>
    <cellStyle name="Uwaga 2 5 42 3" xfId="40147"/>
    <cellStyle name="Uwaga 2 5 43" xfId="40148"/>
    <cellStyle name="Uwaga 2 5 43 2" xfId="40149"/>
    <cellStyle name="Uwaga 2 5 43 3" xfId="40150"/>
    <cellStyle name="Uwaga 2 5 44" xfId="40151"/>
    <cellStyle name="Uwaga 2 5 44 2" xfId="40152"/>
    <cellStyle name="Uwaga 2 5 44 3" xfId="40153"/>
    <cellStyle name="Uwaga 2 5 45" xfId="40154"/>
    <cellStyle name="Uwaga 2 5 45 2" xfId="40155"/>
    <cellStyle name="Uwaga 2 5 45 3" xfId="40156"/>
    <cellStyle name="Uwaga 2 5 46" xfId="40157"/>
    <cellStyle name="Uwaga 2 5 46 2" xfId="40158"/>
    <cellStyle name="Uwaga 2 5 46 3" xfId="40159"/>
    <cellStyle name="Uwaga 2 5 47" xfId="40160"/>
    <cellStyle name="Uwaga 2 5 47 2" xfId="40161"/>
    <cellStyle name="Uwaga 2 5 47 3" xfId="40162"/>
    <cellStyle name="Uwaga 2 5 48" xfId="40163"/>
    <cellStyle name="Uwaga 2 5 48 2" xfId="40164"/>
    <cellStyle name="Uwaga 2 5 48 3" xfId="40165"/>
    <cellStyle name="Uwaga 2 5 49" xfId="40166"/>
    <cellStyle name="Uwaga 2 5 49 2" xfId="40167"/>
    <cellStyle name="Uwaga 2 5 49 3" xfId="40168"/>
    <cellStyle name="Uwaga 2 5 5" xfId="40169"/>
    <cellStyle name="Uwaga 2 5 5 2" xfId="40170"/>
    <cellStyle name="Uwaga 2 5 5 3" xfId="40171"/>
    <cellStyle name="Uwaga 2 5 5 4" xfId="40172"/>
    <cellStyle name="Uwaga 2 5 50" xfId="40173"/>
    <cellStyle name="Uwaga 2 5 50 2" xfId="40174"/>
    <cellStyle name="Uwaga 2 5 50 3" xfId="40175"/>
    <cellStyle name="Uwaga 2 5 51" xfId="40176"/>
    <cellStyle name="Uwaga 2 5 51 2" xfId="40177"/>
    <cellStyle name="Uwaga 2 5 51 3" xfId="40178"/>
    <cellStyle name="Uwaga 2 5 52" xfId="40179"/>
    <cellStyle name="Uwaga 2 5 52 2" xfId="40180"/>
    <cellStyle name="Uwaga 2 5 52 3" xfId="40181"/>
    <cellStyle name="Uwaga 2 5 53" xfId="40182"/>
    <cellStyle name="Uwaga 2 5 53 2" xfId="40183"/>
    <cellStyle name="Uwaga 2 5 53 3" xfId="40184"/>
    <cellStyle name="Uwaga 2 5 54" xfId="40185"/>
    <cellStyle name="Uwaga 2 5 54 2" xfId="40186"/>
    <cellStyle name="Uwaga 2 5 54 3" xfId="40187"/>
    <cellStyle name="Uwaga 2 5 55" xfId="40188"/>
    <cellStyle name="Uwaga 2 5 55 2" xfId="40189"/>
    <cellStyle name="Uwaga 2 5 55 3" xfId="40190"/>
    <cellStyle name="Uwaga 2 5 56" xfId="40191"/>
    <cellStyle name="Uwaga 2 5 56 2" xfId="40192"/>
    <cellStyle name="Uwaga 2 5 56 3" xfId="40193"/>
    <cellStyle name="Uwaga 2 5 57" xfId="40194"/>
    <cellStyle name="Uwaga 2 5 58" xfId="40195"/>
    <cellStyle name="Uwaga 2 5 6" xfId="40196"/>
    <cellStyle name="Uwaga 2 5 6 2" xfId="40197"/>
    <cellStyle name="Uwaga 2 5 6 3" xfId="40198"/>
    <cellStyle name="Uwaga 2 5 6 4" xfId="40199"/>
    <cellStyle name="Uwaga 2 5 7" xfId="40200"/>
    <cellStyle name="Uwaga 2 5 7 2" xfId="40201"/>
    <cellStyle name="Uwaga 2 5 7 3" xfId="40202"/>
    <cellStyle name="Uwaga 2 5 7 4" xfId="40203"/>
    <cellStyle name="Uwaga 2 5 8" xfId="40204"/>
    <cellStyle name="Uwaga 2 5 8 2" xfId="40205"/>
    <cellStyle name="Uwaga 2 5 8 3" xfId="40206"/>
    <cellStyle name="Uwaga 2 5 8 4" xfId="40207"/>
    <cellStyle name="Uwaga 2 5 9" xfId="40208"/>
    <cellStyle name="Uwaga 2 5 9 2" xfId="40209"/>
    <cellStyle name="Uwaga 2 5 9 3" xfId="40210"/>
    <cellStyle name="Uwaga 2 5 9 4" xfId="40211"/>
    <cellStyle name="Uwaga 2 50" xfId="40212"/>
    <cellStyle name="Uwaga 2 50 2" xfId="40213"/>
    <cellStyle name="Uwaga 2 50 3" xfId="40214"/>
    <cellStyle name="Uwaga 2 50 4" xfId="40215"/>
    <cellStyle name="Uwaga 2 51" xfId="40216"/>
    <cellStyle name="Uwaga 2 51 2" xfId="40217"/>
    <cellStyle name="Uwaga 2 51 3" xfId="40218"/>
    <cellStyle name="Uwaga 2 51 4" xfId="40219"/>
    <cellStyle name="Uwaga 2 52" xfId="40220"/>
    <cellStyle name="Uwaga 2 52 2" xfId="40221"/>
    <cellStyle name="Uwaga 2 52 3" xfId="40222"/>
    <cellStyle name="Uwaga 2 52 4" xfId="40223"/>
    <cellStyle name="Uwaga 2 53" xfId="40224"/>
    <cellStyle name="Uwaga 2 53 2" xfId="40225"/>
    <cellStyle name="Uwaga 2 53 3" xfId="40226"/>
    <cellStyle name="Uwaga 2 53 4" xfId="40227"/>
    <cellStyle name="Uwaga 2 54" xfId="40228"/>
    <cellStyle name="Uwaga 2 54 2" xfId="40229"/>
    <cellStyle name="Uwaga 2 54 3" xfId="40230"/>
    <cellStyle name="Uwaga 2 54 4" xfId="40231"/>
    <cellStyle name="Uwaga 2 55" xfId="40232"/>
    <cellStyle name="Uwaga 2 55 2" xfId="40233"/>
    <cellStyle name="Uwaga 2 55 3" xfId="40234"/>
    <cellStyle name="Uwaga 2 55 4" xfId="40235"/>
    <cellStyle name="Uwaga 2 56" xfId="40236"/>
    <cellStyle name="Uwaga 2 56 2" xfId="40237"/>
    <cellStyle name="Uwaga 2 56 3" xfId="40238"/>
    <cellStyle name="Uwaga 2 56 4" xfId="40239"/>
    <cellStyle name="Uwaga 2 57" xfId="40240"/>
    <cellStyle name="Uwaga 2 57 2" xfId="40241"/>
    <cellStyle name="Uwaga 2 57 3" xfId="40242"/>
    <cellStyle name="Uwaga 2 57 4" xfId="40243"/>
    <cellStyle name="Uwaga 2 58" xfId="40244"/>
    <cellStyle name="Uwaga 2 58 2" xfId="40245"/>
    <cellStyle name="Uwaga 2 58 3" xfId="40246"/>
    <cellStyle name="Uwaga 2 58 4" xfId="40247"/>
    <cellStyle name="Uwaga 2 59" xfId="40248"/>
    <cellStyle name="Uwaga 2 59 2" xfId="40249"/>
    <cellStyle name="Uwaga 2 59 3" xfId="40250"/>
    <cellStyle name="Uwaga 2 59 4" xfId="40251"/>
    <cellStyle name="Uwaga 2 6" xfId="40252"/>
    <cellStyle name="Uwaga 2 6 10" xfId="40253"/>
    <cellStyle name="Uwaga 2 6 10 2" xfId="40254"/>
    <cellStyle name="Uwaga 2 6 10 3" xfId="40255"/>
    <cellStyle name="Uwaga 2 6 10 4" xfId="40256"/>
    <cellStyle name="Uwaga 2 6 11" xfId="40257"/>
    <cellStyle name="Uwaga 2 6 11 2" xfId="40258"/>
    <cellStyle name="Uwaga 2 6 11 3" xfId="40259"/>
    <cellStyle name="Uwaga 2 6 11 4" xfId="40260"/>
    <cellStyle name="Uwaga 2 6 12" xfId="40261"/>
    <cellStyle name="Uwaga 2 6 12 2" xfId="40262"/>
    <cellStyle name="Uwaga 2 6 12 3" xfId="40263"/>
    <cellStyle name="Uwaga 2 6 12 4" xfId="40264"/>
    <cellStyle name="Uwaga 2 6 13" xfId="40265"/>
    <cellStyle name="Uwaga 2 6 13 2" xfId="40266"/>
    <cellStyle name="Uwaga 2 6 13 3" xfId="40267"/>
    <cellStyle name="Uwaga 2 6 13 4" xfId="40268"/>
    <cellStyle name="Uwaga 2 6 14" xfId="40269"/>
    <cellStyle name="Uwaga 2 6 14 2" xfId="40270"/>
    <cellStyle name="Uwaga 2 6 14 3" xfId="40271"/>
    <cellStyle name="Uwaga 2 6 14 4" xfId="40272"/>
    <cellStyle name="Uwaga 2 6 15" xfId="40273"/>
    <cellStyle name="Uwaga 2 6 15 2" xfId="40274"/>
    <cellStyle name="Uwaga 2 6 15 3" xfId="40275"/>
    <cellStyle name="Uwaga 2 6 15 4" xfId="40276"/>
    <cellStyle name="Uwaga 2 6 16" xfId="40277"/>
    <cellStyle name="Uwaga 2 6 16 2" xfId="40278"/>
    <cellStyle name="Uwaga 2 6 16 3" xfId="40279"/>
    <cellStyle name="Uwaga 2 6 16 4" xfId="40280"/>
    <cellStyle name="Uwaga 2 6 17" xfId="40281"/>
    <cellStyle name="Uwaga 2 6 17 2" xfId="40282"/>
    <cellStyle name="Uwaga 2 6 17 3" xfId="40283"/>
    <cellStyle name="Uwaga 2 6 17 4" xfId="40284"/>
    <cellStyle name="Uwaga 2 6 18" xfId="40285"/>
    <cellStyle name="Uwaga 2 6 18 2" xfId="40286"/>
    <cellStyle name="Uwaga 2 6 18 3" xfId="40287"/>
    <cellStyle name="Uwaga 2 6 18 4" xfId="40288"/>
    <cellStyle name="Uwaga 2 6 19" xfId="40289"/>
    <cellStyle name="Uwaga 2 6 19 2" xfId="40290"/>
    <cellStyle name="Uwaga 2 6 19 3" xfId="40291"/>
    <cellStyle name="Uwaga 2 6 19 4" xfId="40292"/>
    <cellStyle name="Uwaga 2 6 2" xfId="40293"/>
    <cellStyle name="Uwaga 2 6 2 2" xfId="40294"/>
    <cellStyle name="Uwaga 2 6 2 3" xfId="40295"/>
    <cellStyle name="Uwaga 2 6 2 4" xfId="40296"/>
    <cellStyle name="Uwaga 2 6 20" xfId="40297"/>
    <cellStyle name="Uwaga 2 6 20 2" xfId="40298"/>
    <cellStyle name="Uwaga 2 6 20 3" xfId="40299"/>
    <cellStyle name="Uwaga 2 6 20 4" xfId="40300"/>
    <cellStyle name="Uwaga 2 6 21" xfId="40301"/>
    <cellStyle name="Uwaga 2 6 21 2" xfId="40302"/>
    <cellStyle name="Uwaga 2 6 21 3" xfId="40303"/>
    <cellStyle name="Uwaga 2 6 22" xfId="40304"/>
    <cellStyle name="Uwaga 2 6 22 2" xfId="40305"/>
    <cellStyle name="Uwaga 2 6 22 3" xfId="40306"/>
    <cellStyle name="Uwaga 2 6 23" xfId="40307"/>
    <cellStyle name="Uwaga 2 6 23 2" xfId="40308"/>
    <cellStyle name="Uwaga 2 6 23 3" xfId="40309"/>
    <cellStyle name="Uwaga 2 6 24" xfId="40310"/>
    <cellStyle name="Uwaga 2 6 24 2" xfId="40311"/>
    <cellStyle name="Uwaga 2 6 24 3" xfId="40312"/>
    <cellStyle name="Uwaga 2 6 25" xfId="40313"/>
    <cellStyle name="Uwaga 2 6 25 2" xfId="40314"/>
    <cellStyle name="Uwaga 2 6 25 3" xfId="40315"/>
    <cellStyle name="Uwaga 2 6 26" xfId="40316"/>
    <cellStyle name="Uwaga 2 6 26 2" xfId="40317"/>
    <cellStyle name="Uwaga 2 6 26 3" xfId="40318"/>
    <cellStyle name="Uwaga 2 6 27" xfId="40319"/>
    <cellStyle name="Uwaga 2 6 27 2" xfId="40320"/>
    <cellStyle name="Uwaga 2 6 27 3" xfId="40321"/>
    <cellStyle name="Uwaga 2 6 28" xfId="40322"/>
    <cellStyle name="Uwaga 2 6 28 2" xfId="40323"/>
    <cellStyle name="Uwaga 2 6 28 3" xfId="40324"/>
    <cellStyle name="Uwaga 2 6 29" xfId="40325"/>
    <cellStyle name="Uwaga 2 6 29 2" xfId="40326"/>
    <cellStyle name="Uwaga 2 6 29 3" xfId="40327"/>
    <cellStyle name="Uwaga 2 6 3" xfId="40328"/>
    <cellStyle name="Uwaga 2 6 3 2" xfId="40329"/>
    <cellStyle name="Uwaga 2 6 3 3" xfId="40330"/>
    <cellStyle name="Uwaga 2 6 3 4" xfId="40331"/>
    <cellStyle name="Uwaga 2 6 30" xfId="40332"/>
    <cellStyle name="Uwaga 2 6 30 2" xfId="40333"/>
    <cellStyle name="Uwaga 2 6 30 3" xfId="40334"/>
    <cellStyle name="Uwaga 2 6 31" xfId="40335"/>
    <cellStyle name="Uwaga 2 6 31 2" xfId="40336"/>
    <cellStyle name="Uwaga 2 6 31 3" xfId="40337"/>
    <cellStyle name="Uwaga 2 6 32" xfId="40338"/>
    <cellStyle name="Uwaga 2 6 32 2" xfId="40339"/>
    <cellStyle name="Uwaga 2 6 32 3" xfId="40340"/>
    <cellStyle name="Uwaga 2 6 33" xfId="40341"/>
    <cellStyle name="Uwaga 2 6 33 2" xfId="40342"/>
    <cellStyle name="Uwaga 2 6 33 3" xfId="40343"/>
    <cellStyle name="Uwaga 2 6 34" xfId="40344"/>
    <cellStyle name="Uwaga 2 6 34 2" xfId="40345"/>
    <cellStyle name="Uwaga 2 6 34 3" xfId="40346"/>
    <cellStyle name="Uwaga 2 6 35" xfId="40347"/>
    <cellStyle name="Uwaga 2 6 35 2" xfId="40348"/>
    <cellStyle name="Uwaga 2 6 35 3" xfId="40349"/>
    <cellStyle name="Uwaga 2 6 36" xfId="40350"/>
    <cellStyle name="Uwaga 2 6 36 2" xfId="40351"/>
    <cellStyle name="Uwaga 2 6 36 3" xfId="40352"/>
    <cellStyle name="Uwaga 2 6 37" xfId="40353"/>
    <cellStyle name="Uwaga 2 6 37 2" xfId="40354"/>
    <cellStyle name="Uwaga 2 6 37 3" xfId="40355"/>
    <cellStyle name="Uwaga 2 6 38" xfId="40356"/>
    <cellStyle name="Uwaga 2 6 38 2" xfId="40357"/>
    <cellStyle name="Uwaga 2 6 38 3" xfId="40358"/>
    <cellStyle name="Uwaga 2 6 39" xfId="40359"/>
    <cellStyle name="Uwaga 2 6 39 2" xfId="40360"/>
    <cellStyle name="Uwaga 2 6 39 3" xfId="40361"/>
    <cellStyle name="Uwaga 2 6 4" xfId="40362"/>
    <cellStyle name="Uwaga 2 6 4 2" xfId="40363"/>
    <cellStyle name="Uwaga 2 6 4 3" xfId="40364"/>
    <cellStyle name="Uwaga 2 6 4 4" xfId="40365"/>
    <cellStyle name="Uwaga 2 6 40" xfId="40366"/>
    <cellStyle name="Uwaga 2 6 40 2" xfId="40367"/>
    <cellStyle name="Uwaga 2 6 40 3" xfId="40368"/>
    <cellStyle name="Uwaga 2 6 41" xfId="40369"/>
    <cellStyle name="Uwaga 2 6 41 2" xfId="40370"/>
    <cellStyle name="Uwaga 2 6 41 3" xfId="40371"/>
    <cellStyle name="Uwaga 2 6 42" xfId="40372"/>
    <cellStyle name="Uwaga 2 6 42 2" xfId="40373"/>
    <cellStyle name="Uwaga 2 6 42 3" xfId="40374"/>
    <cellStyle name="Uwaga 2 6 43" xfId="40375"/>
    <cellStyle name="Uwaga 2 6 43 2" xfId="40376"/>
    <cellStyle name="Uwaga 2 6 43 3" xfId="40377"/>
    <cellStyle name="Uwaga 2 6 44" xfId="40378"/>
    <cellStyle name="Uwaga 2 6 44 2" xfId="40379"/>
    <cellStyle name="Uwaga 2 6 44 3" xfId="40380"/>
    <cellStyle name="Uwaga 2 6 45" xfId="40381"/>
    <cellStyle name="Uwaga 2 6 45 2" xfId="40382"/>
    <cellStyle name="Uwaga 2 6 45 3" xfId="40383"/>
    <cellStyle name="Uwaga 2 6 46" xfId="40384"/>
    <cellStyle name="Uwaga 2 6 46 2" xfId="40385"/>
    <cellStyle name="Uwaga 2 6 46 3" xfId="40386"/>
    <cellStyle name="Uwaga 2 6 47" xfId="40387"/>
    <cellStyle name="Uwaga 2 6 47 2" xfId="40388"/>
    <cellStyle name="Uwaga 2 6 47 3" xfId="40389"/>
    <cellStyle name="Uwaga 2 6 48" xfId="40390"/>
    <cellStyle name="Uwaga 2 6 48 2" xfId="40391"/>
    <cellStyle name="Uwaga 2 6 48 3" xfId="40392"/>
    <cellStyle name="Uwaga 2 6 49" xfId="40393"/>
    <cellStyle name="Uwaga 2 6 49 2" xfId="40394"/>
    <cellStyle name="Uwaga 2 6 49 3" xfId="40395"/>
    <cellStyle name="Uwaga 2 6 5" xfId="40396"/>
    <cellStyle name="Uwaga 2 6 5 2" xfId="40397"/>
    <cellStyle name="Uwaga 2 6 5 3" xfId="40398"/>
    <cellStyle name="Uwaga 2 6 5 4" xfId="40399"/>
    <cellStyle name="Uwaga 2 6 50" xfId="40400"/>
    <cellStyle name="Uwaga 2 6 50 2" xfId="40401"/>
    <cellStyle name="Uwaga 2 6 50 3" xfId="40402"/>
    <cellStyle name="Uwaga 2 6 51" xfId="40403"/>
    <cellStyle name="Uwaga 2 6 51 2" xfId="40404"/>
    <cellStyle name="Uwaga 2 6 51 3" xfId="40405"/>
    <cellStyle name="Uwaga 2 6 52" xfId="40406"/>
    <cellStyle name="Uwaga 2 6 52 2" xfId="40407"/>
    <cellStyle name="Uwaga 2 6 52 3" xfId="40408"/>
    <cellStyle name="Uwaga 2 6 53" xfId="40409"/>
    <cellStyle name="Uwaga 2 6 53 2" xfId="40410"/>
    <cellStyle name="Uwaga 2 6 53 3" xfId="40411"/>
    <cellStyle name="Uwaga 2 6 54" xfId="40412"/>
    <cellStyle name="Uwaga 2 6 54 2" xfId="40413"/>
    <cellStyle name="Uwaga 2 6 54 3" xfId="40414"/>
    <cellStyle name="Uwaga 2 6 55" xfId="40415"/>
    <cellStyle name="Uwaga 2 6 55 2" xfId="40416"/>
    <cellStyle name="Uwaga 2 6 55 3" xfId="40417"/>
    <cellStyle name="Uwaga 2 6 56" xfId="40418"/>
    <cellStyle name="Uwaga 2 6 56 2" xfId="40419"/>
    <cellStyle name="Uwaga 2 6 56 3" xfId="40420"/>
    <cellStyle name="Uwaga 2 6 57" xfId="40421"/>
    <cellStyle name="Uwaga 2 6 58" xfId="40422"/>
    <cellStyle name="Uwaga 2 6 6" xfId="40423"/>
    <cellStyle name="Uwaga 2 6 6 2" xfId="40424"/>
    <cellStyle name="Uwaga 2 6 6 3" xfId="40425"/>
    <cellStyle name="Uwaga 2 6 6 4" xfId="40426"/>
    <cellStyle name="Uwaga 2 6 7" xfId="40427"/>
    <cellStyle name="Uwaga 2 6 7 2" xfId="40428"/>
    <cellStyle name="Uwaga 2 6 7 3" xfId="40429"/>
    <cellStyle name="Uwaga 2 6 7 4" xfId="40430"/>
    <cellStyle name="Uwaga 2 6 8" xfId="40431"/>
    <cellStyle name="Uwaga 2 6 8 2" xfId="40432"/>
    <cellStyle name="Uwaga 2 6 8 3" xfId="40433"/>
    <cellStyle name="Uwaga 2 6 8 4" xfId="40434"/>
    <cellStyle name="Uwaga 2 6 9" xfId="40435"/>
    <cellStyle name="Uwaga 2 6 9 2" xfId="40436"/>
    <cellStyle name="Uwaga 2 6 9 3" xfId="40437"/>
    <cellStyle name="Uwaga 2 6 9 4" xfId="40438"/>
    <cellStyle name="Uwaga 2 60" xfId="40439"/>
    <cellStyle name="Uwaga 2 60 2" xfId="40440"/>
    <cellStyle name="Uwaga 2 60 3" xfId="40441"/>
    <cellStyle name="Uwaga 2 60 4" xfId="40442"/>
    <cellStyle name="Uwaga 2 61" xfId="40443"/>
    <cellStyle name="Uwaga 2 61 2" xfId="40444"/>
    <cellStyle name="Uwaga 2 61 3" xfId="40445"/>
    <cellStyle name="Uwaga 2 61 4" xfId="40446"/>
    <cellStyle name="Uwaga 2 62" xfId="40447"/>
    <cellStyle name="Uwaga 2 62 2" xfId="40448"/>
    <cellStyle name="Uwaga 2 62 3" xfId="40449"/>
    <cellStyle name="Uwaga 2 62 4" xfId="40450"/>
    <cellStyle name="Uwaga 2 63" xfId="40451"/>
    <cellStyle name="Uwaga 2 63 2" xfId="40452"/>
    <cellStyle name="Uwaga 2 63 3" xfId="40453"/>
    <cellStyle name="Uwaga 2 63 4" xfId="40454"/>
    <cellStyle name="Uwaga 2 64" xfId="40455"/>
    <cellStyle name="Uwaga 2 64 2" xfId="40456"/>
    <cellStyle name="Uwaga 2 64 3" xfId="40457"/>
    <cellStyle name="Uwaga 2 64 4" xfId="40458"/>
    <cellStyle name="Uwaga 2 65" xfId="40459"/>
    <cellStyle name="Uwaga 2 65 2" xfId="40460"/>
    <cellStyle name="Uwaga 2 65 3" xfId="40461"/>
    <cellStyle name="Uwaga 2 65 4" xfId="40462"/>
    <cellStyle name="Uwaga 2 66" xfId="40463"/>
    <cellStyle name="Uwaga 2 66 2" xfId="40464"/>
    <cellStyle name="Uwaga 2 66 3" xfId="40465"/>
    <cellStyle name="Uwaga 2 66 4" xfId="40466"/>
    <cellStyle name="Uwaga 2 67" xfId="40467"/>
    <cellStyle name="Uwaga 2 67 2" xfId="40468"/>
    <cellStyle name="Uwaga 2 67 3" xfId="40469"/>
    <cellStyle name="Uwaga 2 67 4" xfId="40470"/>
    <cellStyle name="Uwaga 2 68" xfId="40471"/>
    <cellStyle name="Uwaga 2 68 2" xfId="40472"/>
    <cellStyle name="Uwaga 2 68 3" xfId="40473"/>
    <cellStyle name="Uwaga 2 68 4" xfId="40474"/>
    <cellStyle name="Uwaga 2 69" xfId="40475"/>
    <cellStyle name="Uwaga 2 69 2" xfId="40476"/>
    <cellStyle name="Uwaga 2 69 3" xfId="40477"/>
    <cellStyle name="Uwaga 2 69 4" xfId="40478"/>
    <cellStyle name="Uwaga 2 7" xfId="40479"/>
    <cellStyle name="Uwaga 2 7 10" xfId="40480"/>
    <cellStyle name="Uwaga 2 7 10 2" xfId="40481"/>
    <cellStyle name="Uwaga 2 7 10 3" xfId="40482"/>
    <cellStyle name="Uwaga 2 7 10 4" xfId="40483"/>
    <cellStyle name="Uwaga 2 7 11" xfId="40484"/>
    <cellStyle name="Uwaga 2 7 11 2" xfId="40485"/>
    <cellStyle name="Uwaga 2 7 11 3" xfId="40486"/>
    <cellStyle name="Uwaga 2 7 11 4" xfId="40487"/>
    <cellStyle name="Uwaga 2 7 12" xfId="40488"/>
    <cellStyle name="Uwaga 2 7 12 2" xfId="40489"/>
    <cellStyle name="Uwaga 2 7 12 3" xfId="40490"/>
    <cellStyle name="Uwaga 2 7 12 4" xfId="40491"/>
    <cellStyle name="Uwaga 2 7 13" xfId="40492"/>
    <cellStyle name="Uwaga 2 7 13 2" xfId="40493"/>
    <cellStyle name="Uwaga 2 7 13 3" xfId="40494"/>
    <cellStyle name="Uwaga 2 7 13 4" xfId="40495"/>
    <cellStyle name="Uwaga 2 7 14" xfId="40496"/>
    <cellStyle name="Uwaga 2 7 14 2" xfId="40497"/>
    <cellStyle name="Uwaga 2 7 14 3" xfId="40498"/>
    <cellStyle name="Uwaga 2 7 14 4" xfId="40499"/>
    <cellStyle name="Uwaga 2 7 15" xfId="40500"/>
    <cellStyle name="Uwaga 2 7 15 2" xfId="40501"/>
    <cellStyle name="Uwaga 2 7 15 3" xfId="40502"/>
    <cellStyle name="Uwaga 2 7 15 4" xfId="40503"/>
    <cellStyle name="Uwaga 2 7 16" xfId="40504"/>
    <cellStyle name="Uwaga 2 7 16 2" xfId="40505"/>
    <cellStyle name="Uwaga 2 7 16 3" xfId="40506"/>
    <cellStyle name="Uwaga 2 7 16 4" xfId="40507"/>
    <cellStyle name="Uwaga 2 7 17" xfId="40508"/>
    <cellStyle name="Uwaga 2 7 17 2" xfId="40509"/>
    <cellStyle name="Uwaga 2 7 17 3" xfId="40510"/>
    <cellStyle name="Uwaga 2 7 17 4" xfId="40511"/>
    <cellStyle name="Uwaga 2 7 18" xfId="40512"/>
    <cellStyle name="Uwaga 2 7 18 2" xfId="40513"/>
    <cellStyle name="Uwaga 2 7 18 3" xfId="40514"/>
    <cellStyle name="Uwaga 2 7 18 4" xfId="40515"/>
    <cellStyle name="Uwaga 2 7 19" xfId="40516"/>
    <cellStyle name="Uwaga 2 7 19 2" xfId="40517"/>
    <cellStyle name="Uwaga 2 7 19 3" xfId="40518"/>
    <cellStyle name="Uwaga 2 7 19 4" xfId="40519"/>
    <cellStyle name="Uwaga 2 7 2" xfId="40520"/>
    <cellStyle name="Uwaga 2 7 2 2" xfId="40521"/>
    <cellStyle name="Uwaga 2 7 2 3" xfId="40522"/>
    <cellStyle name="Uwaga 2 7 2 4" xfId="40523"/>
    <cellStyle name="Uwaga 2 7 20" xfId="40524"/>
    <cellStyle name="Uwaga 2 7 20 2" xfId="40525"/>
    <cellStyle name="Uwaga 2 7 20 3" xfId="40526"/>
    <cellStyle name="Uwaga 2 7 20 4" xfId="40527"/>
    <cellStyle name="Uwaga 2 7 21" xfId="40528"/>
    <cellStyle name="Uwaga 2 7 21 2" xfId="40529"/>
    <cellStyle name="Uwaga 2 7 21 3" xfId="40530"/>
    <cellStyle name="Uwaga 2 7 22" xfId="40531"/>
    <cellStyle name="Uwaga 2 7 22 2" xfId="40532"/>
    <cellStyle name="Uwaga 2 7 22 3" xfId="40533"/>
    <cellStyle name="Uwaga 2 7 23" xfId="40534"/>
    <cellStyle name="Uwaga 2 7 23 2" xfId="40535"/>
    <cellStyle name="Uwaga 2 7 23 3" xfId="40536"/>
    <cellStyle name="Uwaga 2 7 24" xfId="40537"/>
    <cellStyle name="Uwaga 2 7 24 2" xfId="40538"/>
    <cellStyle name="Uwaga 2 7 24 3" xfId="40539"/>
    <cellStyle name="Uwaga 2 7 25" xfId="40540"/>
    <cellStyle name="Uwaga 2 7 25 2" xfId="40541"/>
    <cellStyle name="Uwaga 2 7 25 3" xfId="40542"/>
    <cellStyle name="Uwaga 2 7 26" xfId="40543"/>
    <cellStyle name="Uwaga 2 7 26 2" xfId="40544"/>
    <cellStyle name="Uwaga 2 7 26 3" xfId="40545"/>
    <cellStyle name="Uwaga 2 7 27" xfId="40546"/>
    <cellStyle name="Uwaga 2 7 27 2" xfId="40547"/>
    <cellStyle name="Uwaga 2 7 27 3" xfId="40548"/>
    <cellStyle name="Uwaga 2 7 28" xfId="40549"/>
    <cellStyle name="Uwaga 2 7 28 2" xfId="40550"/>
    <cellStyle name="Uwaga 2 7 28 3" xfId="40551"/>
    <cellStyle name="Uwaga 2 7 29" xfId="40552"/>
    <cellStyle name="Uwaga 2 7 29 2" xfId="40553"/>
    <cellStyle name="Uwaga 2 7 29 3" xfId="40554"/>
    <cellStyle name="Uwaga 2 7 3" xfId="40555"/>
    <cellStyle name="Uwaga 2 7 3 2" xfId="40556"/>
    <cellStyle name="Uwaga 2 7 3 3" xfId="40557"/>
    <cellStyle name="Uwaga 2 7 3 4" xfId="40558"/>
    <cellStyle name="Uwaga 2 7 30" xfId="40559"/>
    <cellStyle name="Uwaga 2 7 30 2" xfId="40560"/>
    <cellStyle name="Uwaga 2 7 30 3" xfId="40561"/>
    <cellStyle name="Uwaga 2 7 31" xfId="40562"/>
    <cellStyle name="Uwaga 2 7 31 2" xfId="40563"/>
    <cellStyle name="Uwaga 2 7 31 3" xfId="40564"/>
    <cellStyle name="Uwaga 2 7 32" xfId="40565"/>
    <cellStyle name="Uwaga 2 7 32 2" xfId="40566"/>
    <cellStyle name="Uwaga 2 7 32 3" xfId="40567"/>
    <cellStyle name="Uwaga 2 7 33" xfId="40568"/>
    <cellStyle name="Uwaga 2 7 33 2" xfId="40569"/>
    <cellStyle name="Uwaga 2 7 33 3" xfId="40570"/>
    <cellStyle name="Uwaga 2 7 34" xfId="40571"/>
    <cellStyle name="Uwaga 2 7 34 2" xfId="40572"/>
    <cellStyle name="Uwaga 2 7 34 3" xfId="40573"/>
    <cellStyle name="Uwaga 2 7 35" xfId="40574"/>
    <cellStyle name="Uwaga 2 7 35 2" xfId="40575"/>
    <cellStyle name="Uwaga 2 7 35 3" xfId="40576"/>
    <cellStyle name="Uwaga 2 7 36" xfId="40577"/>
    <cellStyle name="Uwaga 2 7 36 2" xfId="40578"/>
    <cellStyle name="Uwaga 2 7 36 3" xfId="40579"/>
    <cellStyle name="Uwaga 2 7 37" xfId="40580"/>
    <cellStyle name="Uwaga 2 7 37 2" xfId="40581"/>
    <cellStyle name="Uwaga 2 7 37 3" xfId="40582"/>
    <cellStyle name="Uwaga 2 7 38" xfId="40583"/>
    <cellStyle name="Uwaga 2 7 38 2" xfId="40584"/>
    <cellStyle name="Uwaga 2 7 38 3" xfId="40585"/>
    <cellStyle name="Uwaga 2 7 39" xfId="40586"/>
    <cellStyle name="Uwaga 2 7 39 2" xfId="40587"/>
    <cellStyle name="Uwaga 2 7 39 3" xfId="40588"/>
    <cellStyle name="Uwaga 2 7 4" xfId="40589"/>
    <cellStyle name="Uwaga 2 7 4 2" xfId="40590"/>
    <cellStyle name="Uwaga 2 7 4 3" xfId="40591"/>
    <cellStyle name="Uwaga 2 7 4 4" xfId="40592"/>
    <cellStyle name="Uwaga 2 7 40" xfId="40593"/>
    <cellStyle name="Uwaga 2 7 40 2" xfId="40594"/>
    <cellStyle name="Uwaga 2 7 40 3" xfId="40595"/>
    <cellStyle name="Uwaga 2 7 41" xfId="40596"/>
    <cellStyle name="Uwaga 2 7 41 2" xfId="40597"/>
    <cellStyle name="Uwaga 2 7 41 3" xfId="40598"/>
    <cellStyle name="Uwaga 2 7 42" xfId="40599"/>
    <cellStyle name="Uwaga 2 7 42 2" xfId="40600"/>
    <cellStyle name="Uwaga 2 7 42 3" xfId="40601"/>
    <cellStyle name="Uwaga 2 7 43" xfId="40602"/>
    <cellStyle name="Uwaga 2 7 43 2" xfId="40603"/>
    <cellStyle name="Uwaga 2 7 43 3" xfId="40604"/>
    <cellStyle name="Uwaga 2 7 44" xfId="40605"/>
    <cellStyle name="Uwaga 2 7 44 2" xfId="40606"/>
    <cellStyle name="Uwaga 2 7 44 3" xfId="40607"/>
    <cellStyle name="Uwaga 2 7 45" xfId="40608"/>
    <cellStyle name="Uwaga 2 7 45 2" xfId="40609"/>
    <cellStyle name="Uwaga 2 7 45 3" xfId="40610"/>
    <cellStyle name="Uwaga 2 7 46" xfId="40611"/>
    <cellStyle name="Uwaga 2 7 46 2" xfId="40612"/>
    <cellStyle name="Uwaga 2 7 46 3" xfId="40613"/>
    <cellStyle name="Uwaga 2 7 47" xfId="40614"/>
    <cellStyle name="Uwaga 2 7 47 2" xfId="40615"/>
    <cellStyle name="Uwaga 2 7 47 3" xfId="40616"/>
    <cellStyle name="Uwaga 2 7 48" xfId="40617"/>
    <cellStyle name="Uwaga 2 7 48 2" xfId="40618"/>
    <cellStyle name="Uwaga 2 7 48 3" xfId="40619"/>
    <cellStyle name="Uwaga 2 7 49" xfId="40620"/>
    <cellStyle name="Uwaga 2 7 49 2" xfId="40621"/>
    <cellStyle name="Uwaga 2 7 49 3" xfId="40622"/>
    <cellStyle name="Uwaga 2 7 5" xfId="40623"/>
    <cellStyle name="Uwaga 2 7 5 2" xfId="40624"/>
    <cellStyle name="Uwaga 2 7 5 3" xfId="40625"/>
    <cellStyle name="Uwaga 2 7 5 4" xfId="40626"/>
    <cellStyle name="Uwaga 2 7 50" xfId="40627"/>
    <cellStyle name="Uwaga 2 7 50 2" xfId="40628"/>
    <cellStyle name="Uwaga 2 7 50 3" xfId="40629"/>
    <cellStyle name="Uwaga 2 7 51" xfId="40630"/>
    <cellStyle name="Uwaga 2 7 51 2" xfId="40631"/>
    <cellStyle name="Uwaga 2 7 51 3" xfId="40632"/>
    <cellStyle name="Uwaga 2 7 52" xfId="40633"/>
    <cellStyle name="Uwaga 2 7 52 2" xfId="40634"/>
    <cellStyle name="Uwaga 2 7 52 3" xfId="40635"/>
    <cellStyle name="Uwaga 2 7 53" xfId="40636"/>
    <cellStyle name="Uwaga 2 7 53 2" xfId="40637"/>
    <cellStyle name="Uwaga 2 7 53 3" xfId="40638"/>
    <cellStyle name="Uwaga 2 7 54" xfId="40639"/>
    <cellStyle name="Uwaga 2 7 54 2" xfId="40640"/>
    <cellStyle name="Uwaga 2 7 54 3" xfId="40641"/>
    <cellStyle name="Uwaga 2 7 55" xfId="40642"/>
    <cellStyle name="Uwaga 2 7 55 2" xfId="40643"/>
    <cellStyle name="Uwaga 2 7 55 3" xfId="40644"/>
    <cellStyle name="Uwaga 2 7 56" xfId="40645"/>
    <cellStyle name="Uwaga 2 7 56 2" xfId="40646"/>
    <cellStyle name="Uwaga 2 7 56 3" xfId="40647"/>
    <cellStyle name="Uwaga 2 7 57" xfId="40648"/>
    <cellStyle name="Uwaga 2 7 58" xfId="40649"/>
    <cellStyle name="Uwaga 2 7 6" xfId="40650"/>
    <cellStyle name="Uwaga 2 7 6 2" xfId="40651"/>
    <cellStyle name="Uwaga 2 7 6 3" xfId="40652"/>
    <cellStyle name="Uwaga 2 7 6 4" xfId="40653"/>
    <cellStyle name="Uwaga 2 7 7" xfId="40654"/>
    <cellStyle name="Uwaga 2 7 7 2" xfId="40655"/>
    <cellStyle name="Uwaga 2 7 7 3" xfId="40656"/>
    <cellStyle name="Uwaga 2 7 7 4" xfId="40657"/>
    <cellStyle name="Uwaga 2 7 8" xfId="40658"/>
    <cellStyle name="Uwaga 2 7 8 2" xfId="40659"/>
    <cellStyle name="Uwaga 2 7 8 3" xfId="40660"/>
    <cellStyle name="Uwaga 2 7 8 4" xfId="40661"/>
    <cellStyle name="Uwaga 2 7 9" xfId="40662"/>
    <cellStyle name="Uwaga 2 7 9 2" xfId="40663"/>
    <cellStyle name="Uwaga 2 7 9 3" xfId="40664"/>
    <cellStyle name="Uwaga 2 7 9 4" xfId="40665"/>
    <cellStyle name="Uwaga 2 70" xfId="40666"/>
    <cellStyle name="Uwaga 2 70 2" xfId="40667"/>
    <cellStyle name="Uwaga 2 70 3" xfId="40668"/>
    <cellStyle name="Uwaga 2 71" xfId="40669"/>
    <cellStyle name="Uwaga 2 71 2" xfId="40670"/>
    <cellStyle name="Uwaga 2 71 3" xfId="40671"/>
    <cellStyle name="Uwaga 2 72" xfId="40672"/>
    <cellStyle name="Uwaga 2 72 2" xfId="40673"/>
    <cellStyle name="Uwaga 2 72 3" xfId="40674"/>
    <cellStyle name="Uwaga 2 73" xfId="40675"/>
    <cellStyle name="Uwaga 2 73 2" xfId="40676"/>
    <cellStyle name="Uwaga 2 73 3" xfId="40677"/>
    <cellStyle name="Uwaga 2 74" xfId="40678"/>
    <cellStyle name="Uwaga 2 74 2" xfId="40679"/>
    <cellStyle name="Uwaga 2 74 3" xfId="40680"/>
    <cellStyle name="Uwaga 2 75" xfId="40681"/>
    <cellStyle name="Uwaga 2 75 2" xfId="40682"/>
    <cellStyle name="Uwaga 2 75 3" xfId="40683"/>
    <cellStyle name="Uwaga 2 76" xfId="40684"/>
    <cellStyle name="Uwaga 2 76 2" xfId="40685"/>
    <cellStyle name="Uwaga 2 76 3" xfId="40686"/>
    <cellStyle name="Uwaga 2 77" xfId="40687"/>
    <cellStyle name="Uwaga 2 77 2" xfId="40688"/>
    <cellStyle name="Uwaga 2 77 3" xfId="40689"/>
    <cellStyle name="Uwaga 2 78" xfId="40690"/>
    <cellStyle name="Uwaga 2 78 2" xfId="40691"/>
    <cellStyle name="Uwaga 2 78 3" xfId="40692"/>
    <cellStyle name="Uwaga 2 79" xfId="40693"/>
    <cellStyle name="Uwaga 2 79 2" xfId="40694"/>
    <cellStyle name="Uwaga 2 79 3" xfId="40695"/>
    <cellStyle name="Uwaga 2 8" xfId="40696"/>
    <cellStyle name="Uwaga 2 8 10" xfId="40697"/>
    <cellStyle name="Uwaga 2 8 10 2" xfId="40698"/>
    <cellStyle name="Uwaga 2 8 10 3" xfId="40699"/>
    <cellStyle name="Uwaga 2 8 10 4" xfId="40700"/>
    <cellStyle name="Uwaga 2 8 11" xfId="40701"/>
    <cellStyle name="Uwaga 2 8 11 2" xfId="40702"/>
    <cellStyle name="Uwaga 2 8 11 3" xfId="40703"/>
    <cellStyle name="Uwaga 2 8 11 4" xfId="40704"/>
    <cellStyle name="Uwaga 2 8 12" xfId="40705"/>
    <cellStyle name="Uwaga 2 8 12 2" xfId="40706"/>
    <cellStyle name="Uwaga 2 8 12 3" xfId="40707"/>
    <cellStyle name="Uwaga 2 8 12 4" xfId="40708"/>
    <cellStyle name="Uwaga 2 8 13" xfId="40709"/>
    <cellStyle name="Uwaga 2 8 13 2" xfId="40710"/>
    <cellStyle name="Uwaga 2 8 13 3" xfId="40711"/>
    <cellStyle name="Uwaga 2 8 13 4" xfId="40712"/>
    <cellStyle name="Uwaga 2 8 14" xfId="40713"/>
    <cellStyle name="Uwaga 2 8 14 2" xfId="40714"/>
    <cellStyle name="Uwaga 2 8 14 3" xfId="40715"/>
    <cellStyle name="Uwaga 2 8 14 4" xfId="40716"/>
    <cellStyle name="Uwaga 2 8 15" xfId="40717"/>
    <cellStyle name="Uwaga 2 8 15 2" xfId="40718"/>
    <cellStyle name="Uwaga 2 8 15 3" xfId="40719"/>
    <cellStyle name="Uwaga 2 8 15 4" xfId="40720"/>
    <cellStyle name="Uwaga 2 8 16" xfId="40721"/>
    <cellStyle name="Uwaga 2 8 16 2" xfId="40722"/>
    <cellStyle name="Uwaga 2 8 16 3" xfId="40723"/>
    <cellStyle name="Uwaga 2 8 16 4" xfId="40724"/>
    <cellStyle name="Uwaga 2 8 17" xfId="40725"/>
    <cellStyle name="Uwaga 2 8 17 2" xfId="40726"/>
    <cellStyle name="Uwaga 2 8 17 3" xfId="40727"/>
    <cellStyle name="Uwaga 2 8 17 4" xfId="40728"/>
    <cellStyle name="Uwaga 2 8 18" xfId="40729"/>
    <cellStyle name="Uwaga 2 8 18 2" xfId="40730"/>
    <cellStyle name="Uwaga 2 8 18 3" xfId="40731"/>
    <cellStyle name="Uwaga 2 8 18 4" xfId="40732"/>
    <cellStyle name="Uwaga 2 8 19" xfId="40733"/>
    <cellStyle name="Uwaga 2 8 19 2" xfId="40734"/>
    <cellStyle name="Uwaga 2 8 19 3" xfId="40735"/>
    <cellStyle name="Uwaga 2 8 19 4" xfId="40736"/>
    <cellStyle name="Uwaga 2 8 2" xfId="40737"/>
    <cellStyle name="Uwaga 2 8 2 2" xfId="40738"/>
    <cellStyle name="Uwaga 2 8 2 3" xfId="40739"/>
    <cellStyle name="Uwaga 2 8 2 4" xfId="40740"/>
    <cellStyle name="Uwaga 2 8 20" xfId="40741"/>
    <cellStyle name="Uwaga 2 8 20 2" xfId="40742"/>
    <cellStyle name="Uwaga 2 8 20 3" xfId="40743"/>
    <cellStyle name="Uwaga 2 8 20 4" xfId="40744"/>
    <cellStyle name="Uwaga 2 8 21" xfId="40745"/>
    <cellStyle name="Uwaga 2 8 21 2" xfId="40746"/>
    <cellStyle name="Uwaga 2 8 21 3" xfId="40747"/>
    <cellStyle name="Uwaga 2 8 22" xfId="40748"/>
    <cellStyle name="Uwaga 2 8 22 2" xfId="40749"/>
    <cellStyle name="Uwaga 2 8 22 3" xfId="40750"/>
    <cellStyle name="Uwaga 2 8 23" xfId="40751"/>
    <cellStyle name="Uwaga 2 8 23 2" xfId="40752"/>
    <cellStyle name="Uwaga 2 8 23 3" xfId="40753"/>
    <cellStyle name="Uwaga 2 8 24" xfId="40754"/>
    <cellStyle name="Uwaga 2 8 24 2" xfId="40755"/>
    <cellStyle name="Uwaga 2 8 24 3" xfId="40756"/>
    <cellStyle name="Uwaga 2 8 25" xfId="40757"/>
    <cellStyle name="Uwaga 2 8 25 2" xfId="40758"/>
    <cellStyle name="Uwaga 2 8 25 3" xfId="40759"/>
    <cellStyle name="Uwaga 2 8 26" xfId="40760"/>
    <cellStyle name="Uwaga 2 8 26 2" xfId="40761"/>
    <cellStyle name="Uwaga 2 8 26 3" xfId="40762"/>
    <cellStyle name="Uwaga 2 8 27" xfId="40763"/>
    <cellStyle name="Uwaga 2 8 27 2" xfId="40764"/>
    <cellStyle name="Uwaga 2 8 27 3" xfId="40765"/>
    <cellStyle name="Uwaga 2 8 28" xfId="40766"/>
    <cellStyle name="Uwaga 2 8 28 2" xfId="40767"/>
    <cellStyle name="Uwaga 2 8 28 3" xfId="40768"/>
    <cellStyle name="Uwaga 2 8 29" xfId="40769"/>
    <cellStyle name="Uwaga 2 8 29 2" xfId="40770"/>
    <cellStyle name="Uwaga 2 8 29 3" xfId="40771"/>
    <cellStyle name="Uwaga 2 8 3" xfId="40772"/>
    <cellStyle name="Uwaga 2 8 3 2" xfId="40773"/>
    <cellStyle name="Uwaga 2 8 3 3" xfId="40774"/>
    <cellStyle name="Uwaga 2 8 3 4" xfId="40775"/>
    <cellStyle name="Uwaga 2 8 30" xfId="40776"/>
    <cellStyle name="Uwaga 2 8 30 2" xfId="40777"/>
    <cellStyle name="Uwaga 2 8 30 3" xfId="40778"/>
    <cellStyle name="Uwaga 2 8 31" xfId="40779"/>
    <cellStyle name="Uwaga 2 8 31 2" xfId="40780"/>
    <cellStyle name="Uwaga 2 8 31 3" xfId="40781"/>
    <cellStyle name="Uwaga 2 8 32" xfId="40782"/>
    <cellStyle name="Uwaga 2 8 32 2" xfId="40783"/>
    <cellStyle name="Uwaga 2 8 32 3" xfId="40784"/>
    <cellStyle name="Uwaga 2 8 33" xfId="40785"/>
    <cellStyle name="Uwaga 2 8 33 2" xfId="40786"/>
    <cellStyle name="Uwaga 2 8 33 3" xfId="40787"/>
    <cellStyle name="Uwaga 2 8 34" xfId="40788"/>
    <cellStyle name="Uwaga 2 8 34 2" xfId="40789"/>
    <cellStyle name="Uwaga 2 8 34 3" xfId="40790"/>
    <cellStyle name="Uwaga 2 8 35" xfId="40791"/>
    <cellStyle name="Uwaga 2 8 35 2" xfId="40792"/>
    <cellStyle name="Uwaga 2 8 35 3" xfId="40793"/>
    <cellStyle name="Uwaga 2 8 36" xfId="40794"/>
    <cellStyle name="Uwaga 2 8 36 2" xfId="40795"/>
    <cellStyle name="Uwaga 2 8 36 3" xfId="40796"/>
    <cellStyle name="Uwaga 2 8 37" xfId="40797"/>
    <cellStyle name="Uwaga 2 8 37 2" xfId="40798"/>
    <cellStyle name="Uwaga 2 8 37 3" xfId="40799"/>
    <cellStyle name="Uwaga 2 8 38" xfId="40800"/>
    <cellStyle name="Uwaga 2 8 38 2" xfId="40801"/>
    <cellStyle name="Uwaga 2 8 38 3" xfId="40802"/>
    <cellStyle name="Uwaga 2 8 39" xfId="40803"/>
    <cellStyle name="Uwaga 2 8 39 2" xfId="40804"/>
    <cellStyle name="Uwaga 2 8 39 3" xfId="40805"/>
    <cellStyle name="Uwaga 2 8 4" xfId="40806"/>
    <cellStyle name="Uwaga 2 8 4 2" xfId="40807"/>
    <cellStyle name="Uwaga 2 8 4 3" xfId="40808"/>
    <cellStyle name="Uwaga 2 8 4 4" xfId="40809"/>
    <cellStyle name="Uwaga 2 8 40" xfId="40810"/>
    <cellStyle name="Uwaga 2 8 40 2" xfId="40811"/>
    <cellStyle name="Uwaga 2 8 40 3" xfId="40812"/>
    <cellStyle name="Uwaga 2 8 41" xfId="40813"/>
    <cellStyle name="Uwaga 2 8 41 2" xfId="40814"/>
    <cellStyle name="Uwaga 2 8 41 3" xfId="40815"/>
    <cellStyle name="Uwaga 2 8 42" xfId="40816"/>
    <cellStyle name="Uwaga 2 8 42 2" xfId="40817"/>
    <cellStyle name="Uwaga 2 8 42 3" xfId="40818"/>
    <cellStyle name="Uwaga 2 8 43" xfId="40819"/>
    <cellStyle name="Uwaga 2 8 43 2" xfId="40820"/>
    <cellStyle name="Uwaga 2 8 43 3" xfId="40821"/>
    <cellStyle name="Uwaga 2 8 44" xfId="40822"/>
    <cellStyle name="Uwaga 2 8 44 2" xfId="40823"/>
    <cellStyle name="Uwaga 2 8 44 3" xfId="40824"/>
    <cellStyle name="Uwaga 2 8 45" xfId="40825"/>
    <cellStyle name="Uwaga 2 8 45 2" xfId="40826"/>
    <cellStyle name="Uwaga 2 8 45 3" xfId="40827"/>
    <cellStyle name="Uwaga 2 8 46" xfId="40828"/>
    <cellStyle name="Uwaga 2 8 46 2" xfId="40829"/>
    <cellStyle name="Uwaga 2 8 46 3" xfId="40830"/>
    <cellStyle name="Uwaga 2 8 47" xfId="40831"/>
    <cellStyle name="Uwaga 2 8 47 2" xfId="40832"/>
    <cellStyle name="Uwaga 2 8 47 3" xfId="40833"/>
    <cellStyle name="Uwaga 2 8 48" xfId="40834"/>
    <cellStyle name="Uwaga 2 8 48 2" xfId="40835"/>
    <cellStyle name="Uwaga 2 8 48 3" xfId="40836"/>
    <cellStyle name="Uwaga 2 8 49" xfId="40837"/>
    <cellStyle name="Uwaga 2 8 49 2" xfId="40838"/>
    <cellStyle name="Uwaga 2 8 49 3" xfId="40839"/>
    <cellStyle name="Uwaga 2 8 5" xfId="40840"/>
    <cellStyle name="Uwaga 2 8 5 2" xfId="40841"/>
    <cellStyle name="Uwaga 2 8 5 3" xfId="40842"/>
    <cellStyle name="Uwaga 2 8 5 4" xfId="40843"/>
    <cellStyle name="Uwaga 2 8 50" xfId="40844"/>
    <cellStyle name="Uwaga 2 8 50 2" xfId="40845"/>
    <cellStyle name="Uwaga 2 8 50 3" xfId="40846"/>
    <cellStyle name="Uwaga 2 8 51" xfId="40847"/>
    <cellStyle name="Uwaga 2 8 51 2" xfId="40848"/>
    <cellStyle name="Uwaga 2 8 51 3" xfId="40849"/>
    <cellStyle name="Uwaga 2 8 52" xfId="40850"/>
    <cellStyle name="Uwaga 2 8 52 2" xfId="40851"/>
    <cellStyle name="Uwaga 2 8 52 3" xfId="40852"/>
    <cellStyle name="Uwaga 2 8 53" xfId="40853"/>
    <cellStyle name="Uwaga 2 8 53 2" xfId="40854"/>
    <cellStyle name="Uwaga 2 8 53 3" xfId="40855"/>
    <cellStyle name="Uwaga 2 8 54" xfId="40856"/>
    <cellStyle name="Uwaga 2 8 54 2" xfId="40857"/>
    <cellStyle name="Uwaga 2 8 54 3" xfId="40858"/>
    <cellStyle name="Uwaga 2 8 55" xfId="40859"/>
    <cellStyle name="Uwaga 2 8 55 2" xfId="40860"/>
    <cellStyle name="Uwaga 2 8 55 3" xfId="40861"/>
    <cellStyle name="Uwaga 2 8 56" xfId="40862"/>
    <cellStyle name="Uwaga 2 8 56 2" xfId="40863"/>
    <cellStyle name="Uwaga 2 8 56 3" xfId="40864"/>
    <cellStyle name="Uwaga 2 8 57" xfId="40865"/>
    <cellStyle name="Uwaga 2 8 58" xfId="40866"/>
    <cellStyle name="Uwaga 2 8 6" xfId="40867"/>
    <cellStyle name="Uwaga 2 8 6 2" xfId="40868"/>
    <cellStyle name="Uwaga 2 8 6 3" xfId="40869"/>
    <cellStyle name="Uwaga 2 8 6 4" xfId="40870"/>
    <cellStyle name="Uwaga 2 8 7" xfId="40871"/>
    <cellStyle name="Uwaga 2 8 7 2" xfId="40872"/>
    <cellStyle name="Uwaga 2 8 7 3" xfId="40873"/>
    <cellStyle name="Uwaga 2 8 7 4" xfId="40874"/>
    <cellStyle name="Uwaga 2 8 8" xfId="40875"/>
    <cellStyle name="Uwaga 2 8 8 2" xfId="40876"/>
    <cellStyle name="Uwaga 2 8 8 3" xfId="40877"/>
    <cellStyle name="Uwaga 2 8 8 4" xfId="40878"/>
    <cellStyle name="Uwaga 2 8 9" xfId="40879"/>
    <cellStyle name="Uwaga 2 8 9 2" xfId="40880"/>
    <cellStyle name="Uwaga 2 8 9 3" xfId="40881"/>
    <cellStyle name="Uwaga 2 8 9 4" xfId="40882"/>
    <cellStyle name="Uwaga 2 80" xfId="40883"/>
    <cellStyle name="Uwaga 2 80 2" xfId="40884"/>
    <cellStyle name="Uwaga 2 80 3" xfId="40885"/>
    <cellStyle name="Uwaga 2 81" xfId="40886"/>
    <cellStyle name="Uwaga 2 81 2" xfId="40887"/>
    <cellStyle name="Uwaga 2 81 3" xfId="40888"/>
    <cellStyle name="Uwaga 2 82" xfId="40889"/>
    <cellStyle name="Uwaga 2 82 2" xfId="40890"/>
    <cellStyle name="Uwaga 2 82 3" xfId="40891"/>
    <cellStyle name="Uwaga 2 83" xfId="40892"/>
    <cellStyle name="Uwaga 2 83 2" xfId="40893"/>
    <cellStyle name="Uwaga 2 83 3" xfId="40894"/>
    <cellStyle name="Uwaga 2 84" xfId="40895"/>
    <cellStyle name="Uwaga 2 84 2" xfId="40896"/>
    <cellStyle name="Uwaga 2 84 3" xfId="40897"/>
    <cellStyle name="Uwaga 2 85" xfId="40898"/>
    <cellStyle name="Uwaga 2 85 2" xfId="40899"/>
    <cellStyle name="Uwaga 2 85 3" xfId="40900"/>
    <cellStyle name="Uwaga 2 86" xfId="40901"/>
    <cellStyle name="Uwaga 2 86 2" xfId="40902"/>
    <cellStyle name="Uwaga 2 86 3" xfId="40903"/>
    <cellStyle name="Uwaga 2 87" xfId="40904"/>
    <cellStyle name="Uwaga 2 87 2" xfId="40905"/>
    <cellStyle name="Uwaga 2 87 3" xfId="40906"/>
    <cellStyle name="Uwaga 2 88" xfId="40907"/>
    <cellStyle name="Uwaga 2 88 2" xfId="40908"/>
    <cellStyle name="Uwaga 2 88 3" xfId="40909"/>
    <cellStyle name="Uwaga 2 89" xfId="40910"/>
    <cellStyle name="Uwaga 2 89 2" xfId="40911"/>
    <cellStyle name="Uwaga 2 89 3" xfId="40912"/>
    <cellStyle name="Uwaga 2 9" xfId="40913"/>
    <cellStyle name="Uwaga 2 9 10" xfId="40914"/>
    <cellStyle name="Uwaga 2 9 10 2" xfId="40915"/>
    <cellStyle name="Uwaga 2 9 10 3" xfId="40916"/>
    <cellStyle name="Uwaga 2 9 10 4" xfId="40917"/>
    <cellStyle name="Uwaga 2 9 11" xfId="40918"/>
    <cellStyle name="Uwaga 2 9 11 2" xfId="40919"/>
    <cellStyle name="Uwaga 2 9 11 3" xfId="40920"/>
    <cellStyle name="Uwaga 2 9 11 4" xfId="40921"/>
    <cellStyle name="Uwaga 2 9 12" xfId="40922"/>
    <cellStyle name="Uwaga 2 9 12 2" xfId="40923"/>
    <cellStyle name="Uwaga 2 9 12 3" xfId="40924"/>
    <cellStyle name="Uwaga 2 9 12 4" xfId="40925"/>
    <cellStyle name="Uwaga 2 9 13" xfId="40926"/>
    <cellStyle name="Uwaga 2 9 13 2" xfId="40927"/>
    <cellStyle name="Uwaga 2 9 13 3" xfId="40928"/>
    <cellStyle name="Uwaga 2 9 13 4" xfId="40929"/>
    <cellStyle name="Uwaga 2 9 14" xfId="40930"/>
    <cellStyle name="Uwaga 2 9 14 2" xfId="40931"/>
    <cellStyle name="Uwaga 2 9 14 3" xfId="40932"/>
    <cellStyle name="Uwaga 2 9 14 4" xfId="40933"/>
    <cellStyle name="Uwaga 2 9 15" xfId="40934"/>
    <cellStyle name="Uwaga 2 9 15 2" xfId="40935"/>
    <cellStyle name="Uwaga 2 9 15 3" xfId="40936"/>
    <cellStyle name="Uwaga 2 9 15 4" xfId="40937"/>
    <cellStyle name="Uwaga 2 9 16" xfId="40938"/>
    <cellStyle name="Uwaga 2 9 16 2" xfId="40939"/>
    <cellStyle name="Uwaga 2 9 16 3" xfId="40940"/>
    <cellStyle name="Uwaga 2 9 16 4" xfId="40941"/>
    <cellStyle name="Uwaga 2 9 17" xfId="40942"/>
    <cellStyle name="Uwaga 2 9 17 2" xfId="40943"/>
    <cellStyle name="Uwaga 2 9 17 3" xfId="40944"/>
    <cellStyle name="Uwaga 2 9 17 4" xfId="40945"/>
    <cellStyle name="Uwaga 2 9 18" xfId="40946"/>
    <cellStyle name="Uwaga 2 9 18 2" xfId="40947"/>
    <cellStyle name="Uwaga 2 9 18 3" xfId="40948"/>
    <cellStyle name="Uwaga 2 9 18 4" xfId="40949"/>
    <cellStyle name="Uwaga 2 9 19" xfId="40950"/>
    <cellStyle name="Uwaga 2 9 19 2" xfId="40951"/>
    <cellStyle name="Uwaga 2 9 19 3" xfId="40952"/>
    <cellStyle name="Uwaga 2 9 19 4" xfId="40953"/>
    <cellStyle name="Uwaga 2 9 2" xfId="40954"/>
    <cellStyle name="Uwaga 2 9 2 2" xfId="40955"/>
    <cellStyle name="Uwaga 2 9 2 3" xfId="40956"/>
    <cellStyle name="Uwaga 2 9 2 4" xfId="40957"/>
    <cellStyle name="Uwaga 2 9 20" xfId="40958"/>
    <cellStyle name="Uwaga 2 9 20 2" xfId="40959"/>
    <cellStyle name="Uwaga 2 9 20 3" xfId="40960"/>
    <cellStyle name="Uwaga 2 9 20 4" xfId="40961"/>
    <cellStyle name="Uwaga 2 9 21" xfId="40962"/>
    <cellStyle name="Uwaga 2 9 21 2" xfId="40963"/>
    <cellStyle name="Uwaga 2 9 21 3" xfId="40964"/>
    <cellStyle name="Uwaga 2 9 22" xfId="40965"/>
    <cellStyle name="Uwaga 2 9 22 2" xfId="40966"/>
    <cellStyle name="Uwaga 2 9 22 3" xfId="40967"/>
    <cellStyle name="Uwaga 2 9 23" xfId="40968"/>
    <cellStyle name="Uwaga 2 9 23 2" xfId="40969"/>
    <cellStyle name="Uwaga 2 9 23 3" xfId="40970"/>
    <cellStyle name="Uwaga 2 9 24" xfId="40971"/>
    <cellStyle name="Uwaga 2 9 24 2" xfId="40972"/>
    <cellStyle name="Uwaga 2 9 24 3" xfId="40973"/>
    <cellStyle name="Uwaga 2 9 25" xfId="40974"/>
    <cellStyle name="Uwaga 2 9 25 2" xfId="40975"/>
    <cellStyle name="Uwaga 2 9 25 3" xfId="40976"/>
    <cellStyle name="Uwaga 2 9 26" xfId="40977"/>
    <cellStyle name="Uwaga 2 9 26 2" xfId="40978"/>
    <cellStyle name="Uwaga 2 9 26 3" xfId="40979"/>
    <cellStyle name="Uwaga 2 9 27" xfId="40980"/>
    <cellStyle name="Uwaga 2 9 27 2" xfId="40981"/>
    <cellStyle name="Uwaga 2 9 27 3" xfId="40982"/>
    <cellStyle name="Uwaga 2 9 28" xfId="40983"/>
    <cellStyle name="Uwaga 2 9 28 2" xfId="40984"/>
    <cellStyle name="Uwaga 2 9 28 3" xfId="40985"/>
    <cellStyle name="Uwaga 2 9 29" xfId="40986"/>
    <cellStyle name="Uwaga 2 9 29 2" xfId="40987"/>
    <cellStyle name="Uwaga 2 9 29 3" xfId="40988"/>
    <cellStyle name="Uwaga 2 9 3" xfId="40989"/>
    <cellStyle name="Uwaga 2 9 3 2" xfId="40990"/>
    <cellStyle name="Uwaga 2 9 3 3" xfId="40991"/>
    <cellStyle name="Uwaga 2 9 3 4" xfId="40992"/>
    <cellStyle name="Uwaga 2 9 30" xfId="40993"/>
    <cellStyle name="Uwaga 2 9 30 2" xfId="40994"/>
    <cellStyle name="Uwaga 2 9 30 3" xfId="40995"/>
    <cellStyle name="Uwaga 2 9 31" xfId="40996"/>
    <cellStyle name="Uwaga 2 9 31 2" xfId="40997"/>
    <cellStyle name="Uwaga 2 9 31 3" xfId="40998"/>
    <cellStyle name="Uwaga 2 9 32" xfId="40999"/>
    <cellStyle name="Uwaga 2 9 32 2" xfId="41000"/>
    <cellStyle name="Uwaga 2 9 32 3" xfId="41001"/>
    <cellStyle name="Uwaga 2 9 33" xfId="41002"/>
    <cellStyle name="Uwaga 2 9 33 2" xfId="41003"/>
    <cellStyle name="Uwaga 2 9 33 3" xfId="41004"/>
    <cellStyle name="Uwaga 2 9 34" xfId="41005"/>
    <cellStyle name="Uwaga 2 9 34 2" xfId="41006"/>
    <cellStyle name="Uwaga 2 9 34 3" xfId="41007"/>
    <cellStyle name="Uwaga 2 9 35" xfId="41008"/>
    <cellStyle name="Uwaga 2 9 35 2" xfId="41009"/>
    <cellStyle name="Uwaga 2 9 35 3" xfId="41010"/>
    <cellStyle name="Uwaga 2 9 36" xfId="41011"/>
    <cellStyle name="Uwaga 2 9 36 2" xfId="41012"/>
    <cellStyle name="Uwaga 2 9 36 3" xfId="41013"/>
    <cellStyle name="Uwaga 2 9 37" xfId="41014"/>
    <cellStyle name="Uwaga 2 9 37 2" xfId="41015"/>
    <cellStyle name="Uwaga 2 9 37 3" xfId="41016"/>
    <cellStyle name="Uwaga 2 9 38" xfId="41017"/>
    <cellStyle name="Uwaga 2 9 38 2" xfId="41018"/>
    <cellStyle name="Uwaga 2 9 38 3" xfId="41019"/>
    <cellStyle name="Uwaga 2 9 39" xfId="41020"/>
    <cellStyle name="Uwaga 2 9 39 2" xfId="41021"/>
    <cellStyle name="Uwaga 2 9 39 3" xfId="41022"/>
    <cellStyle name="Uwaga 2 9 4" xfId="41023"/>
    <cellStyle name="Uwaga 2 9 4 2" xfId="41024"/>
    <cellStyle name="Uwaga 2 9 4 3" xfId="41025"/>
    <cellStyle name="Uwaga 2 9 4 4" xfId="41026"/>
    <cellStyle name="Uwaga 2 9 40" xfId="41027"/>
    <cellStyle name="Uwaga 2 9 40 2" xfId="41028"/>
    <cellStyle name="Uwaga 2 9 40 3" xfId="41029"/>
    <cellStyle name="Uwaga 2 9 41" xfId="41030"/>
    <cellStyle name="Uwaga 2 9 41 2" xfId="41031"/>
    <cellStyle name="Uwaga 2 9 41 3" xfId="41032"/>
    <cellStyle name="Uwaga 2 9 42" xfId="41033"/>
    <cellStyle name="Uwaga 2 9 42 2" xfId="41034"/>
    <cellStyle name="Uwaga 2 9 42 3" xfId="41035"/>
    <cellStyle name="Uwaga 2 9 43" xfId="41036"/>
    <cellStyle name="Uwaga 2 9 43 2" xfId="41037"/>
    <cellStyle name="Uwaga 2 9 43 3" xfId="41038"/>
    <cellStyle name="Uwaga 2 9 44" xfId="41039"/>
    <cellStyle name="Uwaga 2 9 44 2" xfId="41040"/>
    <cellStyle name="Uwaga 2 9 44 3" xfId="41041"/>
    <cellStyle name="Uwaga 2 9 45" xfId="41042"/>
    <cellStyle name="Uwaga 2 9 45 2" xfId="41043"/>
    <cellStyle name="Uwaga 2 9 45 3" xfId="41044"/>
    <cellStyle name="Uwaga 2 9 46" xfId="41045"/>
    <cellStyle name="Uwaga 2 9 46 2" xfId="41046"/>
    <cellStyle name="Uwaga 2 9 46 3" xfId="41047"/>
    <cellStyle name="Uwaga 2 9 47" xfId="41048"/>
    <cellStyle name="Uwaga 2 9 47 2" xfId="41049"/>
    <cellStyle name="Uwaga 2 9 47 3" xfId="41050"/>
    <cellStyle name="Uwaga 2 9 48" xfId="41051"/>
    <cellStyle name="Uwaga 2 9 48 2" xfId="41052"/>
    <cellStyle name="Uwaga 2 9 48 3" xfId="41053"/>
    <cellStyle name="Uwaga 2 9 49" xfId="41054"/>
    <cellStyle name="Uwaga 2 9 49 2" xfId="41055"/>
    <cellStyle name="Uwaga 2 9 49 3" xfId="41056"/>
    <cellStyle name="Uwaga 2 9 5" xfId="41057"/>
    <cellStyle name="Uwaga 2 9 5 2" xfId="41058"/>
    <cellStyle name="Uwaga 2 9 5 3" xfId="41059"/>
    <cellStyle name="Uwaga 2 9 5 4" xfId="41060"/>
    <cellStyle name="Uwaga 2 9 50" xfId="41061"/>
    <cellStyle name="Uwaga 2 9 50 2" xfId="41062"/>
    <cellStyle name="Uwaga 2 9 50 3" xfId="41063"/>
    <cellStyle name="Uwaga 2 9 51" xfId="41064"/>
    <cellStyle name="Uwaga 2 9 51 2" xfId="41065"/>
    <cellStyle name="Uwaga 2 9 51 3" xfId="41066"/>
    <cellStyle name="Uwaga 2 9 52" xfId="41067"/>
    <cellStyle name="Uwaga 2 9 52 2" xfId="41068"/>
    <cellStyle name="Uwaga 2 9 52 3" xfId="41069"/>
    <cellStyle name="Uwaga 2 9 53" xfId="41070"/>
    <cellStyle name="Uwaga 2 9 53 2" xfId="41071"/>
    <cellStyle name="Uwaga 2 9 53 3" xfId="41072"/>
    <cellStyle name="Uwaga 2 9 54" xfId="41073"/>
    <cellStyle name="Uwaga 2 9 54 2" xfId="41074"/>
    <cellStyle name="Uwaga 2 9 54 3" xfId="41075"/>
    <cellStyle name="Uwaga 2 9 55" xfId="41076"/>
    <cellStyle name="Uwaga 2 9 55 2" xfId="41077"/>
    <cellStyle name="Uwaga 2 9 55 3" xfId="41078"/>
    <cellStyle name="Uwaga 2 9 56" xfId="41079"/>
    <cellStyle name="Uwaga 2 9 56 2" xfId="41080"/>
    <cellStyle name="Uwaga 2 9 56 3" xfId="41081"/>
    <cellStyle name="Uwaga 2 9 57" xfId="41082"/>
    <cellStyle name="Uwaga 2 9 58" xfId="41083"/>
    <cellStyle name="Uwaga 2 9 6" xfId="41084"/>
    <cellStyle name="Uwaga 2 9 6 2" xfId="41085"/>
    <cellStyle name="Uwaga 2 9 6 3" xfId="41086"/>
    <cellStyle name="Uwaga 2 9 6 4" xfId="41087"/>
    <cellStyle name="Uwaga 2 9 7" xfId="41088"/>
    <cellStyle name="Uwaga 2 9 7 2" xfId="41089"/>
    <cellStyle name="Uwaga 2 9 7 3" xfId="41090"/>
    <cellStyle name="Uwaga 2 9 7 4" xfId="41091"/>
    <cellStyle name="Uwaga 2 9 8" xfId="41092"/>
    <cellStyle name="Uwaga 2 9 8 2" xfId="41093"/>
    <cellStyle name="Uwaga 2 9 8 3" xfId="41094"/>
    <cellStyle name="Uwaga 2 9 8 4" xfId="41095"/>
    <cellStyle name="Uwaga 2 9 9" xfId="41096"/>
    <cellStyle name="Uwaga 2 9 9 2" xfId="41097"/>
    <cellStyle name="Uwaga 2 9 9 3" xfId="41098"/>
    <cellStyle name="Uwaga 2 9 9 4" xfId="41099"/>
    <cellStyle name="Uwaga 2 90" xfId="41100"/>
    <cellStyle name="Uwaga 2 91" xfId="41101"/>
    <cellStyle name="Uwaga 20" xfId="41102"/>
    <cellStyle name="Uwaga 21" xfId="41103"/>
    <cellStyle name="Uwaga 22" xfId="41104"/>
    <cellStyle name="Uwaga 23" xfId="41105"/>
    <cellStyle name="Uwaga 24" xfId="41106"/>
    <cellStyle name="Uwaga 25" xfId="41107"/>
    <cellStyle name="Uwaga 26" xfId="41108"/>
    <cellStyle name="Uwaga 27" xfId="41109"/>
    <cellStyle name="Uwaga 28" xfId="41110"/>
    <cellStyle name="Uwaga 29" xfId="41111"/>
    <cellStyle name="Uwaga 3" xfId="41112"/>
    <cellStyle name="Uwaga 3 10" xfId="41113"/>
    <cellStyle name="Uwaga 3 10 2" xfId="41114"/>
    <cellStyle name="Uwaga 3 11" xfId="41115"/>
    <cellStyle name="Uwaga 3 11 2" xfId="41116"/>
    <cellStyle name="Uwaga 3 12" xfId="41117"/>
    <cellStyle name="Uwaga 3 12 2" xfId="41118"/>
    <cellStyle name="Uwaga 3 13" xfId="41119"/>
    <cellStyle name="Uwaga 3 13 2" xfId="41120"/>
    <cellStyle name="Uwaga 3 14" xfId="41121"/>
    <cellStyle name="Uwaga 3 14 2" xfId="41122"/>
    <cellStyle name="Uwaga 3 15" xfId="41123"/>
    <cellStyle name="Uwaga 3 15 2" xfId="41124"/>
    <cellStyle name="Uwaga 3 16" xfId="41125"/>
    <cellStyle name="Uwaga 3 16 2" xfId="41126"/>
    <cellStyle name="Uwaga 3 17" xfId="41127"/>
    <cellStyle name="Uwaga 3 17 2" xfId="41128"/>
    <cellStyle name="Uwaga 3 18" xfId="41129"/>
    <cellStyle name="Uwaga 3 18 2" xfId="41130"/>
    <cellStyle name="Uwaga 3 19" xfId="41131"/>
    <cellStyle name="Uwaga 3 19 2" xfId="41132"/>
    <cellStyle name="Uwaga 3 2" xfId="41133"/>
    <cellStyle name="Uwaga 3 2 10" xfId="41134"/>
    <cellStyle name="Uwaga 3 2 10 2" xfId="41135"/>
    <cellStyle name="Uwaga 3 2 11" xfId="41136"/>
    <cellStyle name="Uwaga 3 2 11 2" xfId="41137"/>
    <cellStyle name="Uwaga 3 2 12" xfId="41138"/>
    <cellStyle name="Uwaga 3 2 12 2" xfId="41139"/>
    <cellStyle name="Uwaga 3 2 13" xfId="41140"/>
    <cellStyle name="Uwaga 3 2 13 2" xfId="41141"/>
    <cellStyle name="Uwaga 3 2 14" xfId="41142"/>
    <cellStyle name="Uwaga 3 2 14 2" xfId="41143"/>
    <cellStyle name="Uwaga 3 2 15" xfId="41144"/>
    <cellStyle name="Uwaga 3 2 15 2" xfId="41145"/>
    <cellStyle name="Uwaga 3 2 16" xfId="41146"/>
    <cellStyle name="Uwaga 3 2 16 2" xfId="41147"/>
    <cellStyle name="Uwaga 3 2 17" xfId="41148"/>
    <cellStyle name="Uwaga 3 2 17 2" xfId="41149"/>
    <cellStyle name="Uwaga 3 2 18" xfId="41150"/>
    <cellStyle name="Uwaga 3 2 18 2" xfId="41151"/>
    <cellStyle name="Uwaga 3 2 19" xfId="41152"/>
    <cellStyle name="Uwaga 3 2 19 2" xfId="41153"/>
    <cellStyle name="Uwaga 3 2 2" xfId="41154"/>
    <cellStyle name="Uwaga 3 2 2 10" xfId="41155"/>
    <cellStyle name="Uwaga 3 2 2 11" xfId="41156"/>
    <cellStyle name="Uwaga 3 2 2 12" xfId="41157"/>
    <cellStyle name="Uwaga 3 2 2 13" xfId="41158"/>
    <cellStyle name="Uwaga 3 2 2 14" xfId="41159"/>
    <cellStyle name="Uwaga 3 2 2 15" xfId="41160"/>
    <cellStyle name="Uwaga 3 2 2 16" xfId="41161"/>
    <cellStyle name="Uwaga 3 2 2 17" xfId="41162"/>
    <cellStyle name="Uwaga 3 2 2 18" xfId="41163"/>
    <cellStyle name="Uwaga 3 2 2 19" xfId="41164"/>
    <cellStyle name="Uwaga 3 2 2 2" xfId="41165"/>
    <cellStyle name="Uwaga 3 2 2 3" xfId="41166"/>
    <cellStyle name="Uwaga 3 2 2 4" xfId="41167"/>
    <cellStyle name="Uwaga 3 2 2 5" xfId="41168"/>
    <cellStyle name="Uwaga 3 2 2 6" xfId="41169"/>
    <cellStyle name="Uwaga 3 2 2 7" xfId="41170"/>
    <cellStyle name="Uwaga 3 2 2 8" xfId="41171"/>
    <cellStyle name="Uwaga 3 2 2 9" xfId="41172"/>
    <cellStyle name="Uwaga 3 2 20" xfId="41173"/>
    <cellStyle name="Uwaga 3 2 20 2" xfId="41174"/>
    <cellStyle name="Uwaga 3 2 21" xfId="41175"/>
    <cellStyle name="Uwaga 3 2 21 2" xfId="41176"/>
    <cellStyle name="Uwaga 3 2 22" xfId="41177"/>
    <cellStyle name="Uwaga 3 2 22 2" xfId="41178"/>
    <cellStyle name="Uwaga 3 2 23" xfId="41179"/>
    <cellStyle name="Uwaga 3 2 23 2" xfId="41180"/>
    <cellStyle name="Uwaga 3 2 24" xfId="41181"/>
    <cellStyle name="Uwaga 3 2 24 2" xfId="41182"/>
    <cellStyle name="Uwaga 3 2 25" xfId="41183"/>
    <cellStyle name="Uwaga 3 2 25 2" xfId="41184"/>
    <cellStyle name="Uwaga 3 2 26" xfId="41185"/>
    <cellStyle name="Uwaga 3 2 26 2" xfId="41186"/>
    <cellStyle name="Uwaga 3 2 27" xfId="41187"/>
    <cellStyle name="Uwaga 3 2 27 2" xfId="41188"/>
    <cellStyle name="Uwaga 3 2 28" xfId="41189"/>
    <cellStyle name="Uwaga 3 2 28 2" xfId="41190"/>
    <cellStyle name="Uwaga 3 2 29" xfId="41191"/>
    <cellStyle name="Uwaga 3 2 29 2" xfId="41192"/>
    <cellStyle name="Uwaga 3 2 3" xfId="41193"/>
    <cellStyle name="Uwaga 3 2 3 10" xfId="41194"/>
    <cellStyle name="Uwaga 3 2 3 11" xfId="41195"/>
    <cellStyle name="Uwaga 3 2 3 12" xfId="41196"/>
    <cellStyle name="Uwaga 3 2 3 13" xfId="41197"/>
    <cellStyle name="Uwaga 3 2 3 14" xfId="41198"/>
    <cellStyle name="Uwaga 3 2 3 15" xfId="41199"/>
    <cellStyle name="Uwaga 3 2 3 16" xfId="41200"/>
    <cellStyle name="Uwaga 3 2 3 17" xfId="41201"/>
    <cellStyle name="Uwaga 3 2 3 18" xfId="41202"/>
    <cellStyle name="Uwaga 3 2 3 19" xfId="41203"/>
    <cellStyle name="Uwaga 3 2 3 2" xfId="41204"/>
    <cellStyle name="Uwaga 3 2 3 3" xfId="41205"/>
    <cellStyle name="Uwaga 3 2 3 4" xfId="41206"/>
    <cellStyle name="Uwaga 3 2 3 5" xfId="41207"/>
    <cellStyle name="Uwaga 3 2 3 6" xfId="41208"/>
    <cellStyle name="Uwaga 3 2 3 7" xfId="41209"/>
    <cellStyle name="Uwaga 3 2 3 8" xfId="41210"/>
    <cellStyle name="Uwaga 3 2 3 9" xfId="41211"/>
    <cellStyle name="Uwaga 3 2 30" xfId="41212"/>
    <cellStyle name="Uwaga 3 2 30 2" xfId="41213"/>
    <cellStyle name="Uwaga 3 2 31" xfId="41214"/>
    <cellStyle name="Uwaga 3 2 31 2" xfId="41215"/>
    <cellStyle name="Uwaga 3 2 32" xfId="41216"/>
    <cellStyle name="Uwaga 3 2 33" xfId="41217"/>
    <cellStyle name="Uwaga 3 2 34" xfId="41218"/>
    <cellStyle name="Uwaga 3 2 35" xfId="41219"/>
    <cellStyle name="Uwaga 3 2 36" xfId="41220"/>
    <cellStyle name="Uwaga 3 2 37" xfId="41221"/>
    <cellStyle name="Uwaga 3 2 38" xfId="41222"/>
    <cellStyle name="Uwaga 3 2 39" xfId="41223"/>
    <cellStyle name="Uwaga 3 2 4" xfId="41224"/>
    <cellStyle name="Uwaga 3 2 4 10" xfId="41225"/>
    <cellStyle name="Uwaga 3 2 4 11" xfId="41226"/>
    <cellStyle name="Uwaga 3 2 4 12" xfId="41227"/>
    <cellStyle name="Uwaga 3 2 4 13" xfId="41228"/>
    <cellStyle name="Uwaga 3 2 4 14" xfId="41229"/>
    <cellStyle name="Uwaga 3 2 4 15" xfId="41230"/>
    <cellStyle name="Uwaga 3 2 4 16" xfId="41231"/>
    <cellStyle name="Uwaga 3 2 4 17" xfId="41232"/>
    <cellStyle name="Uwaga 3 2 4 18" xfId="41233"/>
    <cellStyle name="Uwaga 3 2 4 19" xfId="41234"/>
    <cellStyle name="Uwaga 3 2 4 2" xfId="41235"/>
    <cellStyle name="Uwaga 3 2 4 3" xfId="41236"/>
    <cellStyle name="Uwaga 3 2 4 4" xfId="41237"/>
    <cellStyle name="Uwaga 3 2 4 5" xfId="41238"/>
    <cellStyle name="Uwaga 3 2 4 6" xfId="41239"/>
    <cellStyle name="Uwaga 3 2 4 7" xfId="41240"/>
    <cellStyle name="Uwaga 3 2 4 8" xfId="41241"/>
    <cellStyle name="Uwaga 3 2 4 9" xfId="41242"/>
    <cellStyle name="Uwaga 3 2 40" xfId="41243"/>
    <cellStyle name="Uwaga 3 2 41" xfId="41244"/>
    <cellStyle name="Uwaga 3 2 42" xfId="41245"/>
    <cellStyle name="Uwaga 3 2 43" xfId="41246"/>
    <cellStyle name="Uwaga 3 2 44" xfId="41247"/>
    <cellStyle name="Uwaga 3 2 45" xfId="41248"/>
    <cellStyle name="Uwaga 3 2 46" xfId="41249"/>
    <cellStyle name="Uwaga 3 2 47" xfId="41250"/>
    <cellStyle name="Uwaga 3 2 48" xfId="41251"/>
    <cellStyle name="Uwaga 3 2 49" xfId="41252"/>
    <cellStyle name="Uwaga 3 2 5" xfId="41253"/>
    <cellStyle name="Uwaga 3 2 5 10" xfId="41254"/>
    <cellStyle name="Uwaga 3 2 5 11" xfId="41255"/>
    <cellStyle name="Uwaga 3 2 5 12" xfId="41256"/>
    <cellStyle name="Uwaga 3 2 5 13" xfId="41257"/>
    <cellStyle name="Uwaga 3 2 5 14" xfId="41258"/>
    <cellStyle name="Uwaga 3 2 5 15" xfId="41259"/>
    <cellStyle name="Uwaga 3 2 5 16" xfId="41260"/>
    <cellStyle name="Uwaga 3 2 5 17" xfId="41261"/>
    <cellStyle name="Uwaga 3 2 5 18" xfId="41262"/>
    <cellStyle name="Uwaga 3 2 5 19" xfId="41263"/>
    <cellStyle name="Uwaga 3 2 5 2" xfId="41264"/>
    <cellStyle name="Uwaga 3 2 5 3" xfId="41265"/>
    <cellStyle name="Uwaga 3 2 5 4" xfId="41266"/>
    <cellStyle name="Uwaga 3 2 5 5" xfId="41267"/>
    <cellStyle name="Uwaga 3 2 5 6" xfId="41268"/>
    <cellStyle name="Uwaga 3 2 5 7" xfId="41269"/>
    <cellStyle name="Uwaga 3 2 5 8" xfId="41270"/>
    <cellStyle name="Uwaga 3 2 5 9" xfId="41271"/>
    <cellStyle name="Uwaga 3 2 50" xfId="41272"/>
    <cellStyle name="Uwaga 3 2 51" xfId="41273"/>
    <cellStyle name="Uwaga 3 2 52" xfId="41274"/>
    <cellStyle name="Uwaga 3 2 53" xfId="41275"/>
    <cellStyle name="Uwaga 3 2 54" xfId="41276"/>
    <cellStyle name="Uwaga 3 2 55" xfId="41277"/>
    <cellStyle name="Uwaga 3 2 56" xfId="41278"/>
    <cellStyle name="Uwaga 3 2 57" xfId="41279"/>
    <cellStyle name="Uwaga 3 2 58" xfId="41280"/>
    <cellStyle name="Uwaga 3 2 59" xfId="41281"/>
    <cellStyle name="Uwaga 3 2 6" xfId="41282"/>
    <cellStyle name="Uwaga 3 2 6 2" xfId="41283"/>
    <cellStyle name="Uwaga 3 2 60" xfId="41284"/>
    <cellStyle name="Uwaga 3 2 61" xfId="41285"/>
    <cellStyle name="Uwaga 3 2 62" xfId="41286"/>
    <cellStyle name="Uwaga 3 2 63" xfId="41287"/>
    <cellStyle name="Uwaga 3 2 64" xfId="41288"/>
    <cellStyle name="Uwaga 3 2 65" xfId="41289"/>
    <cellStyle name="Uwaga 3 2 66" xfId="41290"/>
    <cellStyle name="Uwaga 3 2 67" xfId="41291"/>
    <cellStyle name="Uwaga 3 2 68" xfId="41292"/>
    <cellStyle name="Uwaga 3 2 69" xfId="41293"/>
    <cellStyle name="Uwaga 3 2 7" xfId="41294"/>
    <cellStyle name="Uwaga 3 2 7 2" xfId="41295"/>
    <cellStyle name="Uwaga 3 2 70" xfId="41296"/>
    <cellStyle name="Uwaga 3 2 71" xfId="41297"/>
    <cellStyle name="Uwaga 3 2 72" xfId="41298"/>
    <cellStyle name="Uwaga 3 2 73" xfId="41299"/>
    <cellStyle name="Uwaga 3 2 74" xfId="41300"/>
    <cellStyle name="Uwaga 3 2 75" xfId="41301"/>
    <cellStyle name="Uwaga 3 2 8" xfId="41302"/>
    <cellStyle name="Uwaga 3 2 8 2" xfId="41303"/>
    <cellStyle name="Uwaga 3 2 9" xfId="41304"/>
    <cellStyle name="Uwaga 3 2 9 2" xfId="41305"/>
    <cellStyle name="Uwaga 3 20" xfId="41306"/>
    <cellStyle name="Uwaga 3 20 2" xfId="41307"/>
    <cellStyle name="Uwaga 3 21" xfId="41308"/>
    <cellStyle name="Uwaga 3 21 2" xfId="41309"/>
    <cellStyle name="Uwaga 3 22" xfId="41310"/>
    <cellStyle name="Uwaga 3 22 2" xfId="41311"/>
    <cellStyle name="Uwaga 3 23" xfId="41312"/>
    <cellStyle name="Uwaga 3 23 2" xfId="41313"/>
    <cellStyle name="Uwaga 3 24" xfId="41314"/>
    <cellStyle name="Uwaga 3 24 2" xfId="41315"/>
    <cellStyle name="Uwaga 3 25" xfId="41316"/>
    <cellStyle name="Uwaga 3 25 2" xfId="41317"/>
    <cellStyle name="Uwaga 3 26" xfId="41318"/>
    <cellStyle name="Uwaga 3 26 2" xfId="41319"/>
    <cellStyle name="Uwaga 3 27" xfId="41320"/>
    <cellStyle name="Uwaga 3 27 2" xfId="41321"/>
    <cellStyle name="Uwaga 3 28" xfId="41322"/>
    <cellStyle name="Uwaga 3 28 2" xfId="41323"/>
    <cellStyle name="Uwaga 3 29" xfId="41324"/>
    <cellStyle name="Uwaga 3 29 2" xfId="41325"/>
    <cellStyle name="Uwaga 3 3" xfId="41326"/>
    <cellStyle name="Uwaga 3 3 10" xfId="41327"/>
    <cellStyle name="Uwaga 3 3 10 2" xfId="41328"/>
    <cellStyle name="Uwaga 3 3 11" xfId="41329"/>
    <cellStyle name="Uwaga 3 3 11 2" xfId="41330"/>
    <cellStyle name="Uwaga 3 3 12" xfId="41331"/>
    <cellStyle name="Uwaga 3 3 12 2" xfId="41332"/>
    <cellStyle name="Uwaga 3 3 13" xfId="41333"/>
    <cellStyle name="Uwaga 3 3 13 2" xfId="41334"/>
    <cellStyle name="Uwaga 3 3 14" xfId="41335"/>
    <cellStyle name="Uwaga 3 3 14 2" xfId="41336"/>
    <cellStyle name="Uwaga 3 3 15" xfId="41337"/>
    <cellStyle name="Uwaga 3 3 15 2" xfId="41338"/>
    <cellStyle name="Uwaga 3 3 16" xfId="41339"/>
    <cellStyle name="Uwaga 3 3 16 2" xfId="41340"/>
    <cellStyle name="Uwaga 3 3 17" xfId="41341"/>
    <cellStyle name="Uwaga 3 3 17 2" xfId="41342"/>
    <cellStyle name="Uwaga 3 3 18" xfId="41343"/>
    <cellStyle name="Uwaga 3 3 18 2" xfId="41344"/>
    <cellStyle name="Uwaga 3 3 19" xfId="41345"/>
    <cellStyle name="Uwaga 3 3 19 2" xfId="41346"/>
    <cellStyle name="Uwaga 3 3 2" xfId="41347"/>
    <cellStyle name="Uwaga 3 3 2 10" xfId="41348"/>
    <cellStyle name="Uwaga 3 3 2 11" xfId="41349"/>
    <cellStyle name="Uwaga 3 3 2 12" xfId="41350"/>
    <cellStyle name="Uwaga 3 3 2 13" xfId="41351"/>
    <cellStyle name="Uwaga 3 3 2 14" xfId="41352"/>
    <cellStyle name="Uwaga 3 3 2 15" xfId="41353"/>
    <cellStyle name="Uwaga 3 3 2 16" xfId="41354"/>
    <cellStyle name="Uwaga 3 3 2 17" xfId="41355"/>
    <cellStyle name="Uwaga 3 3 2 18" xfId="41356"/>
    <cellStyle name="Uwaga 3 3 2 19" xfId="41357"/>
    <cellStyle name="Uwaga 3 3 2 2" xfId="41358"/>
    <cellStyle name="Uwaga 3 3 2 3" xfId="41359"/>
    <cellStyle name="Uwaga 3 3 2 4" xfId="41360"/>
    <cellStyle name="Uwaga 3 3 2 5" xfId="41361"/>
    <cellStyle name="Uwaga 3 3 2 6" xfId="41362"/>
    <cellStyle name="Uwaga 3 3 2 7" xfId="41363"/>
    <cellStyle name="Uwaga 3 3 2 8" xfId="41364"/>
    <cellStyle name="Uwaga 3 3 2 9" xfId="41365"/>
    <cellStyle name="Uwaga 3 3 20" xfId="41366"/>
    <cellStyle name="Uwaga 3 3 20 2" xfId="41367"/>
    <cellStyle name="Uwaga 3 3 21" xfId="41368"/>
    <cellStyle name="Uwaga 3 3 21 2" xfId="41369"/>
    <cellStyle name="Uwaga 3 3 22" xfId="41370"/>
    <cellStyle name="Uwaga 3 3 22 2" xfId="41371"/>
    <cellStyle name="Uwaga 3 3 23" xfId="41372"/>
    <cellStyle name="Uwaga 3 3 23 2" xfId="41373"/>
    <cellStyle name="Uwaga 3 3 24" xfId="41374"/>
    <cellStyle name="Uwaga 3 3 24 2" xfId="41375"/>
    <cellStyle name="Uwaga 3 3 25" xfId="41376"/>
    <cellStyle name="Uwaga 3 3 25 2" xfId="41377"/>
    <cellStyle name="Uwaga 3 3 26" xfId="41378"/>
    <cellStyle name="Uwaga 3 3 26 2" xfId="41379"/>
    <cellStyle name="Uwaga 3 3 27" xfId="41380"/>
    <cellStyle name="Uwaga 3 3 27 2" xfId="41381"/>
    <cellStyle name="Uwaga 3 3 28" xfId="41382"/>
    <cellStyle name="Uwaga 3 3 28 2" xfId="41383"/>
    <cellStyle name="Uwaga 3 3 29" xfId="41384"/>
    <cellStyle name="Uwaga 3 3 29 2" xfId="41385"/>
    <cellStyle name="Uwaga 3 3 3" xfId="41386"/>
    <cellStyle name="Uwaga 3 3 3 10" xfId="41387"/>
    <cellStyle name="Uwaga 3 3 3 11" xfId="41388"/>
    <cellStyle name="Uwaga 3 3 3 12" xfId="41389"/>
    <cellStyle name="Uwaga 3 3 3 13" xfId="41390"/>
    <cellStyle name="Uwaga 3 3 3 14" xfId="41391"/>
    <cellStyle name="Uwaga 3 3 3 15" xfId="41392"/>
    <cellStyle name="Uwaga 3 3 3 16" xfId="41393"/>
    <cellStyle name="Uwaga 3 3 3 17" xfId="41394"/>
    <cellStyle name="Uwaga 3 3 3 18" xfId="41395"/>
    <cellStyle name="Uwaga 3 3 3 19" xfId="41396"/>
    <cellStyle name="Uwaga 3 3 3 2" xfId="41397"/>
    <cellStyle name="Uwaga 3 3 3 3" xfId="41398"/>
    <cellStyle name="Uwaga 3 3 3 4" xfId="41399"/>
    <cellStyle name="Uwaga 3 3 3 5" xfId="41400"/>
    <cellStyle name="Uwaga 3 3 3 6" xfId="41401"/>
    <cellStyle name="Uwaga 3 3 3 7" xfId="41402"/>
    <cellStyle name="Uwaga 3 3 3 8" xfId="41403"/>
    <cellStyle name="Uwaga 3 3 3 9" xfId="41404"/>
    <cellStyle name="Uwaga 3 3 30" xfId="41405"/>
    <cellStyle name="Uwaga 3 3 30 2" xfId="41406"/>
    <cellStyle name="Uwaga 3 3 31" xfId="41407"/>
    <cellStyle name="Uwaga 3 3 31 2" xfId="41408"/>
    <cellStyle name="Uwaga 3 3 32" xfId="41409"/>
    <cellStyle name="Uwaga 3 3 32 2" xfId="41410"/>
    <cellStyle name="Uwaga 3 3 33" xfId="41411"/>
    <cellStyle name="Uwaga 3 3 33 2" xfId="41412"/>
    <cellStyle name="Uwaga 3 3 34" xfId="41413"/>
    <cellStyle name="Uwaga 3 3 34 2" xfId="41414"/>
    <cellStyle name="Uwaga 3 3 35" xfId="41415"/>
    <cellStyle name="Uwaga 3 3 35 2" xfId="41416"/>
    <cellStyle name="Uwaga 3 3 36" xfId="41417"/>
    <cellStyle name="Uwaga 3 3 36 2" xfId="41418"/>
    <cellStyle name="Uwaga 3 3 37" xfId="41419"/>
    <cellStyle name="Uwaga 3 3 37 2" xfId="41420"/>
    <cellStyle name="Uwaga 3 3 38" xfId="41421"/>
    <cellStyle name="Uwaga 3 3 38 2" xfId="41422"/>
    <cellStyle name="Uwaga 3 3 39" xfId="41423"/>
    <cellStyle name="Uwaga 3 3 39 2" xfId="41424"/>
    <cellStyle name="Uwaga 3 3 4" xfId="41425"/>
    <cellStyle name="Uwaga 3 3 4 10" xfId="41426"/>
    <cellStyle name="Uwaga 3 3 4 11" xfId="41427"/>
    <cellStyle name="Uwaga 3 3 4 12" xfId="41428"/>
    <cellStyle name="Uwaga 3 3 4 13" xfId="41429"/>
    <cellStyle name="Uwaga 3 3 4 14" xfId="41430"/>
    <cellStyle name="Uwaga 3 3 4 15" xfId="41431"/>
    <cellStyle name="Uwaga 3 3 4 16" xfId="41432"/>
    <cellStyle name="Uwaga 3 3 4 17" xfId="41433"/>
    <cellStyle name="Uwaga 3 3 4 18" xfId="41434"/>
    <cellStyle name="Uwaga 3 3 4 19" xfId="41435"/>
    <cellStyle name="Uwaga 3 3 4 2" xfId="41436"/>
    <cellStyle name="Uwaga 3 3 4 3" xfId="41437"/>
    <cellStyle name="Uwaga 3 3 4 4" xfId="41438"/>
    <cellStyle name="Uwaga 3 3 4 5" xfId="41439"/>
    <cellStyle name="Uwaga 3 3 4 6" xfId="41440"/>
    <cellStyle name="Uwaga 3 3 4 7" xfId="41441"/>
    <cellStyle name="Uwaga 3 3 4 8" xfId="41442"/>
    <cellStyle name="Uwaga 3 3 4 9" xfId="41443"/>
    <cellStyle name="Uwaga 3 3 40" xfId="41444"/>
    <cellStyle name="Uwaga 3 3 40 2" xfId="41445"/>
    <cellStyle name="Uwaga 3 3 41" xfId="41446"/>
    <cellStyle name="Uwaga 3 3 41 2" xfId="41447"/>
    <cellStyle name="Uwaga 3 3 42" xfId="41448"/>
    <cellStyle name="Uwaga 3 3 42 2" xfId="41449"/>
    <cellStyle name="Uwaga 3 3 43" xfId="41450"/>
    <cellStyle name="Uwaga 3 3 43 2" xfId="41451"/>
    <cellStyle name="Uwaga 3 3 44" xfId="41452"/>
    <cellStyle name="Uwaga 3 3 45" xfId="41453"/>
    <cellStyle name="Uwaga 3 3 46" xfId="41454"/>
    <cellStyle name="Uwaga 3 3 47" xfId="41455"/>
    <cellStyle name="Uwaga 3 3 48" xfId="41456"/>
    <cellStyle name="Uwaga 3 3 49" xfId="41457"/>
    <cellStyle name="Uwaga 3 3 5" xfId="41458"/>
    <cellStyle name="Uwaga 3 3 5 10" xfId="41459"/>
    <cellStyle name="Uwaga 3 3 5 11" xfId="41460"/>
    <cellStyle name="Uwaga 3 3 5 12" xfId="41461"/>
    <cellStyle name="Uwaga 3 3 5 13" xfId="41462"/>
    <cellStyle name="Uwaga 3 3 5 14" xfId="41463"/>
    <cellStyle name="Uwaga 3 3 5 15" xfId="41464"/>
    <cellStyle name="Uwaga 3 3 5 16" xfId="41465"/>
    <cellStyle name="Uwaga 3 3 5 17" xfId="41466"/>
    <cellStyle name="Uwaga 3 3 5 18" xfId="41467"/>
    <cellStyle name="Uwaga 3 3 5 19" xfId="41468"/>
    <cellStyle name="Uwaga 3 3 5 2" xfId="41469"/>
    <cellStyle name="Uwaga 3 3 5 3" xfId="41470"/>
    <cellStyle name="Uwaga 3 3 5 4" xfId="41471"/>
    <cellStyle name="Uwaga 3 3 5 5" xfId="41472"/>
    <cellStyle name="Uwaga 3 3 5 6" xfId="41473"/>
    <cellStyle name="Uwaga 3 3 5 7" xfId="41474"/>
    <cellStyle name="Uwaga 3 3 5 8" xfId="41475"/>
    <cellStyle name="Uwaga 3 3 5 9" xfId="41476"/>
    <cellStyle name="Uwaga 3 3 50" xfId="41477"/>
    <cellStyle name="Uwaga 3 3 51" xfId="41478"/>
    <cellStyle name="Uwaga 3 3 52" xfId="41479"/>
    <cellStyle name="Uwaga 3 3 53" xfId="41480"/>
    <cellStyle name="Uwaga 3 3 54" xfId="41481"/>
    <cellStyle name="Uwaga 3 3 55" xfId="41482"/>
    <cellStyle name="Uwaga 3 3 56" xfId="41483"/>
    <cellStyle name="Uwaga 3 3 57" xfId="41484"/>
    <cellStyle name="Uwaga 3 3 58" xfId="41485"/>
    <cellStyle name="Uwaga 3 3 59" xfId="41486"/>
    <cellStyle name="Uwaga 3 3 6" xfId="41487"/>
    <cellStyle name="Uwaga 3 3 6 2" xfId="41488"/>
    <cellStyle name="Uwaga 3 3 60" xfId="41489"/>
    <cellStyle name="Uwaga 3 3 61" xfId="41490"/>
    <cellStyle name="Uwaga 3 3 62" xfId="41491"/>
    <cellStyle name="Uwaga 3 3 63" xfId="41492"/>
    <cellStyle name="Uwaga 3 3 64" xfId="41493"/>
    <cellStyle name="Uwaga 3 3 65" xfId="41494"/>
    <cellStyle name="Uwaga 3 3 66" xfId="41495"/>
    <cellStyle name="Uwaga 3 3 67" xfId="41496"/>
    <cellStyle name="Uwaga 3 3 68" xfId="41497"/>
    <cellStyle name="Uwaga 3 3 69" xfId="41498"/>
    <cellStyle name="Uwaga 3 3 7" xfId="41499"/>
    <cellStyle name="Uwaga 3 3 7 2" xfId="41500"/>
    <cellStyle name="Uwaga 3 3 70" xfId="41501"/>
    <cellStyle name="Uwaga 3 3 71" xfId="41502"/>
    <cellStyle name="Uwaga 3 3 72" xfId="41503"/>
    <cellStyle name="Uwaga 3 3 73" xfId="41504"/>
    <cellStyle name="Uwaga 3 3 74" xfId="41505"/>
    <cellStyle name="Uwaga 3 3 75" xfId="41506"/>
    <cellStyle name="Uwaga 3 3 8" xfId="41507"/>
    <cellStyle name="Uwaga 3 3 8 2" xfId="41508"/>
    <cellStyle name="Uwaga 3 3 9" xfId="41509"/>
    <cellStyle name="Uwaga 3 3 9 2" xfId="41510"/>
    <cellStyle name="Uwaga 3 30" xfId="41511"/>
    <cellStyle name="Uwaga 3 30 2" xfId="41512"/>
    <cellStyle name="Uwaga 3 31" xfId="41513"/>
    <cellStyle name="Uwaga 3 31 2" xfId="41514"/>
    <cellStyle name="Uwaga 3 32" xfId="41515"/>
    <cellStyle name="Uwaga 3 32 2" xfId="41516"/>
    <cellStyle name="Uwaga 3 33" xfId="41517"/>
    <cellStyle name="Uwaga 3 33 2" xfId="41518"/>
    <cellStyle name="Uwaga 3 34" xfId="41519"/>
    <cellStyle name="Uwaga 3 34 2" xfId="41520"/>
    <cellStyle name="Uwaga 3 35" xfId="41521"/>
    <cellStyle name="Uwaga 3 35 2" xfId="41522"/>
    <cellStyle name="Uwaga 3 36" xfId="41523"/>
    <cellStyle name="Uwaga 3 36 2" xfId="41524"/>
    <cellStyle name="Uwaga 3 37" xfId="41525"/>
    <cellStyle name="Uwaga 3 37 2" xfId="41526"/>
    <cellStyle name="Uwaga 3 38" xfId="41527"/>
    <cellStyle name="Uwaga 3 38 2" xfId="41528"/>
    <cellStyle name="Uwaga 3 39" xfId="41529"/>
    <cellStyle name="Uwaga 3 39 2" xfId="41530"/>
    <cellStyle name="Uwaga 3 4" xfId="41531"/>
    <cellStyle name="Uwaga 3 4 10" xfId="41532"/>
    <cellStyle name="Uwaga 3 4 10 2" xfId="41533"/>
    <cellStyle name="Uwaga 3 4 11" xfId="41534"/>
    <cellStyle name="Uwaga 3 4 11 2" xfId="41535"/>
    <cellStyle name="Uwaga 3 4 12" xfId="41536"/>
    <cellStyle name="Uwaga 3 4 12 2" xfId="41537"/>
    <cellStyle name="Uwaga 3 4 13" xfId="41538"/>
    <cellStyle name="Uwaga 3 4 13 2" xfId="41539"/>
    <cellStyle name="Uwaga 3 4 14" xfId="41540"/>
    <cellStyle name="Uwaga 3 4 14 2" xfId="41541"/>
    <cellStyle name="Uwaga 3 4 15" xfId="41542"/>
    <cellStyle name="Uwaga 3 4 15 2" xfId="41543"/>
    <cellStyle name="Uwaga 3 4 16" xfId="41544"/>
    <cellStyle name="Uwaga 3 4 16 2" xfId="41545"/>
    <cellStyle name="Uwaga 3 4 17" xfId="41546"/>
    <cellStyle name="Uwaga 3 4 17 2" xfId="41547"/>
    <cellStyle name="Uwaga 3 4 18" xfId="41548"/>
    <cellStyle name="Uwaga 3 4 18 2" xfId="41549"/>
    <cellStyle name="Uwaga 3 4 19" xfId="41550"/>
    <cellStyle name="Uwaga 3 4 19 2" xfId="41551"/>
    <cellStyle name="Uwaga 3 4 2" xfId="41552"/>
    <cellStyle name="Uwaga 3 4 2 10" xfId="41553"/>
    <cellStyle name="Uwaga 3 4 2 11" xfId="41554"/>
    <cellStyle name="Uwaga 3 4 2 12" xfId="41555"/>
    <cellStyle name="Uwaga 3 4 2 13" xfId="41556"/>
    <cellStyle name="Uwaga 3 4 2 14" xfId="41557"/>
    <cellStyle name="Uwaga 3 4 2 15" xfId="41558"/>
    <cellStyle name="Uwaga 3 4 2 16" xfId="41559"/>
    <cellStyle name="Uwaga 3 4 2 17" xfId="41560"/>
    <cellStyle name="Uwaga 3 4 2 18" xfId="41561"/>
    <cellStyle name="Uwaga 3 4 2 19" xfId="41562"/>
    <cellStyle name="Uwaga 3 4 2 2" xfId="41563"/>
    <cellStyle name="Uwaga 3 4 2 3" xfId="41564"/>
    <cellStyle name="Uwaga 3 4 2 4" xfId="41565"/>
    <cellStyle name="Uwaga 3 4 2 5" xfId="41566"/>
    <cellStyle name="Uwaga 3 4 2 6" xfId="41567"/>
    <cellStyle name="Uwaga 3 4 2 7" xfId="41568"/>
    <cellStyle name="Uwaga 3 4 2 8" xfId="41569"/>
    <cellStyle name="Uwaga 3 4 2 9" xfId="41570"/>
    <cellStyle name="Uwaga 3 4 20" xfId="41571"/>
    <cellStyle name="Uwaga 3 4 20 2" xfId="41572"/>
    <cellStyle name="Uwaga 3 4 21" xfId="41573"/>
    <cellStyle name="Uwaga 3 4 21 2" xfId="41574"/>
    <cellStyle name="Uwaga 3 4 22" xfId="41575"/>
    <cellStyle name="Uwaga 3 4 22 2" xfId="41576"/>
    <cellStyle name="Uwaga 3 4 23" xfId="41577"/>
    <cellStyle name="Uwaga 3 4 23 2" xfId="41578"/>
    <cellStyle name="Uwaga 3 4 24" xfId="41579"/>
    <cellStyle name="Uwaga 3 4 24 2" xfId="41580"/>
    <cellStyle name="Uwaga 3 4 25" xfId="41581"/>
    <cellStyle name="Uwaga 3 4 25 2" xfId="41582"/>
    <cellStyle name="Uwaga 3 4 26" xfId="41583"/>
    <cellStyle name="Uwaga 3 4 26 2" xfId="41584"/>
    <cellStyle name="Uwaga 3 4 27" xfId="41585"/>
    <cellStyle name="Uwaga 3 4 27 2" xfId="41586"/>
    <cellStyle name="Uwaga 3 4 28" xfId="41587"/>
    <cellStyle name="Uwaga 3 4 28 2" xfId="41588"/>
    <cellStyle name="Uwaga 3 4 29" xfId="41589"/>
    <cellStyle name="Uwaga 3 4 29 2" xfId="41590"/>
    <cellStyle name="Uwaga 3 4 3" xfId="41591"/>
    <cellStyle name="Uwaga 3 4 3 10" xfId="41592"/>
    <cellStyle name="Uwaga 3 4 3 11" xfId="41593"/>
    <cellStyle name="Uwaga 3 4 3 12" xfId="41594"/>
    <cellStyle name="Uwaga 3 4 3 13" xfId="41595"/>
    <cellStyle name="Uwaga 3 4 3 14" xfId="41596"/>
    <cellStyle name="Uwaga 3 4 3 15" xfId="41597"/>
    <cellStyle name="Uwaga 3 4 3 16" xfId="41598"/>
    <cellStyle name="Uwaga 3 4 3 17" xfId="41599"/>
    <cellStyle name="Uwaga 3 4 3 18" xfId="41600"/>
    <cellStyle name="Uwaga 3 4 3 19" xfId="41601"/>
    <cellStyle name="Uwaga 3 4 3 2" xfId="41602"/>
    <cellStyle name="Uwaga 3 4 3 3" xfId="41603"/>
    <cellStyle name="Uwaga 3 4 3 4" xfId="41604"/>
    <cellStyle name="Uwaga 3 4 3 5" xfId="41605"/>
    <cellStyle name="Uwaga 3 4 3 6" xfId="41606"/>
    <cellStyle name="Uwaga 3 4 3 7" xfId="41607"/>
    <cellStyle name="Uwaga 3 4 3 8" xfId="41608"/>
    <cellStyle name="Uwaga 3 4 3 9" xfId="41609"/>
    <cellStyle name="Uwaga 3 4 30" xfId="41610"/>
    <cellStyle name="Uwaga 3 4 30 2" xfId="41611"/>
    <cellStyle name="Uwaga 3 4 31" xfId="41612"/>
    <cellStyle name="Uwaga 3 4 31 2" xfId="41613"/>
    <cellStyle name="Uwaga 3 4 32" xfId="41614"/>
    <cellStyle name="Uwaga 3 4 32 2" xfId="41615"/>
    <cellStyle name="Uwaga 3 4 33" xfId="41616"/>
    <cellStyle name="Uwaga 3 4 33 2" xfId="41617"/>
    <cellStyle name="Uwaga 3 4 34" xfId="41618"/>
    <cellStyle name="Uwaga 3 4 34 2" xfId="41619"/>
    <cellStyle name="Uwaga 3 4 35" xfId="41620"/>
    <cellStyle name="Uwaga 3 4 35 2" xfId="41621"/>
    <cellStyle name="Uwaga 3 4 36" xfId="41622"/>
    <cellStyle name="Uwaga 3 4 36 2" xfId="41623"/>
    <cellStyle name="Uwaga 3 4 37" xfId="41624"/>
    <cellStyle name="Uwaga 3 4 37 2" xfId="41625"/>
    <cellStyle name="Uwaga 3 4 38" xfId="41626"/>
    <cellStyle name="Uwaga 3 4 38 2" xfId="41627"/>
    <cellStyle name="Uwaga 3 4 39" xfId="41628"/>
    <cellStyle name="Uwaga 3 4 39 2" xfId="41629"/>
    <cellStyle name="Uwaga 3 4 4" xfId="41630"/>
    <cellStyle name="Uwaga 3 4 4 10" xfId="41631"/>
    <cellStyle name="Uwaga 3 4 4 11" xfId="41632"/>
    <cellStyle name="Uwaga 3 4 4 12" xfId="41633"/>
    <cellStyle name="Uwaga 3 4 4 13" xfId="41634"/>
    <cellStyle name="Uwaga 3 4 4 14" xfId="41635"/>
    <cellStyle name="Uwaga 3 4 4 15" xfId="41636"/>
    <cellStyle name="Uwaga 3 4 4 16" xfId="41637"/>
    <cellStyle name="Uwaga 3 4 4 17" xfId="41638"/>
    <cellStyle name="Uwaga 3 4 4 18" xfId="41639"/>
    <cellStyle name="Uwaga 3 4 4 19" xfId="41640"/>
    <cellStyle name="Uwaga 3 4 4 2" xfId="41641"/>
    <cellStyle name="Uwaga 3 4 4 3" xfId="41642"/>
    <cellStyle name="Uwaga 3 4 4 4" xfId="41643"/>
    <cellStyle name="Uwaga 3 4 4 5" xfId="41644"/>
    <cellStyle name="Uwaga 3 4 4 6" xfId="41645"/>
    <cellStyle name="Uwaga 3 4 4 7" xfId="41646"/>
    <cellStyle name="Uwaga 3 4 4 8" xfId="41647"/>
    <cellStyle name="Uwaga 3 4 4 9" xfId="41648"/>
    <cellStyle name="Uwaga 3 4 40" xfId="41649"/>
    <cellStyle name="Uwaga 3 4 40 2" xfId="41650"/>
    <cellStyle name="Uwaga 3 4 41" xfId="41651"/>
    <cellStyle name="Uwaga 3 4 41 2" xfId="41652"/>
    <cellStyle name="Uwaga 3 4 42" xfId="41653"/>
    <cellStyle name="Uwaga 3 4 42 2" xfId="41654"/>
    <cellStyle name="Uwaga 3 4 43" xfId="41655"/>
    <cellStyle name="Uwaga 3 4 43 2" xfId="41656"/>
    <cellStyle name="Uwaga 3 4 44" xfId="41657"/>
    <cellStyle name="Uwaga 3 4 45" xfId="41658"/>
    <cellStyle name="Uwaga 3 4 46" xfId="41659"/>
    <cellStyle name="Uwaga 3 4 47" xfId="41660"/>
    <cellStyle name="Uwaga 3 4 48" xfId="41661"/>
    <cellStyle name="Uwaga 3 4 49" xfId="41662"/>
    <cellStyle name="Uwaga 3 4 5" xfId="41663"/>
    <cellStyle name="Uwaga 3 4 5 10" xfId="41664"/>
    <cellStyle name="Uwaga 3 4 5 11" xfId="41665"/>
    <cellStyle name="Uwaga 3 4 5 12" xfId="41666"/>
    <cellStyle name="Uwaga 3 4 5 13" xfId="41667"/>
    <cellStyle name="Uwaga 3 4 5 14" xfId="41668"/>
    <cellStyle name="Uwaga 3 4 5 15" xfId="41669"/>
    <cellStyle name="Uwaga 3 4 5 16" xfId="41670"/>
    <cellStyle name="Uwaga 3 4 5 17" xfId="41671"/>
    <cellStyle name="Uwaga 3 4 5 18" xfId="41672"/>
    <cellStyle name="Uwaga 3 4 5 19" xfId="41673"/>
    <cellStyle name="Uwaga 3 4 5 2" xfId="41674"/>
    <cellStyle name="Uwaga 3 4 5 3" xfId="41675"/>
    <cellStyle name="Uwaga 3 4 5 4" xfId="41676"/>
    <cellStyle name="Uwaga 3 4 5 5" xfId="41677"/>
    <cellStyle name="Uwaga 3 4 5 6" xfId="41678"/>
    <cellStyle name="Uwaga 3 4 5 7" xfId="41679"/>
    <cellStyle name="Uwaga 3 4 5 8" xfId="41680"/>
    <cellStyle name="Uwaga 3 4 5 9" xfId="41681"/>
    <cellStyle name="Uwaga 3 4 50" xfId="41682"/>
    <cellStyle name="Uwaga 3 4 51" xfId="41683"/>
    <cellStyle name="Uwaga 3 4 52" xfId="41684"/>
    <cellStyle name="Uwaga 3 4 53" xfId="41685"/>
    <cellStyle name="Uwaga 3 4 54" xfId="41686"/>
    <cellStyle name="Uwaga 3 4 55" xfId="41687"/>
    <cellStyle name="Uwaga 3 4 56" xfId="41688"/>
    <cellStyle name="Uwaga 3 4 57" xfId="41689"/>
    <cellStyle name="Uwaga 3 4 58" xfId="41690"/>
    <cellStyle name="Uwaga 3 4 59" xfId="41691"/>
    <cellStyle name="Uwaga 3 4 6" xfId="41692"/>
    <cellStyle name="Uwaga 3 4 6 2" xfId="41693"/>
    <cellStyle name="Uwaga 3 4 60" xfId="41694"/>
    <cellStyle name="Uwaga 3 4 61" xfId="41695"/>
    <cellStyle name="Uwaga 3 4 62" xfId="41696"/>
    <cellStyle name="Uwaga 3 4 63" xfId="41697"/>
    <cellStyle name="Uwaga 3 4 64" xfId="41698"/>
    <cellStyle name="Uwaga 3 4 65" xfId="41699"/>
    <cellStyle name="Uwaga 3 4 66" xfId="41700"/>
    <cellStyle name="Uwaga 3 4 67" xfId="41701"/>
    <cellStyle name="Uwaga 3 4 68" xfId="41702"/>
    <cellStyle name="Uwaga 3 4 69" xfId="41703"/>
    <cellStyle name="Uwaga 3 4 7" xfId="41704"/>
    <cellStyle name="Uwaga 3 4 7 2" xfId="41705"/>
    <cellStyle name="Uwaga 3 4 70" xfId="41706"/>
    <cellStyle name="Uwaga 3 4 71" xfId="41707"/>
    <cellStyle name="Uwaga 3 4 72" xfId="41708"/>
    <cellStyle name="Uwaga 3 4 73" xfId="41709"/>
    <cellStyle name="Uwaga 3 4 74" xfId="41710"/>
    <cellStyle name="Uwaga 3 4 75" xfId="41711"/>
    <cellStyle name="Uwaga 3 4 8" xfId="41712"/>
    <cellStyle name="Uwaga 3 4 8 2" xfId="41713"/>
    <cellStyle name="Uwaga 3 4 9" xfId="41714"/>
    <cellStyle name="Uwaga 3 4 9 2" xfId="41715"/>
    <cellStyle name="Uwaga 3 40" xfId="41716"/>
    <cellStyle name="Uwaga 3 40 2" xfId="41717"/>
    <cellStyle name="Uwaga 3 41" xfId="41718"/>
    <cellStyle name="Uwaga 3 41 2" xfId="41719"/>
    <cellStyle name="Uwaga 3 42" xfId="41720"/>
    <cellStyle name="Uwaga 3 42 2" xfId="41721"/>
    <cellStyle name="Uwaga 3 43" xfId="41722"/>
    <cellStyle name="Uwaga 3 43 2" xfId="41723"/>
    <cellStyle name="Uwaga 3 44" xfId="41724"/>
    <cellStyle name="Uwaga 3 44 2" xfId="41725"/>
    <cellStyle name="Uwaga 3 45" xfId="41726"/>
    <cellStyle name="Uwaga 3 45 2" xfId="41727"/>
    <cellStyle name="Uwaga 3 46" xfId="41728"/>
    <cellStyle name="Uwaga 3 46 2" xfId="41729"/>
    <cellStyle name="Uwaga 3 47" xfId="41730"/>
    <cellStyle name="Uwaga 3 47 2" xfId="41731"/>
    <cellStyle name="Uwaga 3 48" xfId="41732"/>
    <cellStyle name="Uwaga 3 48 2" xfId="41733"/>
    <cellStyle name="Uwaga 3 49" xfId="41734"/>
    <cellStyle name="Uwaga 3 49 2" xfId="41735"/>
    <cellStyle name="Uwaga 3 5" xfId="41736"/>
    <cellStyle name="Uwaga 3 5 10" xfId="41737"/>
    <cellStyle name="Uwaga 3 5 10 2" xfId="41738"/>
    <cellStyle name="Uwaga 3 5 11" xfId="41739"/>
    <cellStyle name="Uwaga 3 5 11 2" xfId="41740"/>
    <cellStyle name="Uwaga 3 5 12" xfId="41741"/>
    <cellStyle name="Uwaga 3 5 12 2" xfId="41742"/>
    <cellStyle name="Uwaga 3 5 13" xfId="41743"/>
    <cellStyle name="Uwaga 3 5 13 2" xfId="41744"/>
    <cellStyle name="Uwaga 3 5 14" xfId="41745"/>
    <cellStyle name="Uwaga 3 5 14 2" xfId="41746"/>
    <cellStyle name="Uwaga 3 5 15" xfId="41747"/>
    <cellStyle name="Uwaga 3 5 15 2" xfId="41748"/>
    <cellStyle name="Uwaga 3 5 16" xfId="41749"/>
    <cellStyle name="Uwaga 3 5 16 2" xfId="41750"/>
    <cellStyle name="Uwaga 3 5 17" xfId="41751"/>
    <cellStyle name="Uwaga 3 5 17 2" xfId="41752"/>
    <cellStyle name="Uwaga 3 5 18" xfId="41753"/>
    <cellStyle name="Uwaga 3 5 18 2" xfId="41754"/>
    <cellStyle name="Uwaga 3 5 19" xfId="41755"/>
    <cellStyle name="Uwaga 3 5 19 2" xfId="41756"/>
    <cellStyle name="Uwaga 3 5 2" xfId="41757"/>
    <cellStyle name="Uwaga 3 5 2 10" xfId="41758"/>
    <cellStyle name="Uwaga 3 5 2 11" xfId="41759"/>
    <cellStyle name="Uwaga 3 5 2 12" xfId="41760"/>
    <cellStyle name="Uwaga 3 5 2 13" xfId="41761"/>
    <cellStyle name="Uwaga 3 5 2 14" xfId="41762"/>
    <cellStyle name="Uwaga 3 5 2 15" xfId="41763"/>
    <cellStyle name="Uwaga 3 5 2 16" xfId="41764"/>
    <cellStyle name="Uwaga 3 5 2 17" xfId="41765"/>
    <cellStyle name="Uwaga 3 5 2 18" xfId="41766"/>
    <cellStyle name="Uwaga 3 5 2 19" xfId="41767"/>
    <cellStyle name="Uwaga 3 5 2 2" xfId="41768"/>
    <cellStyle name="Uwaga 3 5 2 3" xfId="41769"/>
    <cellStyle name="Uwaga 3 5 2 4" xfId="41770"/>
    <cellStyle name="Uwaga 3 5 2 5" xfId="41771"/>
    <cellStyle name="Uwaga 3 5 2 6" xfId="41772"/>
    <cellStyle name="Uwaga 3 5 2 7" xfId="41773"/>
    <cellStyle name="Uwaga 3 5 2 8" xfId="41774"/>
    <cellStyle name="Uwaga 3 5 2 9" xfId="41775"/>
    <cellStyle name="Uwaga 3 5 20" xfId="41776"/>
    <cellStyle name="Uwaga 3 5 20 2" xfId="41777"/>
    <cellStyle name="Uwaga 3 5 21" xfId="41778"/>
    <cellStyle name="Uwaga 3 5 21 2" xfId="41779"/>
    <cellStyle name="Uwaga 3 5 22" xfId="41780"/>
    <cellStyle name="Uwaga 3 5 22 2" xfId="41781"/>
    <cellStyle name="Uwaga 3 5 23" xfId="41782"/>
    <cellStyle name="Uwaga 3 5 23 2" xfId="41783"/>
    <cellStyle name="Uwaga 3 5 24" xfId="41784"/>
    <cellStyle name="Uwaga 3 5 24 2" xfId="41785"/>
    <cellStyle name="Uwaga 3 5 25" xfId="41786"/>
    <cellStyle name="Uwaga 3 5 25 2" xfId="41787"/>
    <cellStyle name="Uwaga 3 5 26" xfId="41788"/>
    <cellStyle name="Uwaga 3 5 26 2" xfId="41789"/>
    <cellStyle name="Uwaga 3 5 27" xfId="41790"/>
    <cellStyle name="Uwaga 3 5 27 2" xfId="41791"/>
    <cellStyle name="Uwaga 3 5 28" xfId="41792"/>
    <cellStyle name="Uwaga 3 5 28 2" xfId="41793"/>
    <cellStyle name="Uwaga 3 5 29" xfId="41794"/>
    <cellStyle name="Uwaga 3 5 29 2" xfId="41795"/>
    <cellStyle name="Uwaga 3 5 3" xfId="41796"/>
    <cellStyle name="Uwaga 3 5 3 10" xfId="41797"/>
    <cellStyle name="Uwaga 3 5 3 11" xfId="41798"/>
    <cellStyle name="Uwaga 3 5 3 12" xfId="41799"/>
    <cellStyle name="Uwaga 3 5 3 13" xfId="41800"/>
    <cellStyle name="Uwaga 3 5 3 14" xfId="41801"/>
    <cellStyle name="Uwaga 3 5 3 15" xfId="41802"/>
    <cellStyle name="Uwaga 3 5 3 16" xfId="41803"/>
    <cellStyle name="Uwaga 3 5 3 17" xfId="41804"/>
    <cellStyle name="Uwaga 3 5 3 18" xfId="41805"/>
    <cellStyle name="Uwaga 3 5 3 19" xfId="41806"/>
    <cellStyle name="Uwaga 3 5 3 2" xfId="41807"/>
    <cellStyle name="Uwaga 3 5 3 3" xfId="41808"/>
    <cellStyle name="Uwaga 3 5 3 4" xfId="41809"/>
    <cellStyle name="Uwaga 3 5 3 5" xfId="41810"/>
    <cellStyle name="Uwaga 3 5 3 6" xfId="41811"/>
    <cellStyle name="Uwaga 3 5 3 7" xfId="41812"/>
    <cellStyle name="Uwaga 3 5 3 8" xfId="41813"/>
    <cellStyle name="Uwaga 3 5 3 9" xfId="41814"/>
    <cellStyle name="Uwaga 3 5 30" xfId="41815"/>
    <cellStyle name="Uwaga 3 5 30 2" xfId="41816"/>
    <cellStyle name="Uwaga 3 5 31" xfId="41817"/>
    <cellStyle name="Uwaga 3 5 31 2" xfId="41818"/>
    <cellStyle name="Uwaga 3 5 32" xfId="41819"/>
    <cellStyle name="Uwaga 3 5 32 2" xfId="41820"/>
    <cellStyle name="Uwaga 3 5 33" xfId="41821"/>
    <cellStyle name="Uwaga 3 5 33 2" xfId="41822"/>
    <cellStyle name="Uwaga 3 5 34" xfId="41823"/>
    <cellStyle name="Uwaga 3 5 34 2" xfId="41824"/>
    <cellStyle name="Uwaga 3 5 35" xfId="41825"/>
    <cellStyle name="Uwaga 3 5 35 2" xfId="41826"/>
    <cellStyle name="Uwaga 3 5 36" xfId="41827"/>
    <cellStyle name="Uwaga 3 5 36 2" xfId="41828"/>
    <cellStyle name="Uwaga 3 5 37" xfId="41829"/>
    <cellStyle name="Uwaga 3 5 37 2" xfId="41830"/>
    <cellStyle name="Uwaga 3 5 38" xfId="41831"/>
    <cellStyle name="Uwaga 3 5 38 2" xfId="41832"/>
    <cellStyle name="Uwaga 3 5 39" xfId="41833"/>
    <cellStyle name="Uwaga 3 5 39 2" xfId="41834"/>
    <cellStyle name="Uwaga 3 5 4" xfId="41835"/>
    <cellStyle name="Uwaga 3 5 4 10" xfId="41836"/>
    <cellStyle name="Uwaga 3 5 4 11" xfId="41837"/>
    <cellStyle name="Uwaga 3 5 4 12" xfId="41838"/>
    <cellStyle name="Uwaga 3 5 4 13" xfId="41839"/>
    <cellStyle name="Uwaga 3 5 4 14" xfId="41840"/>
    <cellStyle name="Uwaga 3 5 4 15" xfId="41841"/>
    <cellStyle name="Uwaga 3 5 4 16" xfId="41842"/>
    <cellStyle name="Uwaga 3 5 4 17" xfId="41843"/>
    <cellStyle name="Uwaga 3 5 4 18" xfId="41844"/>
    <cellStyle name="Uwaga 3 5 4 19" xfId="41845"/>
    <cellStyle name="Uwaga 3 5 4 2" xfId="41846"/>
    <cellStyle name="Uwaga 3 5 4 3" xfId="41847"/>
    <cellStyle name="Uwaga 3 5 4 4" xfId="41848"/>
    <cellStyle name="Uwaga 3 5 4 5" xfId="41849"/>
    <cellStyle name="Uwaga 3 5 4 6" xfId="41850"/>
    <cellStyle name="Uwaga 3 5 4 7" xfId="41851"/>
    <cellStyle name="Uwaga 3 5 4 8" xfId="41852"/>
    <cellStyle name="Uwaga 3 5 4 9" xfId="41853"/>
    <cellStyle name="Uwaga 3 5 40" xfId="41854"/>
    <cellStyle name="Uwaga 3 5 40 2" xfId="41855"/>
    <cellStyle name="Uwaga 3 5 41" xfId="41856"/>
    <cellStyle name="Uwaga 3 5 41 2" xfId="41857"/>
    <cellStyle name="Uwaga 3 5 42" xfId="41858"/>
    <cellStyle name="Uwaga 3 5 42 2" xfId="41859"/>
    <cellStyle name="Uwaga 3 5 43" xfId="41860"/>
    <cellStyle name="Uwaga 3 5 43 2" xfId="41861"/>
    <cellStyle name="Uwaga 3 5 44" xfId="41862"/>
    <cellStyle name="Uwaga 3 5 45" xfId="41863"/>
    <cellStyle name="Uwaga 3 5 46" xfId="41864"/>
    <cellStyle name="Uwaga 3 5 47" xfId="41865"/>
    <cellStyle name="Uwaga 3 5 48" xfId="41866"/>
    <cellStyle name="Uwaga 3 5 49" xfId="41867"/>
    <cellStyle name="Uwaga 3 5 5" xfId="41868"/>
    <cellStyle name="Uwaga 3 5 5 10" xfId="41869"/>
    <cellStyle name="Uwaga 3 5 5 11" xfId="41870"/>
    <cellStyle name="Uwaga 3 5 5 12" xfId="41871"/>
    <cellStyle name="Uwaga 3 5 5 13" xfId="41872"/>
    <cellStyle name="Uwaga 3 5 5 14" xfId="41873"/>
    <cellStyle name="Uwaga 3 5 5 15" xfId="41874"/>
    <cellStyle name="Uwaga 3 5 5 16" xfId="41875"/>
    <cellStyle name="Uwaga 3 5 5 17" xfId="41876"/>
    <cellStyle name="Uwaga 3 5 5 18" xfId="41877"/>
    <cellStyle name="Uwaga 3 5 5 19" xfId="41878"/>
    <cellStyle name="Uwaga 3 5 5 2" xfId="41879"/>
    <cellStyle name="Uwaga 3 5 5 3" xfId="41880"/>
    <cellStyle name="Uwaga 3 5 5 4" xfId="41881"/>
    <cellStyle name="Uwaga 3 5 5 5" xfId="41882"/>
    <cellStyle name="Uwaga 3 5 5 6" xfId="41883"/>
    <cellStyle name="Uwaga 3 5 5 7" xfId="41884"/>
    <cellStyle name="Uwaga 3 5 5 8" xfId="41885"/>
    <cellStyle name="Uwaga 3 5 5 9" xfId="41886"/>
    <cellStyle name="Uwaga 3 5 50" xfId="41887"/>
    <cellStyle name="Uwaga 3 5 51" xfId="41888"/>
    <cellStyle name="Uwaga 3 5 52" xfId="41889"/>
    <cellStyle name="Uwaga 3 5 53" xfId="41890"/>
    <cellStyle name="Uwaga 3 5 54" xfId="41891"/>
    <cellStyle name="Uwaga 3 5 55" xfId="41892"/>
    <cellStyle name="Uwaga 3 5 56" xfId="41893"/>
    <cellStyle name="Uwaga 3 5 57" xfId="41894"/>
    <cellStyle name="Uwaga 3 5 58" xfId="41895"/>
    <cellStyle name="Uwaga 3 5 59" xfId="41896"/>
    <cellStyle name="Uwaga 3 5 6" xfId="41897"/>
    <cellStyle name="Uwaga 3 5 6 2" xfId="41898"/>
    <cellStyle name="Uwaga 3 5 60" xfId="41899"/>
    <cellStyle name="Uwaga 3 5 61" xfId="41900"/>
    <cellStyle name="Uwaga 3 5 62" xfId="41901"/>
    <cellStyle name="Uwaga 3 5 63" xfId="41902"/>
    <cellStyle name="Uwaga 3 5 64" xfId="41903"/>
    <cellStyle name="Uwaga 3 5 65" xfId="41904"/>
    <cellStyle name="Uwaga 3 5 66" xfId="41905"/>
    <cellStyle name="Uwaga 3 5 67" xfId="41906"/>
    <cellStyle name="Uwaga 3 5 68" xfId="41907"/>
    <cellStyle name="Uwaga 3 5 69" xfId="41908"/>
    <cellStyle name="Uwaga 3 5 7" xfId="41909"/>
    <cellStyle name="Uwaga 3 5 7 2" xfId="41910"/>
    <cellStyle name="Uwaga 3 5 70" xfId="41911"/>
    <cellStyle name="Uwaga 3 5 71" xfId="41912"/>
    <cellStyle name="Uwaga 3 5 72" xfId="41913"/>
    <cellStyle name="Uwaga 3 5 73" xfId="41914"/>
    <cellStyle name="Uwaga 3 5 74" xfId="41915"/>
    <cellStyle name="Uwaga 3 5 8" xfId="41916"/>
    <cellStyle name="Uwaga 3 5 8 2" xfId="41917"/>
    <cellStyle name="Uwaga 3 5 9" xfId="41918"/>
    <cellStyle name="Uwaga 3 5 9 2" xfId="41919"/>
    <cellStyle name="Uwaga 3 50" xfId="41920"/>
    <cellStyle name="Uwaga 3 50 2" xfId="41921"/>
    <cellStyle name="Uwaga 3 51" xfId="41922"/>
    <cellStyle name="Uwaga 3 51 2" xfId="41923"/>
    <cellStyle name="Uwaga 3 52" xfId="41924"/>
    <cellStyle name="Uwaga 3 53" xfId="41925"/>
    <cellStyle name="Uwaga 3 54" xfId="41926"/>
    <cellStyle name="Uwaga 3 55" xfId="41927"/>
    <cellStyle name="Uwaga 3 56" xfId="41928"/>
    <cellStyle name="Uwaga 3 57" xfId="41929"/>
    <cellStyle name="Uwaga 3 58" xfId="41930"/>
    <cellStyle name="Uwaga 3 59" xfId="41931"/>
    <cellStyle name="Uwaga 3 6" xfId="41932"/>
    <cellStyle name="Uwaga 3 6 10" xfId="41933"/>
    <cellStyle name="Uwaga 3 6 11" xfId="41934"/>
    <cellStyle name="Uwaga 3 6 12" xfId="41935"/>
    <cellStyle name="Uwaga 3 6 13" xfId="41936"/>
    <cellStyle name="Uwaga 3 6 14" xfId="41937"/>
    <cellStyle name="Uwaga 3 6 15" xfId="41938"/>
    <cellStyle name="Uwaga 3 6 16" xfId="41939"/>
    <cellStyle name="Uwaga 3 6 17" xfId="41940"/>
    <cellStyle name="Uwaga 3 6 18" xfId="41941"/>
    <cellStyle name="Uwaga 3 6 19" xfId="41942"/>
    <cellStyle name="Uwaga 3 6 2" xfId="41943"/>
    <cellStyle name="Uwaga 3 6 3" xfId="41944"/>
    <cellStyle name="Uwaga 3 6 4" xfId="41945"/>
    <cellStyle name="Uwaga 3 6 5" xfId="41946"/>
    <cellStyle name="Uwaga 3 6 6" xfId="41947"/>
    <cellStyle name="Uwaga 3 6 7" xfId="41948"/>
    <cellStyle name="Uwaga 3 6 8" xfId="41949"/>
    <cellStyle name="Uwaga 3 6 9" xfId="41950"/>
    <cellStyle name="Uwaga 3 60" xfId="41951"/>
    <cellStyle name="Uwaga 3 61" xfId="41952"/>
    <cellStyle name="Uwaga 3 62" xfId="41953"/>
    <cellStyle name="Uwaga 3 63" xfId="41954"/>
    <cellStyle name="Uwaga 3 64" xfId="41955"/>
    <cellStyle name="Uwaga 3 65" xfId="41956"/>
    <cellStyle name="Uwaga 3 66" xfId="41957"/>
    <cellStyle name="Uwaga 3 67" xfId="41958"/>
    <cellStyle name="Uwaga 3 68" xfId="41959"/>
    <cellStyle name="Uwaga 3 69" xfId="41960"/>
    <cellStyle name="Uwaga 3 7" xfId="41961"/>
    <cellStyle name="Uwaga 3 7 10" xfId="41962"/>
    <cellStyle name="Uwaga 3 7 11" xfId="41963"/>
    <cellStyle name="Uwaga 3 7 12" xfId="41964"/>
    <cellStyle name="Uwaga 3 7 13" xfId="41965"/>
    <cellStyle name="Uwaga 3 7 14" xfId="41966"/>
    <cellStyle name="Uwaga 3 7 15" xfId="41967"/>
    <cellStyle name="Uwaga 3 7 16" xfId="41968"/>
    <cellStyle name="Uwaga 3 7 17" xfId="41969"/>
    <cellStyle name="Uwaga 3 7 18" xfId="41970"/>
    <cellStyle name="Uwaga 3 7 19" xfId="41971"/>
    <cellStyle name="Uwaga 3 7 2" xfId="41972"/>
    <cellStyle name="Uwaga 3 7 3" xfId="41973"/>
    <cellStyle name="Uwaga 3 7 4" xfId="41974"/>
    <cellStyle name="Uwaga 3 7 5" xfId="41975"/>
    <cellStyle name="Uwaga 3 7 6" xfId="41976"/>
    <cellStyle name="Uwaga 3 7 7" xfId="41977"/>
    <cellStyle name="Uwaga 3 7 8" xfId="41978"/>
    <cellStyle name="Uwaga 3 7 9" xfId="41979"/>
    <cellStyle name="Uwaga 3 70" xfId="41980"/>
    <cellStyle name="Uwaga 3 71" xfId="41981"/>
    <cellStyle name="Uwaga 3 72" xfId="41982"/>
    <cellStyle name="Uwaga 3 73" xfId="41983"/>
    <cellStyle name="Uwaga 3 74" xfId="41984"/>
    <cellStyle name="Uwaga 3 75" xfId="41985"/>
    <cellStyle name="Uwaga 3 76" xfId="41986"/>
    <cellStyle name="Uwaga 3 77" xfId="41987"/>
    <cellStyle name="Uwaga 3 78" xfId="41988"/>
    <cellStyle name="Uwaga 3 79" xfId="41989"/>
    <cellStyle name="Uwaga 3 8" xfId="41990"/>
    <cellStyle name="Uwaga 3 8 10" xfId="41991"/>
    <cellStyle name="Uwaga 3 8 11" xfId="41992"/>
    <cellStyle name="Uwaga 3 8 12" xfId="41993"/>
    <cellStyle name="Uwaga 3 8 13" xfId="41994"/>
    <cellStyle name="Uwaga 3 8 14" xfId="41995"/>
    <cellStyle name="Uwaga 3 8 15" xfId="41996"/>
    <cellStyle name="Uwaga 3 8 16" xfId="41997"/>
    <cellStyle name="Uwaga 3 8 17" xfId="41998"/>
    <cellStyle name="Uwaga 3 8 18" xfId="41999"/>
    <cellStyle name="Uwaga 3 8 19" xfId="42000"/>
    <cellStyle name="Uwaga 3 8 2" xfId="42001"/>
    <cellStyle name="Uwaga 3 8 3" xfId="42002"/>
    <cellStyle name="Uwaga 3 8 4" xfId="42003"/>
    <cellStyle name="Uwaga 3 8 5" xfId="42004"/>
    <cellStyle name="Uwaga 3 8 6" xfId="42005"/>
    <cellStyle name="Uwaga 3 8 7" xfId="42006"/>
    <cellStyle name="Uwaga 3 8 8" xfId="42007"/>
    <cellStyle name="Uwaga 3 8 9" xfId="42008"/>
    <cellStyle name="Uwaga 3 9" xfId="42009"/>
    <cellStyle name="Uwaga 3 9 10" xfId="42010"/>
    <cellStyle name="Uwaga 3 9 11" xfId="42011"/>
    <cellStyle name="Uwaga 3 9 12" xfId="42012"/>
    <cellStyle name="Uwaga 3 9 13" xfId="42013"/>
    <cellStyle name="Uwaga 3 9 14" xfId="42014"/>
    <cellStyle name="Uwaga 3 9 15" xfId="42015"/>
    <cellStyle name="Uwaga 3 9 16" xfId="42016"/>
    <cellStyle name="Uwaga 3 9 17" xfId="42017"/>
    <cellStyle name="Uwaga 3 9 18" xfId="42018"/>
    <cellStyle name="Uwaga 3 9 19" xfId="42019"/>
    <cellStyle name="Uwaga 3 9 2" xfId="42020"/>
    <cellStyle name="Uwaga 3 9 3" xfId="42021"/>
    <cellStyle name="Uwaga 3 9 4" xfId="42022"/>
    <cellStyle name="Uwaga 3 9 5" xfId="42023"/>
    <cellStyle name="Uwaga 3 9 6" xfId="42024"/>
    <cellStyle name="Uwaga 3 9 7" xfId="42025"/>
    <cellStyle name="Uwaga 3 9 8" xfId="42026"/>
    <cellStyle name="Uwaga 3 9 9" xfId="42027"/>
    <cellStyle name="Uwaga 30" xfId="42028"/>
    <cellStyle name="Uwaga 31" xfId="42029"/>
    <cellStyle name="Uwaga 32" xfId="42030"/>
    <cellStyle name="Uwaga 33" xfId="42031"/>
    <cellStyle name="Uwaga 33 2" xfId="42032"/>
    <cellStyle name="Uwaga 34" xfId="42033"/>
    <cellStyle name="Uwaga 34 2" xfId="42034"/>
    <cellStyle name="Uwaga 35" xfId="42035"/>
    <cellStyle name="Uwaga 35 2" xfId="42036"/>
    <cellStyle name="Uwaga 36" xfId="42037"/>
    <cellStyle name="Uwaga 36 2" xfId="42038"/>
    <cellStyle name="Uwaga 37" xfId="42039"/>
    <cellStyle name="Uwaga 37 2" xfId="42040"/>
    <cellStyle name="Uwaga 38" xfId="42041"/>
    <cellStyle name="Uwaga 38 2" xfId="42042"/>
    <cellStyle name="Uwaga 39" xfId="42043"/>
    <cellStyle name="Uwaga 39 2" xfId="42044"/>
    <cellStyle name="Uwaga 4" xfId="42045"/>
    <cellStyle name="Uwaga 4 10" xfId="42046"/>
    <cellStyle name="Uwaga 4 11" xfId="42047"/>
    <cellStyle name="Uwaga 4 12" xfId="42048"/>
    <cellStyle name="Uwaga 4 13" xfId="42049"/>
    <cellStyle name="Uwaga 4 14" xfId="42050"/>
    <cellStyle name="Uwaga 4 15" xfId="42051"/>
    <cellStyle name="Uwaga 4 16" xfId="42052"/>
    <cellStyle name="Uwaga 4 17" xfId="42053"/>
    <cellStyle name="Uwaga 4 18" xfId="42054"/>
    <cellStyle name="Uwaga 4 19" xfId="42055"/>
    <cellStyle name="Uwaga 4 2" xfId="42056"/>
    <cellStyle name="Uwaga 4 2 2" xfId="42057"/>
    <cellStyle name="Uwaga 4 20" xfId="42058"/>
    <cellStyle name="Uwaga 4 21" xfId="42059"/>
    <cellStyle name="Uwaga 4 22" xfId="42060"/>
    <cellStyle name="Uwaga 4 23" xfId="42061"/>
    <cellStyle name="Uwaga 4 3" xfId="42062"/>
    <cellStyle name="Uwaga 4 3 2" xfId="42063"/>
    <cellStyle name="Uwaga 4 4" xfId="42064"/>
    <cellStyle name="Uwaga 4 4 2" xfId="42065"/>
    <cellStyle name="Uwaga 4 5" xfId="42066"/>
    <cellStyle name="Uwaga 4 6" xfId="42067"/>
    <cellStyle name="Uwaga 4 7" xfId="42068"/>
    <cellStyle name="Uwaga 4 8" xfId="42069"/>
    <cellStyle name="Uwaga 4 9" xfId="42070"/>
    <cellStyle name="Uwaga 40" xfId="42071"/>
    <cellStyle name="Uwaga 40 2" xfId="42072"/>
    <cellStyle name="Uwaga 41" xfId="42073"/>
    <cellStyle name="Uwaga 41 2" xfId="42074"/>
    <cellStyle name="Uwaga 42" xfId="42075"/>
    <cellStyle name="Uwaga 42 2" xfId="42076"/>
    <cellStyle name="Uwaga 43" xfId="42077"/>
    <cellStyle name="Uwaga 43 2" xfId="42078"/>
    <cellStyle name="Uwaga 44" xfId="42079"/>
    <cellStyle name="Uwaga 44 2" xfId="42080"/>
    <cellStyle name="Uwaga 45" xfId="42081"/>
    <cellStyle name="Uwaga 45 2" xfId="42082"/>
    <cellStyle name="Uwaga 46" xfId="42083"/>
    <cellStyle name="Uwaga 46 2" xfId="42084"/>
    <cellStyle name="Uwaga 47" xfId="42085"/>
    <cellStyle name="Uwaga 47 2" xfId="42086"/>
    <cellStyle name="Uwaga 48" xfId="42087"/>
    <cellStyle name="Uwaga 48 2" xfId="42088"/>
    <cellStyle name="Uwaga 49" xfId="42089"/>
    <cellStyle name="Uwaga 49 2" xfId="42090"/>
    <cellStyle name="Uwaga 5" xfId="42091"/>
    <cellStyle name="Uwaga 5 2" xfId="42092"/>
    <cellStyle name="Uwaga 5 3" xfId="42093"/>
    <cellStyle name="Uwaga 5 4" xfId="42094"/>
    <cellStyle name="Uwaga 50" xfId="42095"/>
    <cellStyle name="Uwaga 50 2" xfId="42096"/>
    <cellStyle name="Uwaga 51" xfId="42097"/>
    <cellStyle name="Uwaga 51 2" xfId="42098"/>
    <cellStyle name="Uwaga 52" xfId="42099"/>
    <cellStyle name="Uwaga 52 2" xfId="42100"/>
    <cellStyle name="Uwaga 53" xfId="42101"/>
    <cellStyle name="Uwaga 53 2" xfId="42102"/>
    <cellStyle name="Uwaga 54" xfId="42103"/>
    <cellStyle name="Uwaga 54 2" xfId="42104"/>
    <cellStyle name="Uwaga 55" xfId="42105"/>
    <cellStyle name="Uwaga 55 2" xfId="42106"/>
    <cellStyle name="Uwaga 56" xfId="42107"/>
    <cellStyle name="Uwaga 56 2" xfId="42108"/>
    <cellStyle name="Uwaga 57" xfId="42109"/>
    <cellStyle name="Uwaga 57 2" xfId="42110"/>
    <cellStyle name="Uwaga 58" xfId="42111"/>
    <cellStyle name="Uwaga 58 2" xfId="42112"/>
    <cellStyle name="Uwaga 59" xfId="42113"/>
    <cellStyle name="Uwaga 59 2" xfId="42114"/>
    <cellStyle name="Uwaga 6" xfId="42115"/>
    <cellStyle name="Uwaga 6 2" xfId="42116"/>
    <cellStyle name="Uwaga 6 3" xfId="42117"/>
    <cellStyle name="Uwaga 6 4" xfId="42118"/>
    <cellStyle name="Uwaga 60" xfId="42119"/>
    <cellStyle name="Uwaga 60 2" xfId="42120"/>
    <cellStyle name="Uwaga 61" xfId="42121"/>
    <cellStyle name="Uwaga 61 2" xfId="42122"/>
    <cellStyle name="Uwaga 62" xfId="42123"/>
    <cellStyle name="Uwaga 62 2" xfId="42124"/>
    <cellStyle name="Uwaga 63" xfId="42125"/>
    <cellStyle name="Uwaga 63 2" xfId="42126"/>
    <cellStyle name="Uwaga 64" xfId="42127"/>
    <cellStyle name="Uwaga 64 2" xfId="42128"/>
    <cellStyle name="Uwaga 65" xfId="42129"/>
    <cellStyle name="Uwaga 65 2" xfId="42130"/>
    <cellStyle name="Uwaga 66" xfId="42131"/>
    <cellStyle name="Uwaga 66 2" xfId="42132"/>
    <cellStyle name="Uwaga 67" xfId="42133"/>
    <cellStyle name="Uwaga 67 2" xfId="42134"/>
    <cellStyle name="Uwaga 68" xfId="42135"/>
    <cellStyle name="Uwaga 68 2" xfId="42136"/>
    <cellStyle name="Uwaga 69" xfId="42137"/>
    <cellStyle name="Uwaga 69 2" xfId="42138"/>
    <cellStyle name="Uwaga 7" xfId="42139"/>
    <cellStyle name="Uwaga 7 2" xfId="42140"/>
    <cellStyle name="Uwaga 7 3" xfId="42141"/>
    <cellStyle name="Uwaga 7 4" xfId="42142"/>
    <cellStyle name="Uwaga 70" xfId="42143"/>
    <cellStyle name="Uwaga 70 2" xfId="42144"/>
    <cellStyle name="Uwaga 71" xfId="42145"/>
    <cellStyle name="Uwaga 71 2" xfId="42146"/>
    <cellStyle name="Uwaga 72" xfId="42147"/>
    <cellStyle name="Uwaga 72 2" xfId="42148"/>
    <cellStyle name="Uwaga 73" xfId="42149"/>
    <cellStyle name="Uwaga 73 2" xfId="42150"/>
    <cellStyle name="Uwaga 74" xfId="42151"/>
    <cellStyle name="Uwaga 74 2" xfId="42152"/>
    <cellStyle name="Uwaga 75" xfId="42153"/>
    <cellStyle name="Uwaga 75 2" xfId="42154"/>
    <cellStyle name="Uwaga 76" xfId="42155"/>
    <cellStyle name="Uwaga 76 2" xfId="42156"/>
    <cellStyle name="Uwaga 77" xfId="42157"/>
    <cellStyle name="Uwaga 77 2" xfId="42158"/>
    <cellStyle name="Uwaga 78" xfId="42159"/>
    <cellStyle name="Uwaga 78 2" xfId="42160"/>
    <cellStyle name="Uwaga 79" xfId="42161"/>
    <cellStyle name="Uwaga 79 2" xfId="42162"/>
    <cellStyle name="Uwaga 8" xfId="42163"/>
    <cellStyle name="Uwaga 8 2" xfId="42164"/>
    <cellStyle name="Uwaga 8 3" xfId="42165"/>
    <cellStyle name="Uwaga 80" xfId="42166"/>
    <cellStyle name="Uwaga 80 2" xfId="42167"/>
    <cellStyle name="Uwaga 81" xfId="42168"/>
    <cellStyle name="Uwaga 81 2" xfId="42169"/>
    <cellStyle name="Uwaga 82" xfId="42170"/>
    <cellStyle name="Uwaga 82 2" xfId="42171"/>
    <cellStyle name="Uwaga 83" xfId="42172"/>
    <cellStyle name="Uwaga 83 2" xfId="42173"/>
    <cellStyle name="Uwaga 84" xfId="42174"/>
    <cellStyle name="Uwaga 84 2" xfId="42175"/>
    <cellStyle name="Uwaga 85" xfId="42176"/>
    <cellStyle name="Uwaga 85 2" xfId="42177"/>
    <cellStyle name="Uwaga 86" xfId="42178"/>
    <cellStyle name="Uwaga 86 2" xfId="42179"/>
    <cellStyle name="Uwaga 87" xfId="42180"/>
    <cellStyle name="Uwaga 87 2" xfId="42181"/>
    <cellStyle name="Uwaga 88" xfId="42182"/>
    <cellStyle name="Uwaga 88 2" xfId="42183"/>
    <cellStyle name="Uwaga 89" xfId="42184"/>
    <cellStyle name="Uwaga 89 2" xfId="42185"/>
    <cellStyle name="Uwaga 9" xfId="42186"/>
    <cellStyle name="Uwaga 90" xfId="42187"/>
    <cellStyle name="Uwaga 90 2" xfId="42188"/>
    <cellStyle name="Uwaga 91" xfId="42189"/>
    <cellStyle name="Uwaga 91 2" xfId="42190"/>
    <cellStyle name="Uwaga 92" xfId="42191"/>
    <cellStyle name="Uwaga 92 2" xfId="42192"/>
    <cellStyle name="Uwaga 93" xfId="42193"/>
    <cellStyle name="Uwaga 93 2" xfId="42194"/>
    <cellStyle name="Uwaga 94" xfId="42195"/>
    <cellStyle name="Uwaga 94 2" xfId="42196"/>
    <cellStyle name="Uwaga 95" xfId="42197"/>
    <cellStyle name="Uwaga 95 2" xfId="42198"/>
    <cellStyle name="Uwaga 96" xfId="42199"/>
    <cellStyle name="Uwaga 96 2" xfId="42200"/>
    <cellStyle name="Uwaga 97" xfId="42201"/>
    <cellStyle name="Uwaga 97 2" xfId="42202"/>
    <cellStyle name="Uwaga 98" xfId="42203"/>
    <cellStyle name="Uwaga 98 2" xfId="42204"/>
    <cellStyle name="Uwaga 99" xfId="42205"/>
    <cellStyle name="Uwaga 99 2" xfId="42206"/>
    <cellStyle name="Valuta - Style2" xfId="42207"/>
    <cellStyle name="Valuta (0)" xfId="42208"/>
    <cellStyle name="Valuta_Ark1" xfId="42209"/>
    <cellStyle name="Währung [0]_Bal sheet - Liab. IHSW" xfId="42210"/>
    <cellStyle name="Währung_Bal sheet - Liab. IHSW" xfId="42211"/>
    <cellStyle name="Walutowy 2" xfId="42212"/>
    <cellStyle name="Walutowy 2 10" xfId="42213"/>
    <cellStyle name="Walutowy 2 11" xfId="42214"/>
    <cellStyle name="Walutowy 2 12" xfId="42215"/>
    <cellStyle name="Walutowy 2 13" xfId="42216"/>
    <cellStyle name="Walutowy 2 14" xfId="42217"/>
    <cellStyle name="Walutowy 2 15" xfId="42218"/>
    <cellStyle name="Walutowy 2 16" xfId="42219"/>
    <cellStyle name="Walutowy 2 17" xfId="42220"/>
    <cellStyle name="Walutowy 2 18" xfId="42221"/>
    <cellStyle name="Walutowy 2 2" xfId="42222"/>
    <cellStyle name="Walutowy 2 2 2" xfId="42223"/>
    <cellStyle name="Walutowy 2 2 3" xfId="42224"/>
    <cellStyle name="Walutowy 2 2 4" xfId="42225"/>
    <cellStyle name="Walutowy 2 2 5" xfId="42226"/>
    <cellStyle name="Walutowy 2 2 6" xfId="42227"/>
    <cellStyle name="Walutowy 2 2 7" xfId="42228"/>
    <cellStyle name="Walutowy 2 3" xfId="42229"/>
    <cellStyle name="Walutowy 2 3 2" xfId="42230"/>
    <cellStyle name="Walutowy 2 3 3" xfId="42231"/>
    <cellStyle name="Walutowy 2 3 4" xfId="42232"/>
    <cellStyle name="Walutowy 2 4" xfId="42233"/>
    <cellStyle name="Walutowy 2 5" xfId="42234"/>
    <cellStyle name="Walutowy 2 6" xfId="42235"/>
    <cellStyle name="Walutowy 2 7" xfId="42236"/>
    <cellStyle name="Walutowy 2 8" xfId="42237"/>
    <cellStyle name="Walutowy 2 9" xfId="42238"/>
    <cellStyle name="Walutowy 3" xfId="42239"/>
    <cellStyle name="Walutowy 3 10" xfId="42240"/>
    <cellStyle name="Walutowy 3 11" xfId="42241"/>
    <cellStyle name="Walutowy 3 12" xfId="42242"/>
    <cellStyle name="Walutowy 3 13" xfId="42243"/>
    <cellStyle name="Walutowy 3 14" xfId="42244"/>
    <cellStyle name="Walutowy 3 15" xfId="42245"/>
    <cellStyle name="Walutowy 3 16" xfId="42246"/>
    <cellStyle name="Walutowy 3 17" xfId="42247"/>
    <cellStyle name="Walutowy 3 18" xfId="42248"/>
    <cellStyle name="Walutowy 3 19" xfId="42249"/>
    <cellStyle name="Walutowy 3 2" xfId="42250"/>
    <cellStyle name="Walutowy 3 20" xfId="42251"/>
    <cellStyle name="Walutowy 3 3" xfId="42252"/>
    <cellStyle name="Walutowy 3 4" xfId="42253"/>
    <cellStyle name="Walutowy 3 5" xfId="42254"/>
    <cellStyle name="Walutowy 3 6" xfId="42255"/>
    <cellStyle name="Walutowy 3 7" xfId="42256"/>
    <cellStyle name="Walutowy 3 8" xfId="42257"/>
    <cellStyle name="Walutowy 3 9" xfId="42258"/>
    <cellStyle name="Walutowy 4" xfId="42259"/>
    <cellStyle name="Walutowy 5" xfId="42260"/>
    <cellStyle name="Złe 2" xfId="42261"/>
    <cellStyle name="Złe 2 10" xfId="42262"/>
    <cellStyle name="Złe 2 10 10" xfId="42263"/>
    <cellStyle name="Złe 2 10 11" xfId="42264"/>
    <cellStyle name="Złe 2 10 12" xfId="42265"/>
    <cellStyle name="Złe 2 10 13" xfId="42266"/>
    <cellStyle name="Złe 2 10 14" xfId="42267"/>
    <cellStyle name="Złe 2 10 15" xfId="42268"/>
    <cellStyle name="Złe 2 10 16" xfId="42269"/>
    <cellStyle name="Złe 2 10 17" xfId="42270"/>
    <cellStyle name="Złe 2 10 18" xfId="42271"/>
    <cellStyle name="Złe 2 10 19" xfId="42272"/>
    <cellStyle name="Złe 2 10 2" xfId="42273"/>
    <cellStyle name="Złe 2 10 3" xfId="42274"/>
    <cellStyle name="Złe 2 10 4" xfId="42275"/>
    <cellStyle name="Złe 2 10 5" xfId="42276"/>
    <cellStyle name="Złe 2 10 6" xfId="42277"/>
    <cellStyle name="Złe 2 10 7" xfId="42278"/>
    <cellStyle name="Złe 2 10 8" xfId="42279"/>
    <cellStyle name="Złe 2 10 9" xfId="42280"/>
    <cellStyle name="Złe 2 11" xfId="42281"/>
    <cellStyle name="Złe 2 11 10" xfId="42282"/>
    <cellStyle name="Złe 2 11 11" xfId="42283"/>
    <cellStyle name="Złe 2 11 12" xfId="42284"/>
    <cellStyle name="Złe 2 11 13" xfId="42285"/>
    <cellStyle name="Złe 2 11 14" xfId="42286"/>
    <cellStyle name="Złe 2 11 15" xfId="42287"/>
    <cellStyle name="Złe 2 11 16" xfId="42288"/>
    <cellStyle name="Złe 2 11 17" xfId="42289"/>
    <cellStyle name="Złe 2 11 18" xfId="42290"/>
    <cellStyle name="Złe 2 11 19" xfId="42291"/>
    <cellStyle name="Złe 2 11 2" xfId="42292"/>
    <cellStyle name="Złe 2 11 3" xfId="42293"/>
    <cellStyle name="Złe 2 11 4" xfId="42294"/>
    <cellStyle name="Złe 2 11 5" xfId="42295"/>
    <cellStyle name="Złe 2 11 6" xfId="42296"/>
    <cellStyle name="Złe 2 11 7" xfId="42297"/>
    <cellStyle name="Złe 2 11 8" xfId="42298"/>
    <cellStyle name="Złe 2 11 9" xfId="42299"/>
    <cellStyle name="Złe 2 12" xfId="42300"/>
    <cellStyle name="Złe 2 12 10" xfId="42301"/>
    <cellStyle name="Złe 2 12 11" xfId="42302"/>
    <cellStyle name="Złe 2 12 12" xfId="42303"/>
    <cellStyle name="Złe 2 12 13" xfId="42304"/>
    <cellStyle name="Złe 2 12 14" xfId="42305"/>
    <cellStyle name="Złe 2 12 15" xfId="42306"/>
    <cellStyle name="Złe 2 12 16" xfId="42307"/>
    <cellStyle name="Złe 2 12 17" xfId="42308"/>
    <cellStyle name="Złe 2 12 18" xfId="42309"/>
    <cellStyle name="Złe 2 12 19" xfId="42310"/>
    <cellStyle name="Złe 2 12 2" xfId="42311"/>
    <cellStyle name="Złe 2 12 3" xfId="42312"/>
    <cellStyle name="Złe 2 12 4" xfId="42313"/>
    <cellStyle name="Złe 2 12 5" xfId="42314"/>
    <cellStyle name="Złe 2 12 6" xfId="42315"/>
    <cellStyle name="Złe 2 12 7" xfId="42316"/>
    <cellStyle name="Złe 2 12 8" xfId="42317"/>
    <cellStyle name="Złe 2 12 9" xfId="42318"/>
    <cellStyle name="Złe 2 13" xfId="42319"/>
    <cellStyle name="Złe 2 13 10" xfId="42320"/>
    <cellStyle name="Złe 2 13 11" xfId="42321"/>
    <cellStyle name="Złe 2 13 12" xfId="42322"/>
    <cellStyle name="Złe 2 13 13" xfId="42323"/>
    <cellStyle name="Złe 2 13 14" xfId="42324"/>
    <cellStyle name="Złe 2 13 15" xfId="42325"/>
    <cellStyle name="Złe 2 13 16" xfId="42326"/>
    <cellStyle name="Złe 2 13 17" xfId="42327"/>
    <cellStyle name="Złe 2 13 18" xfId="42328"/>
    <cellStyle name="Złe 2 13 19" xfId="42329"/>
    <cellStyle name="Złe 2 13 2" xfId="42330"/>
    <cellStyle name="Złe 2 13 3" xfId="42331"/>
    <cellStyle name="Złe 2 13 4" xfId="42332"/>
    <cellStyle name="Złe 2 13 5" xfId="42333"/>
    <cellStyle name="Złe 2 13 6" xfId="42334"/>
    <cellStyle name="Złe 2 13 7" xfId="42335"/>
    <cellStyle name="Złe 2 13 8" xfId="42336"/>
    <cellStyle name="Złe 2 13 9" xfId="42337"/>
    <cellStyle name="Złe 2 14" xfId="42338"/>
    <cellStyle name="Złe 2 14 10" xfId="42339"/>
    <cellStyle name="Złe 2 14 11" xfId="42340"/>
    <cellStyle name="Złe 2 14 12" xfId="42341"/>
    <cellStyle name="Złe 2 14 13" xfId="42342"/>
    <cellStyle name="Złe 2 14 14" xfId="42343"/>
    <cellStyle name="Złe 2 14 15" xfId="42344"/>
    <cellStyle name="Złe 2 14 16" xfId="42345"/>
    <cellStyle name="Złe 2 14 17" xfId="42346"/>
    <cellStyle name="Złe 2 14 18" xfId="42347"/>
    <cellStyle name="Złe 2 14 19" xfId="42348"/>
    <cellStyle name="Złe 2 14 2" xfId="42349"/>
    <cellStyle name="Złe 2 14 3" xfId="42350"/>
    <cellStyle name="Złe 2 14 4" xfId="42351"/>
    <cellStyle name="Złe 2 14 5" xfId="42352"/>
    <cellStyle name="Złe 2 14 6" xfId="42353"/>
    <cellStyle name="Złe 2 14 7" xfId="42354"/>
    <cellStyle name="Złe 2 14 8" xfId="42355"/>
    <cellStyle name="Złe 2 14 9" xfId="42356"/>
    <cellStyle name="Złe 2 15" xfId="42357"/>
    <cellStyle name="Złe 2 15 10" xfId="42358"/>
    <cellStyle name="Złe 2 15 11" xfId="42359"/>
    <cellStyle name="Złe 2 15 12" xfId="42360"/>
    <cellStyle name="Złe 2 15 13" xfId="42361"/>
    <cellStyle name="Złe 2 15 14" xfId="42362"/>
    <cellStyle name="Złe 2 15 15" xfId="42363"/>
    <cellStyle name="Złe 2 15 16" xfId="42364"/>
    <cellStyle name="Złe 2 15 17" xfId="42365"/>
    <cellStyle name="Złe 2 15 18" xfId="42366"/>
    <cellStyle name="Złe 2 15 19" xfId="42367"/>
    <cellStyle name="Złe 2 15 2" xfId="42368"/>
    <cellStyle name="Złe 2 15 3" xfId="42369"/>
    <cellStyle name="Złe 2 15 4" xfId="42370"/>
    <cellStyle name="Złe 2 15 5" xfId="42371"/>
    <cellStyle name="Złe 2 15 6" xfId="42372"/>
    <cellStyle name="Złe 2 15 7" xfId="42373"/>
    <cellStyle name="Złe 2 15 8" xfId="42374"/>
    <cellStyle name="Złe 2 15 9" xfId="42375"/>
    <cellStyle name="Złe 2 16" xfId="42376"/>
    <cellStyle name="Złe 2 16 10" xfId="42377"/>
    <cellStyle name="Złe 2 16 11" xfId="42378"/>
    <cellStyle name="Złe 2 16 12" xfId="42379"/>
    <cellStyle name="Złe 2 16 13" xfId="42380"/>
    <cellStyle name="Złe 2 16 14" xfId="42381"/>
    <cellStyle name="Złe 2 16 15" xfId="42382"/>
    <cellStyle name="Złe 2 16 16" xfId="42383"/>
    <cellStyle name="Złe 2 16 17" xfId="42384"/>
    <cellStyle name="Złe 2 16 18" xfId="42385"/>
    <cellStyle name="Złe 2 16 19" xfId="42386"/>
    <cellStyle name="Złe 2 16 2" xfId="42387"/>
    <cellStyle name="Złe 2 16 3" xfId="42388"/>
    <cellStyle name="Złe 2 16 4" xfId="42389"/>
    <cellStyle name="Złe 2 16 5" xfId="42390"/>
    <cellStyle name="Złe 2 16 6" xfId="42391"/>
    <cellStyle name="Złe 2 16 7" xfId="42392"/>
    <cellStyle name="Złe 2 16 8" xfId="42393"/>
    <cellStyle name="Złe 2 16 9" xfId="42394"/>
    <cellStyle name="Złe 2 17" xfId="42395"/>
    <cellStyle name="Złe 2 17 10" xfId="42396"/>
    <cellStyle name="Złe 2 17 11" xfId="42397"/>
    <cellStyle name="Złe 2 17 12" xfId="42398"/>
    <cellStyle name="Złe 2 17 13" xfId="42399"/>
    <cellStyle name="Złe 2 17 14" xfId="42400"/>
    <cellStyle name="Złe 2 17 15" xfId="42401"/>
    <cellStyle name="Złe 2 17 16" xfId="42402"/>
    <cellStyle name="Złe 2 17 17" xfId="42403"/>
    <cellStyle name="Złe 2 17 18" xfId="42404"/>
    <cellStyle name="Złe 2 17 19" xfId="42405"/>
    <cellStyle name="Złe 2 17 2" xfId="42406"/>
    <cellStyle name="Złe 2 17 3" xfId="42407"/>
    <cellStyle name="Złe 2 17 4" xfId="42408"/>
    <cellStyle name="Złe 2 17 5" xfId="42409"/>
    <cellStyle name="Złe 2 17 6" xfId="42410"/>
    <cellStyle name="Złe 2 17 7" xfId="42411"/>
    <cellStyle name="Złe 2 17 8" xfId="42412"/>
    <cellStyle name="Złe 2 17 9" xfId="42413"/>
    <cellStyle name="Złe 2 18" xfId="42414"/>
    <cellStyle name="Złe 2 18 10" xfId="42415"/>
    <cellStyle name="Złe 2 18 11" xfId="42416"/>
    <cellStyle name="Złe 2 18 12" xfId="42417"/>
    <cellStyle name="Złe 2 18 13" xfId="42418"/>
    <cellStyle name="Złe 2 18 14" xfId="42419"/>
    <cellStyle name="Złe 2 18 15" xfId="42420"/>
    <cellStyle name="Złe 2 18 16" xfId="42421"/>
    <cellStyle name="Złe 2 18 17" xfId="42422"/>
    <cellStyle name="Złe 2 18 18" xfId="42423"/>
    <cellStyle name="Złe 2 18 19" xfId="42424"/>
    <cellStyle name="Złe 2 18 2" xfId="42425"/>
    <cellStyle name="Złe 2 18 3" xfId="42426"/>
    <cellStyle name="Złe 2 18 4" xfId="42427"/>
    <cellStyle name="Złe 2 18 5" xfId="42428"/>
    <cellStyle name="Złe 2 18 6" xfId="42429"/>
    <cellStyle name="Złe 2 18 7" xfId="42430"/>
    <cellStyle name="Złe 2 18 8" xfId="42431"/>
    <cellStyle name="Złe 2 18 9" xfId="42432"/>
    <cellStyle name="Złe 2 19" xfId="42433"/>
    <cellStyle name="Złe 2 19 10" xfId="42434"/>
    <cellStyle name="Złe 2 19 11" xfId="42435"/>
    <cellStyle name="Złe 2 19 12" xfId="42436"/>
    <cellStyle name="Złe 2 19 13" xfId="42437"/>
    <cellStyle name="Złe 2 19 14" xfId="42438"/>
    <cellStyle name="Złe 2 19 15" xfId="42439"/>
    <cellStyle name="Złe 2 19 16" xfId="42440"/>
    <cellStyle name="Złe 2 19 17" xfId="42441"/>
    <cellStyle name="Złe 2 19 18" xfId="42442"/>
    <cellStyle name="Złe 2 19 19" xfId="42443"/>
    <cellStyle name="Złe 2 19 2" xfId="42444"/>
    <cellStyle name="Złe 2 19 3" xfId="42445"/>
    <cellStyle name="Złe 2 19 4" xfId="42446"/>
    <cellStyle name="Złe 2 19 5" xfId="42447"/>
    <cellStyle name="Złe 2 19 6" xfId="42448"/>
    <cellStyle name="Złe 2 19 7" xfId="42449"/>
    <cellStyle name="Złe 2 19 8" xfId="42450"/>
    <cellStyle name="Złe 2 19 9" xfId="42451"/>
    <cellStyle name="Złe 2 2" xfId="42452"/>
    <cellStyle name="Złe 2 2 10" xfId="42453"/>
    <cellStyle name="Złe 2 2 11" xfId="42454"/>
    <cellStyle name="Złe 2 2 12" xfId="42455"/>
    <cellStyle name="Złe 2 2 13" xfId="42456"/>
    <cellStyle name="Złe 2 2 14" xfId="42457"/>
    <cellStyle name="Złe 2 2 15" xfId="42458"/>
    <cellStyle name="Złe 2 2 16" xfId="42459"/>
    <cellStyle name="Złe 2 2 17" xfId="42460"/>
    <cellStyle name="Złe 2 2 18" xfId="42461"/>
    <cellStyle name="Złe 2 2 19" xfId="42462"/>
    <cellStyle name="Złe 2 2 2" xfId="42463"/>
    <cellStyle name="Złe 2 2 20" xfId="42464"/>
    <cellStyle name="Złe 2 2 3" xfId="42465"/>
    <cellStyle name="Złe 2 2 4" xfId="42466"/>
    <cellStyle name="Złe 2 2 5" xfId="42467"/>
    <cellStyle name="Złe 2 2 6" xfId="42468"/>
    <cellStyle name="Złe 2 2 7" xfId="42469"/>
    <cellStyle name="Złe 2 2 8" xfId="42470"/>
    <cellStyle name="Złe 2 2 9" xfId="42471"/>
    <cellStyle name="Złe 2 20" xfId="42472"/>
    <cellStyle name="Złe 2 20 10" xfId="42473"/>
    <cellStyle name="Złe 2 20 11" xfId="42474"/>
    <cellStyle name="Złe 2 20 12" xfId="42475"/>
    <cellStyle name="Złe 2 20 13" xfId="42476"/>
    <cellStyle name="Złe 2 20 14" xfId="42477"/>
    <cellStyle name="Złe 2 20 15" xfId="42478"/>
    <cellStyle name="Złe 2 20 16" xfId="42479"/>
    <cellStyle name="Złe 2 20 17" xfId="42480"/>
    <cellStyle name="Złe 2 20 18" xfId="42481"/>
    <cellStyle name="Złe 2 20 19" xfId="42482"/>
    <cellStyle name="Złe 2 20 2" xfId="42483"/>
    <cellStyle name="Złe 2 20 3" xfId="42484"/>
    <cellStyle name="Złe 2 20 4" xfId="42485"/>
    <cellStyle name="Złe 2 20 5" xfId="42486"/>
    <cellStyle name="Złe 2 20 6" xfId="42487"/>
    <cellStyle name="Złe 2 20 7" xfId="42488"/>
    <cellStyle name="Złe 2 20 8" xfId="42489"/>
    <cellStyle name="Złe 2 20 9" xfId="42490"/>
    <cellStyle name="Złe 2 21" xfId="42491"/>
    <cellStyle name="Złe 2 21 10" xfId="42492"/>
    <cellStyle name="Złe 2 21 11" xfId="42493"/>
    <cellStyle name="Złe 2 21 12" xfId="42494"/>
    <cellStyle name="Złe 2 21 13" xfId="42495"/>
    <cellStyle name="Złe 2 21 14" xfId="42496"/>
    <cellStyle name="Złe 2 21 15" xfId="42497"/>
    <cellStyle name="Złe 2 21 16" xfId="42498"/>
    <cellStyle name="Złe 2 21 17" xfId="42499"/>
    <cellStyle name="Złe 2 21 18" xfId="42500"/>
    <cellStyle name="Złe 2 21 19" xfId="42501"/>
    <cellStyle name="Złe 2 21 2" xfId="42502"/>
    <cellStyle name="Złe 2 21 3" xfId="42503"/>
    <cellStyle name="Złe 2 21 4" xfId="42504"/>
    <cellStyle name="Złe 2 21 5" xfId="42505"/>
    <cellStyle name="Złe 2 21 6" xfId="42506"/>
    <cellStyle name="Złe 2 21 7" xfId="42507"/>
    <cellStyle name="Złe 2 21 8" xfId="42508"/>
    <cellStyle name="Złe 2 21 9" xfId="42509"/>
    <cellStyle name="Złe 2 22" xfId="42510"/>
    <cellStyle name="Złe 2 22 10" xfId="42511"/>
    <cellStyle name="Złe 2 22 11" xfId="42512"/>
    <cellStyle name="Złe 2 22 12" xfId="42513"/>
    <cellStyle name="Złe 2 22 13" xfId="42514"/>
    <cellStyle name="Złe 2 22 14" xfId="42515"/>
    <cellStyle name="Złe 2 22 15" xfId="42516"/>
    <cellStyle name="Złe 2 22 16" xfId="42517"/>
    <cellStyle name="Złe 2 22 17" xfId="42518"/>
    <cellStyle name="Złe 2 22 18" xfId="42519"/>
    <cellStyle name="Złe 2 22 19" xfId="42520"/>
    <cellStyle name="Złe 2 22 2" xfId="42521"/>
    <cellStyle name="Złe 2 22 3" xfId="42522"/>
    <cellStyle name="Złe 2 22 4" xfId="42523"/>
    <cellStyle name="Złe 2 22 5" xfId="42524"/>
    <cellStyle name="Złe 2 22 6" xfId="42525"/>
    <cellStyle name="Złe 2 22 7" xfId="42526"/>
    <cellStyle name="Złe 2 22 8" xfId="42527"/>
    <cellStyle name="Złe 2 22 9" xfId="42528"/>
    <cellStyle name="Złe 2 23" xfId="42529"/>
    <cellStyle name="Złe 2 23 10" xfId="42530"/>
    <cellStyle name="Złe 2 23 11" xfId="42531"/>
    <cellStyle name="Złe 2 23 12" xfId="42532"/>
    <cellStyle name="Złe 2 23 13" xfId="42533"/>
    <cellStyle name="Złe 2 23 14" xfId="42534"/>
    <cellStyle name="Złe 2 23 15" xfId="42535"/>
    <cellStyle name="Złe 2 23 16" xfId="42536"/>
    <cellStyle name="Złe 2 23 17" xfId="42537"/>
    <cellStyle name="Złe 2 23 18" xfId="42538"/>
    <cellStyle name="Złe 2 23 19" xfId="42539"/>
    <cellStyle name="Złe 2 23 2" xfId="42540"/>
    <cellStyle name="Złe 2 23 3" xfId="42541"/>
    <cellStyle name="Złe 2 23 4" xfId="42542"/>
    <cellStyle name="Złe 2 23 5" xfId="42543"/>
    <cellStyle name="Złe 2 23 6" xfId="42544"/>
    <cellStyle name="Złe 2 23 7" xfId="42545"/>
    <cellStyle name="Złe 2 23 8" xfId="42546"/>
    <cellStyle name="Złe 2 23 9" xfId="42547"/>
    <cellStyle name="Złe 2 24" xfId="42548"/>
    <cellStyle name="Złe 2 24 10" xfId="42549"/>
    <cellStyle name="Złe 2 24 11" xfId="42550"/>
    <cellStyle name="Złe 2 24 12" xfId="42551"/>
    <cellStyle name="Złe 2 24 13" xfId="42552"/>
    <cellStyle name="Złe 2 24 14" xfId="42553"/>
    <cellStyle name="Złe 2 24 15" xfId="42554"/>
    <cellStyle name="Złe 2 24 16" xfId="42555"/>
    <cellStyle name="Złe 2 24 17" xfId="42556"/>
    <cellStyle name="Złe 2 24 18" xfId="42557"/>
    <cellStyle name="Złe 2 24 19" xfId="42558"/>
    <cellStyle name="Złe 2 24 2" xfId="42559"/>
    <cellStyle name="Złe 2 24 3" xfId="42560"/>
    <cellStyle name="Złe 2 24 4" xfId="42561"/>
    <cellStyle name="Złe 2 24 5" xfId="42562"/>
    <cellStyle name="Złe 2 24 6" xfId="42563"/>
    <cellStyle name="Złe 2 24 7" xfId="42564"/>
    <cellStyle name="Złe 2 24 8" xfId="42565"/>
    <cellStyle name="Złe 2 24 9" xfId="42566"/>
    <cellStyle name="Złe 2 25" xfId="42567"/>
    <cellStyle name="Złe 2 25 10" xfId="42568"/>
    <cellStyle name="Złe 2 25 11" xfId="42569"/>
    <cellStyle name="Złe 2 25 12" xfId="42570"/>
    <cellStyle name="Złe 2 25 13" xfId="42571"/>
    <cellStyle name="Złe 2 25 14" xfId="42572"/>
    <cellStyle name="Złe 2 25 15" xfId="42573"/>
    <cellStyle name="Złe 2 25 16" xfId="42574"/>
    <cellStyle name="Złe 2 25 17" xfId="42575"/>
    <cellStyle name="Złe 2 25 18" xfId="42576"/>
    <cellStyle name="Złe 2 25 19" xfId="42577"/>
    <cellStyle name="Złe 2 25 2" xfId="42578"/>
    <cellStyle name="Złe 2 25 3" xfId="42579"/>
    <cellStyle name="Złe 2 25 4" xfId="42580"/>
    <cellStyle name="Złe 2 25 5" xfId="42581"/>
    <cellStyle name="Złe 2 25 6" xfId="42582"/>
    <cellStyle name="Złe 2 25 7" xfId="42583"/>
    <cellStyle name="Złe 2 25 8" xfId="42584"/>
    <cellStyle name="Złe 2 25 9" xfId="42585"/>
    <cellStyle name="Złe 2 26" xfId="42586"/>
    <cellStyle name="Złe 2 26 10" xfId="42587"/>
    <cellStyle name="Złe 2 26 11" xfId="42588"/>
    <cellStyle name="Złe 2 26 12" xfId="42589"/>
    <cellStyle name="Złe 2 26 13" xfId="42590"/>
    <cellStyle name="Złe 2 26 14" xfId="42591"/>
    <cellStyle name="Złe 2 26 15" xfId="42592"/>
    <cellStyle name="Złe 2 26 16" xfId="42593"/>
    <cellStyle name="Złe 2 26 17" xfId="42594"/>
    <cellStyle name="Złe 2 26 18" xfId="42595"/>
    <cellStyle name="Złe 2 26 19" xfId="42596"/>
    <cellStyle name="Złe 2 26 2" xfId="42597"/>
    <cellStyle name="Złe 2 26 3" xfId="42598"/>
    <cellStyle name="Złe 2 26 4" xfId="42599"/>
    <cellStyle name="Złe 2 26 5" xfId="42600"/>
    <cellStyle name="Złe 2 26 6" xfId="42601"/>
    <cellStyle name="Złe 2 26 7" xfId="42602"/>
    <cellStyle name="Złe 2 26 8" xfId="42603"/>
    <cellStyle name="Złe 2 26 9" xfId="42604"/>
    <cellStyle name="Złe 2 27" xfId="42605"/>
    <cellStyle name="Złe 2 27 10" xfId="42606"/>
    <cellStyle name="Złe 2 27 11" xfId="42607"/>
    <cellStyle name="Złe 2 27 12" xfId="42608"/>
    <cellStyle name="Złe 2 27 13" xfId="42609"/>
    <cellStyle name="Złe 2 27 14" xfId="42610"/>
    <cellStyle name="Złe 2 27 15" xfId="42611"/>
    <cellStyle name="Złe 2 27 16" xfId="42612"/>
    <cellStyle name="Złe 2 27 17" xfId="42613"/>
    <cellStyle name="Złe 2 27 18" xfId="42614"/>
    <cellStyle name="Złe 2 27 19" xfId="42615"/>
    <cellStyle name="Złe 2 27 2" xfId="42616"/>
    <cellStyle name="Złe 2 27 3" xfId="42617"/>
    <cellStyle name="Złe 2 27 4" xfId="42618"/>
    <cellStyle name="Złe 2 27 5" xfId="42619"/>
    <cellStyle name="Złe 2 27 6" xfId="42620"/>
    <cellStyle name="Złe 2 27 7" xfId="42621"/>
    <cellStyle name="Złe 2 27 8" xfId="42622"/>
    <cellStyle name="Złe 2 27 9" xfId="42623"/>
    <cellStyle name="Złe 2 28" xfId="42624"/>
    <cellStyle name="Złe 2 28 10" xfId="42625"/>
    <cellStyle name="Złe 2 28 11" xfId="42626"/>
    <cellStyle name="Złe 2 28 12" xfId="42627"/>
    <cellStyle name="Złe 2 28 13" xfId="42628"/>
    <cellStyle name="Złe 2 28 14" xfId="42629"/>
    <cellStyle name="Złe 2 28 15" xfId="42630"/>
    <cellStyle name="Złe 2 28 16" xfId="42631"/>
    <cellStyle name="Złe 2 28 17" xfId="42632"/>
    <cellStyle name="Złe 2 28 18" xfId="42633"/>
    <cellStyle name="Złe 2 28 19" xfId="42634"/>
    <cellStyle name="Złe 2 28 2" xfId="42635"/>
    <cellStyle name="Złe 2 28 3" xfId="42636"/>
    <cellStyle name="Złe 2 28 4" xfId="42637"/>
    <cellStyle name="Złe 2 28 5" xfId="42638"/>
    <cellStyle name="Złe 2 28 6" xfId="42639"/>
    <cellStyle name="Złe 2 28 7" xfId="42640"/>
    <cellStyle name="Złe 2 28 8" xfId="42641"/>
    <cellStyle name="Złe 2 28 9" xfId="42642"/>
    <cellStyle name="Złe 2 29" xfId="42643"/>
    <cellStyle name="Złe 2 29 2" xfId="42644"/>
    <cellStyle name="Złe 2 3" xfId="42645"/>
    <cellStyle name="Złe 2 3 10" xfId="42646"/>
    <cellStyle name="Złe 2 3 11" xfId="42647"/>
    <cellStyle name="Złe 2 3 12" xfId="42648"/>
    <cellStyle name="Złe 2 3 13" xfId="42649"/>
    <cellStyle name="Złe 2 3 14" xfId="42650"/>
    <cellStyle name="Złe 2 3 15" xfId="42651"/>
    <cellStyle name="Złe 2 3 16" xfId="42652"/>
    <cellStyle name="Złe 2 3 17" xfId="42653"/>
    <cellStyle name="Złe 2 3 18" xfId="42654"/>
    <cellStyle name="Złe 2 3 19" xfId="42655"/>
    <cellStyle name="Złe 2 3 2" xfId="42656"/>
    <cellStyle name="Złe 2 3 3" xfId="42657"/>
    <cellStyle name="Złe 2 3 4" xfId="42658"/>
    <cellStyle name="Złe 2 3 5" xfId="42659"/>
    <cellStyle name="Złe 2 3 6" xfId="42660"/>
    <cellStyle name="Złe 2 3 7" xfId="42661"/>
    <cellStyle name="Złe 2 3 8" xfId="42662"/>
    <cellStyle name="Złe 2 3 9" xfId="42663"/>
    <cellStyle name="Złe 2 30" xfId="42664"/>
    <cellStyle name="Złe 2 30 2" xfId="42665"/>
    <cellStyle name="Złe 2 31" xfId="42666"/>
    <cellStyle name="Złe 2 31 2" xfId="42667"/>
    <cellStyle name="Złe 2 32" xfId="42668"/>
    <cellStyle name="Złe 2 32 2" xfId="42669"/>
    <cellStyle name="Złe 2 33" xfId="42670"/>
    <cellStyle name="Złe 2 34" xfId="42671"/>
    <cellStyle name="Złe 2 35" xfId="42672"/>
    <cellStyle name="Złe 2 36" xfId="42673"/>
    <cellStyle name="Złe 2 37" xfId="42674"/>
    <cellStyle name="Złe 2 38" xfId="42675"/>
    <cellStyle name="Złe 2 39" xfId="42676"/>
    <cellStyle name="Złe 2 4" xfId="42677"/>
    <cellStyle name="Złe 2 4 10" xfId="42678"/>
    <cellStyle name="Złe 2 4 11" xfId="42679"/>
    <cellStyle name="Złe 2 4 12" xfId="42680"/>
    <cellStyle name="Złe 2 4 13" xfId="42681"/>
    <cellStyle name="Złe 2 4 14" xfId="42682"/>
    <cellStyle name="Złe 2 4 15" xfId="42683"/>
    <cellStyle name="Złe 2 4 16" xfId="42684"/>
    <cellStyle name="Złe 2 4 17" xfId="42685"/>
    <cellStyle name="Złe 2 4 18" xfId="42686"/>
    <cellStyle name="Złe 2 4 19" xfId="42687"/>
    <cellStyle name="Złe 2 4 2" xfId="42688"/>
    <cellStyle name="Złe 2 4 3" xfId="42689"/>
    <cellStyle name="Złe 2 4 4" xfId="42690"/>
    <cellStyle name="Złe 2 4 5" xfId="42691"/>
    <cellStyle name="Złe 2 4 6" xfId="42692"/>
    <cellStyle name="Złe 2 4 7" xfId="42693"/>
    <cellStyle name="Złe 2 4 8" xfId="42694"/>
    <cellStyle name="Złe 2 4 9" xfId="42695"/>
    <cellStyle name="Złe 2 40" xfId="42696"/>
    <cellStyle name="Złe 2 41" xfId="42697"/>
    <cellStyle name="Złe 2 42" xfId="42698"/>
    <cellStyle name="Złe 2 43" xfId="42699"/>
    <cellStyle name="Złe 2 44" xfId="42700"/>
    <cellStyle name="Złe 2 45" xfId="42701"/>
    <cellStyle name="Złe 2 46" xfId="42702"/>
    <cellStyle name="Złe 2 47" xfId="42703"/>
    <cellStyle name="Złe 2 48" xfId="42704"/>
    <cellStyle name="Złe 2 49" xfId="42705"/>
    <cellStyle name="Złe 2 5" xfId="42706"/>
    <cellStyle name="Złe 2 5 10" xfId="42707"/>
    <cellStyle name="Złe 2 5 11" xfId="42708"/>
    <cellStyle name="Złe 2 5 12" xfId="42709"/>
    <cellStyle name="Złe 2 5 13" xfId="42710"/>
    <cellStyle name="Złe 2 5 14" xfId="42711"/>
    <cellStyle name="Złe 2 5 15" xfId="42712"/>
    <cellStyle name="Złe 2 5 16" xfId="42713"/>
    <cellStyle name="Złe 2 5 17" xfId="42714"/>
    <cellStyle name="Złe 2 5 18" xfId="42715"/>
    <cellStyle name="Złe 2 5 19" xfId="42716"/>
    <cellStyle name="Złe 2 5 2" xfId="42717"/>
    <cellStyle name="Złe 2 5 3" xfId="42718"/>
    <cellStyle name="Złe 2 5 4" xfId="42719"/>
    <cellStyle name="Złe 2 5 5" xfId="42720"/>
    <cellStyle name="Złe 2 5 6" xfId="42721"/>
    <cellStyle name="Złe 2 5 7" xfId="42722"/>
    <cellStyle name="Złe 2 5 8" xfId="42723"/>
    <cellStyle name="Złe 2 5 9" xfId="42724"/>
    <cellStyle name="Złe 2 50" xfId="42725"/>
    <cellStyle name="Złe 2 51" xfId="42726"/>
    <cellStyle name="Złe 2 52" xfId="42727"/>
    <cellStyle name="Złe 2 53" xfId="42728"/>
    <cellStyle name="Złe 2 54" xfId="42729"/>
    <cellStyle name="Złe 2 6" xfId="42730"/>
    <cellStyle name="Złe 2 6 10" xfId="42731"/>
    <cellStyle name="Złe 2 6 11" xfId="42732"/>
    <cellStyle name="Złe 2 6 12" xfId="42733"/>
    <cellStyle name="Złe 2 6 13" xfId="42734"/>
    <cellStyle name="Złe 2 6 14" xfId="42735"/>
    <cellStyle name="Złe 2 6 15" xfId="42736"/>
    <cellStyle name="Złe 2 6 16" xfId="42737"/>
    <cellStyle name="Złe 2 6 17" xfId="42738"/>
    <cellStyle name="Złe 2 6 18" xfId="42739"/>
    <cellStyle name="Złe 2 6 19" xfId="42740"/>
    <cellStyle name="Złe 2 6 2" xfId="42741"/>
    <cellStyle name="Złe 2 6 3" xfId="42742"/>
    <cellStyle name="Złe 2 6 4" xfId="42743"/>
    <cellStyle name="Złe 2 6 5" xfId="42744"/>
    <cellStyle name="Złe 2 6 6" xfId="42745"/>
    <cellStyle name="Złe 2 6 7" xfId="42746"/>
    <cellStyle name="Złe 2 6 8" xfId="42747"/>
    <cellStyle name="Złe 2 6 9" xfId="42748"/>
    <cellStyle name="Złe 2 7" xfId="42749"/>
    <cellStyle name="Złe 2 7 10" xfId="42750"/>
    <cellStyle name="Złe 2 7 11" xfId="42751"/>
    <cellStyle name="Złe 2 7 12" xfId="42752"/>
    <cellStyle name="Złe 2 7 13" xfId="42753"/>
    <cellStyle name="Złe 2 7 14" xfId="42754"/>
    <cellStyle name="Złe 2 7 15" xfId="42755"/>
    <cellStyle name="Złe 2 7 16" xfId="42756"/>
    <cellStyle name="Złe 2 7 17" xfId="42757"/>
    <cellStyle name="Złe 2 7 18" xfId="42758"/>
    <cellStyle name="Złe 2 7 19" xfId="42759"/>
    <cellStyle name="Złe 2 7 2" xfId="42760"/>
    <cellStyle name="Złe 2 7 3" xfId="42761"/>
    <cellStyle name="Złe 2 7 4" xfId="42762"/>
    <cellStyle name="Złe 2 7 5" xfId="42763"/>
    <cellStyle name="Złe 2 7 6" xfId="42764"/>
    <cellStyle name="Złe 2 7 7" xfId="42765"/>
    <cellStyle name="Złe 2 7 8" xfId="42766"/>
    <cellStyle name="Złe 2 7 9" xfId="42767"/>
    <cellStyle name="Złe 2 8" xfId="42768"/>
    <cellStyle name="Złe 2 8 10" xfId="42769"/>
    <cellStyle name="Złe 2 8 11" xfId="42770"/>
    <cellStyle name="Złe 2 8 12" xfId="42771"/>
    <cellStyle name="Złe 2 8 13" xfId="42772"/>
    <cellStyle name="Złe 2 8 14" xfId="42773"/>
    <cellStyle name="Złe 2 8 15" xfId="42774"/>
    <cellStyle name="Złe 2 8 16" xfId="42775"/>
    <cellStyle name="Złe 2 8 17" xfId="42776"/>
    <cellStyle name="Złe 2 8 18" xfId="42777"/>
    <cellStyle name="Złe 2 8 19" xfId="42778"/>
    <cellStyle name="Złe 2 8 2" xfId="42779"/>
    <cellStyle name="Złe 2 8 3" xfId="42780"/>
    <cellStyle name="Złe 2 8 4" xfId="42781"/>
    <cellStyle name="Złe 2 8 5" xfId="42782"/>
    <cellStyle name="Złe 2 8 6" xfId="42783"/>
    <cellStyle name="Złe 2 8 7" xfId="42784"/>
    <cellStyle name="Złe 2 8 8" xfId="42785"/>
    <cellStyle name="Złe 2 8 9" xfId="42786"/>
    <cellStyle name="Złe 2 9" xfId="42787"/>
    <cellStyle name="Złe 2 9 10" xfId="42788"/>
    <cellStyle name="Złe 2 9 11" xfId="42789"/>
    <cellStyle name="Złe 2 9 12" xfId="42790"/>
    <cellStyle name="Złe 2 9 13" xfId="42791"/>
    <cellStyle name="Złe 2 9 14" xfId="42792"/>
    <cellStyle name="Złe 2 9 15" xfId="42793"/>
    <cellStyle name="Złe 2 9 16" xfId="42794"/>
    <cellStyle name="Złe 2 9 17" xfId="42795"/>
    <cellStyle name="Złe 2 9 18" xfId="42796"/>
    <cellStyle name="Złe 2 9 19" xfId="42797"/>
    <cellStyle name="Złe 2 9 2" xfId="42798"/>
    <cellStyle name="Złe 2 9 3" xfId="42799"/>
    <cellStyle name="Złe 2 9 4" xfId="42800"/>
    <cellStyle name="Złe 2 9 5" xfId="42801"/>
    <cellStyle name="Złe 2 9 6" xfId="42802"/>
    <cellStyle name="Złe 2 9 7" xfId="42803"/>
    <cellStyle name="Złe 2 9 8" xfId="42804"/>
    <cellStyle name="Złe 2 9 9" xfId="42805"/>
    <cellStyle name="Złe 3" xfId="42806"/>
    <cellStyle name="Złe 3 10" xfId="42807"/>
    <cellStyle name="Złe 3 11" xfId="42808"/>
    <cellStyle name="Złe 3 12" xfId="42809"/>
    <cellStyle name="Złe 3 13" xfId="42810"/>
    <cellStyle name="Złe 3 14" xfId="42811"/>
    <cellStyle name="Złe 3 15" xfId="42812"/>
    <cellStyle name="Złe 3 16" xfId="42813"/>
    <cellStyle name="Złe 3 17" xfId="42814"/>
    <cellStyle name="Złe 3 18" xfId="42815"/>
    <cellStyle name="Złe 3 19" xfId="42816"/>
    <cellStyle name="Złe 3 2" xfId="42817"/>
    <cellStyle name="Złe 3 2 2" xfId="42818"/>
    <cellStyle name="Złe 3 20" xfId="42819"/>
    <cellStyle name="Złe 3 21" xfId="42820"/>
    <cellStyle name="Złe 3 22" xfId="42821"/>
    <cellStyle name="Złe 3 23" xfId="42822"/>
    <cellStyle name="Złe 3 3" xfId="42823"/>
    <cellStyle name="Złe 3 4" xfId="42824"/>
    <cellStyle name="Złe 3 5" xfId="42825"/>
    <cellStyle name="Złe 3 6" xfId="42826"/>
    <cellStyle name="Złe 3 7" xfId="42827"/>
    <cellStyle name="Złe 3 8" xfId="42828"/>
    <cellStyle name="Złe 3 9" xfId="42829"/>
    <cellStyle name="Złe 4" xfId="42830"/>
    <cellStyle name="Złe 4 2" xfId="42831"/>
    <cellStyle name="Złe 4 3" xfId="42832"/>
    <cellStyle name="Złe 4 4" xfId="42833"/>
    <cellStyle name="Złe 4 5" xfId="42834"/>
    <cellStyle name="Złe 4 6" xfId="42835"/>
    <cellStyle name="Złe 4 7" xfId="42836"/>
    <cellStyle name="Złe 4 8" xfId="42837"/>
    <cellStyle name="Złe 4 9" xfId="42838"/>
    <cellStyle name="Złe 5" xfId="42839"/>
    <cellStyle name="Złe 5 2" xfId="42840"/>
    <cellStyle name="Złe 5 3" xfId="42841"/>
    <cellStyle name="Złe 6" xfId="42842"/>
    <cellStyle name="Złe 6 2" xfId="42843"/>
    <cellStyle name="Złe 7" xfId="42844"/>
  </cellStyles>
  <dxfs count="0"/>
  <tableStyles count="0" defaultTableStyle="TableStyleMedium9" defaultPivotStyle="PivotStyleLight16"/>
  <colors>
    <mruColors>
      <color rgb="FF03ACE5"/>
      <color rgb="FF1082BF"/>
      <color rgb="FF2E83BF"/>
      <color rgb="FFF7A8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5" name="Picture 12" descr="image001">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0</xdr:row>
      <xdr:rowOff>1162050</xdr:rowOff>
    </xdr:to>
    <xdr:pic>
      <xdr:nvPicPr>
        <xdr:cNvPr id="4" name="Picture 12" descr="image001">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0</xdr:rowOff>
    </xdr:from>
    <xdr:to>
      <xdr:col>1</xdr:col>
      <xdr:colOff>1076325</xdr:colOff>
      <xdr:row>1</xdr:row>
      <xdr:rowOff>28575</xdr:rowOff>
    </xdr:to>
    <xdr:pic>
      <xdr:nvPicPr>
        <xdr:cNvPr id="2" name="Picture 12" descr="image001">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1076325</xdr:colOff>
      <xdr:row>1</xdr:row>
      <xdr:rowOff>28575</xdr:rowOff>
    </xdr:to>
    <xdr:pic>
      <xdr:nvPicPr>
        <xdr:cNvPr id="2" name="Picture 12" descr="image00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76325"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6" Type="http://schemas.openxmlformats.org/officeDocument/2006/relationships/drawing" Target="../drawings/drawing3.xml"/><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drawing" Target="../drawings/drawing4.x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drawing" Target="../drawings/drawing8.xml"/><Relationship Id="rId5" Type="http://schemas.openxmlformats.org/officeDocument/2006/relationships/printerSettings" Target="../printerSettings/printerSettings29.bin"/><Relationship Id="rId4" Type="http://schemas.openxmlformats.org/officeDocument/2006/relationships/printerSettings" Target="../printerSettings/printerSettings2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EB58"/>
  <sheetViews>
    <sheetView showGridLines="0" zoomScale="115" zoomScaleNormal="115" zoomScaleSheetLayoutView="85" workbookViewId="0">
      <pane xSplit="2" ySplit="4" topLeftCell="BK29" activePane="bottomRight" state="frozen"/>
      <selection pane="topRight" activeCell="C1" sqref="C1"/>
      <selection pane="bottomLeft" activeCell="A5" sqref="A5"/>
      <selection pane="bottomRight" activeCell="C5" sqref="C5"/>
    </sheetView>
  </sheetViews>
  <sheetFormatPr defaultColWidth="9" defaultRowHeight="28.5" customHeight="1" outlineLevelCol="1"/>
  <cols>
    <col min="1" max="2" width="41.640625" style="5" customWidth="1"/>
    <col min="3" max="8" width="9" style="4" hidden="1" customWidth="1" outlineLevel="1"/>
    <col min="9" max="9" width="9" style="64" hidden="1" customWidth="1" outlineLevel="1"/>
    <col min="10" max="10" width="9" style="4" hidden="1" customWidth="1" outlineLevel="1"/>
    <col min="11" max="13" width="10.140625" style="4" hidden="1" customWidth="1" outlineLevel="1"/>
    <col min="14" max="16" width="9.140625" style="4" hidden="1" customWidth="1" outlineLevel="1"/>
    <col min="17" max="24" width="10.140625" style="4" hidden="1" customWidth="1" outlineLevel="1"/>
    <col min="25" max="25" width="10.140625" style="39" hidden="1" customWidth="1" outlineLevel="1"/>
    <col min="26" max="29" width="10.140625" style="4" hidden="1" customWidth="1" outlineLevel="1"/>
    <col min="30" max="30" width="10.140625" style="39" hidden="1" customWidth="1" outlineLevel="1"/>
    <col min="31" max="32" width="10.140625" style="4" hidden="1" customWidth="1" outlineLevel="1"/>
    <col min="33" max="33" width="10.140625" style="4" hidden="1" customWidth="1" outlineLevel="1" collapsed="1"/>
    <col min="34" max="34" width="10.140625" style="4" hidden="1" customWidth="1" outlineLevel="1"/>
    <col min="35" max="35" width="10.140625" style="39" hidden="1" customWidth="1" outlineLevel="1"/>
    <col min="36" max="36" width="10.140625" style="4" hidden="1" customWidth="1" outlineLevel="1"/>
    <col min="37" max="37" width="10.140625" style="100" hidden="1" customWidth="1" outlineLevel="1"/>
    <col min="38" max="38" width="4" hidden="1" customWidth="1" outlineLevel="1"/>
    <col min="39" max="40" width="10.140625" style="4" hidden="1" customWidth="1" outlineLevel="1"/>
    <col min="41" max="41" width="10.140625" style="39" hidden="1" customWidth="1" outlineLevel="1"/>
    <col min="42" max="45" width="10.140625" style="4" hidden="1" customWidth="1" outlineLevel="1"/>
    <col min="46" max="46" width="10.140625" style="39" hidden="1" customWidth="1" outlineLevel="1"/>
    <col min="47" max="50" width="10.140625" style="4" hidden="1" customWidth="1" outlineLevel="1"/>
    <col min="51" max="51" width="10.140625" style="39" hidden="1" customWidth="1" outlineLevel="1"/>
    <col min="52" max="55" width="10.140625" style="4" hidden="1" customWidth="1" outlineLevel="1"/>
    <col min="56" max="56" width="10.140625" style="39" hidden="1" customWidth="1" outlineLevel="1"/>
    <col min="57" max="57" width="10.140625" style="4" hidden="1" customWidth="1" outlineLevel="1"/>
    <col min="58" max="58" width="10.140625" style="707" hidden="1" customWidth="1" outlineLevel="1"/>
    <col min="59" max="59" width="10.140625" style="4" customWidth="1" collapsed="1"/>
    <col min="60" max="60" width="10.140625" style="4" customWidth="1"/>
    <col min="61" max="61" width="10.140625" style="39" customWidth="1"/>
    <col min="62" max="62" width="10.140625" style="4" customWidth="1"/>
    <col min="63" max="63" width="10.140625" style="701" bestFit="1" customWidth="1"/>
    <col min="64" max="65" width="10.140625" style="4" customWidth="1"/>
    <col min="66" max="66" width="10.140625" style="39" customWidth="1"/>
    <col min="67" max="67" width="10.140625" style="4" customWidth="1"/>
    <col min="68" max="68" width="10.140625" style="701" bestFit="1" customWidth="1"/>
    <col min="69" max="70" width="10.140625" style="4" customWidth="1"/>
    <col min="71" max="71" width="10.140625" style="39" customWidth="1"/>
    <col min="72" max="72" width="10.140625" style="4" customWidth="1"/>
    <col min="73" max="16384" width="9" style="5"/>
  </cols>
  <sheetData>
    <row r="1" spans="1:77" s="7" customFormat="1" ht="89.25" customHeight="1">
      <c r="A1" s="200"/>
      <c r="B1" s="3"/>
      <c r="C1" s="6"/>
      <c r="D1" s="6"/>
      <c r="E1" s="6"/>
      <c r="F1" s="6"/>
      <c r="G1" s="6"/>
      <c r="H1" s="6"/>
      <c r="I1" s="47"/>
      <c r="J1" s="6"/>
      <c r="K1" s="6"/>
      <c r="L1" s="6"/>
      <c r="M1" s="6"/>
      <c r="N1" s="6"/>
      <c r="O1" s="6"/>
      <c r="P1" s="6"/>
      <c r="Q1" s="6"/>
      <c r="R1" s="6"/>
      <c r="S1" s="6"/>
      <c r="T1" s="6"/>
      <c r="U1" s="48"/>
      <c r="V1" s="48"/>
      <c r="W1" s="48"/>
      <c r="X1" s="48"/>
      <c r="Y1" s="790"/>
      <c r="Z1" s="48"/>
      <c r="AA1" s="48"/>
      <c r="AB1" s="48"/>
      <c r="AC1" s="48"/>
      <c r="AD1" s="790"/>
      <c r="AE1" s="48"/>
      <c r="AF1" s="48"/>
      <c r="AG1" s="48"/>
      <c r="AH1" s="50"/>
      <c r="AI1" s="790"/>
      <c r="AJ1" s="48"/>
      <c r="AK1" s="97"/>
      <c r="AM1" s="48"/>
      <c r="AN1" s="48"/>
      <c r="AO1" s="790"/>
      <c r="AP1" s="48"/>
      <c r="AQ1" s="48"/>
      <c r="AR1" s="48"/>
      <c r="AS1" s="48"/>
      <c r="AT1" s="790"/>
      <c r="AU1" s="48"/>
      <c r="AV1" s="48"/>
      <c r="AW1" s="48"/>
      <c r="AX1" s="48"/>
      <c r="AY1" s="790"/>
      <c r="AZ1" s="48"/>
      <c r="BA1" s="48"/>
      <c r="BB1" s="48"/>
      <c r="BC1" s="48"/>
      <c r="BD1" s="790"/>
      <c r="BE1" s="48"/>
      <c r="BF1" s="702"/>
      <c r="BG1" s="48"/>
      <c r="BH1" s="48"/>
      <c r="BI1" s="790"/>
      <c r="BJ1" s="48"/>
      <c r="BK1" s="696"/>
      <c r="BL1" s="48"/>
      <c r="BM1" s="48"/>
      <c r="BN1" s="790"/>
      <c r="BO1" s="727"/>
      <c r="BP1" s="696"/>
      <c r="BQ1" s="48"/>
      <c r="BR1" s="48"/>
      <c r="BS1" s="790"/>
      <c r="BT1" s="727"/>
    </row>
    <row r="2" spans="1:77" s="449" customFormat="1" ht="32.15" customHeight="1">
      <c r="A2" s="493" t="s">
        <v>0</v>
      </c>
      <c r="B2" s="490" t="s">
        <v>1</v>
      </c>
      <c r="C2" s="901">
        <v>2012</v>
      </c>
      <c r="D2" s="901"/>
      <c r="E2" s="901"/>
      <c r="F2" s="901"/>
      <c r="G2" s="902"/>
      <c r="H2" s="901">
        <v>2013</v>
      </c>
      <c r="I2" s="901"/>
      <c r="J2" s="901"/>
      <c r="K2" s="901"/>
      <c r="L2" s="902"/>
      <c r="M2" s="900">
        <v>2014</v>
      </c>
      <c r="N2" s="901"/>
      <c r="O2" s="901"/>
      <c r="P2" s="901"/>
      <c r="Q2" s="902"/>
      <c r="R2" s="900">
        <v>2015</v>
      </c>
      <c r="S2" s="901"/>
      <c r="T2" s="901"/>
      <c r="U2" s="901"/>
      <c r="V2" s="902"/>
      <c r="W2" s="900">
        <v>2016</v>
      </c>
      <c r="X2" s="901"/>
      <c r="Y2" s="901"/>
      <c r="Z2" s="901"/>
      <c r="AA2" s="902"/>
      <c r="AB2" s="900">
        <v>2017</v>
      </c>
      <c r="AC2" s="901"/>
      <c r="AD2" s="901"/>
      <c r="AE2" s="901"/>
      <c r="AF2" s="902"/>
      <c r="AG2" s="900" t="s">
        <v>2</v>
      </c>
      <c r="AH2" s="901"/>
      <c r="AI2" s="901"/>
      <c r="AJ2" s="901"/>
      <c r="AK2" s="902"/>
      <c r="AL2"/>
      <c r="AM2" s="900" t="s">
        <v>3</v>
      </c>
      <c r="AN2" s="901"/>
      <c r="AO2" s="901"/>
      <c r="AP2" s="901"/>
      <c r="AQ2" s="902"/>
      <c r="AR2" s="900" t="s">
        <v>4</v>
      </c>
      <c r="AS2" s="901"/>
      <c r="AT2" s="901"/>
      <c r="AU2" s="901"/>
      <c r="AV2" s="902"/>
      <c r="AW2" s="900" t="s">
        <v>5</v>
      </c>
      <c r="AX2" s="901"/>
      <c r="AY2" s="901"/>
      <c r="AZ2" s="901"/>
      <c r="BA2" s="902"/>
      <c r="BB2" s="900" t="s">
        <v>6</v>
      </c>
      <c r="BC2" s="901"/>
      <c r="BD2" s="901"/>
      <c r="BE2" s="901"/>
      <c r="BF2" s="902"/>
      <c r="BG2" s="900" t="s">
        <v>7</v>
      </c>
      <c r="BH2" s="901"/>
      <c r="BI2" s="901"/>
      <c r="BJ2" s="901"/>
      <c r="BK2" s="902"/>
      <c r="BL2" s="900" t="s">
        <v>8</v>
      </c>
      <c r="BM2" s="901"/>
      <c r="BN2" s="901"/>
      <c r="BO2" s="901"/>
      <c r="BP2" s="901"/>
      <c r="BQ2" s="904" t="s">
        <v>9</v>
      </c>
      <c r="BR2" s="901"/>
      <c r="BS2" s="901"/>
      <c r="BT2" s="905"/>
    </row>
    <row r="3" spans="1:77" s="449" customFormat="1" ht="32.15" customHeight="1">
      <c r="A3" s="418"/>
      <c r="B3" s="490"/>
      <c r="C3" s="478"/>
      <c r="D3" s="478"/>
      <c r="E3" s="478"/>
      <c r="F3" s="478"/>
      <c r="G3" s="491"/>
      <c r="H3" s="478"/>
      <c r="I3" s="478"/>
      <c r="J3" s="478"/>
      <c r="K3" s="478"/>
      <c r="L3" s="478"/>
      <c r="M3" s="492"/>
      <c r="N3" s="478"/>
      <c r="O3" s="478"/>
      <c r="P3" s="478"/>
      <c r="Q3" s="491"/>
      <c r="R3" s="478"/>
      <c r="S3" s="478"/>
      <c r="T3" s="478"/>
      <c r="U3" s="478"/>
      <c r="V3" s="491"/>
      <c r="W3" s="478"/>
      <c r="X3" s="478"/>
      <c r="Y3" s="478"/>
      <c r="Z3" s="478"/>
      <c r="AA3" s="491"/>
      <c r="AB3" s="478"/>
      <c r="AC3" s="478"/>
      <c r="AD3" s="478"/>
      <c r="AE3" s="478"/>
      <c r="AF3" s="491"/>
      <c r="AG3" s="900" t="s">
        <v>10</v>
      </c>
      <c r="AH3" s="901"/>
      <c r="AI3" s="901"/>
      <c r="AJ3" s="901"/>
      <c r="AK3" s="902"/>
      <c r="AL3"/>
      <c r="AM3" s="900" t="s">
        <v>11</v>
      </c>
      <c r="AN3" s="901"/>
      <c r="AO3" s="901"/>
      <c r="AP3" s="901"/>
      <c r="AQ3" s="902"/>
      <c r="AR3" s="900" t="s">
        <v>12</v>
      </c>
      <c r="AS3" s="901"/>
      <c r="AT3" s="901"/>
      <c r="AU3" s="901"/>
      <c r="AV3" s="902"/>
      <c r="AW3" s="900" t="s">
        <v>13</v>
      </c>
      <c r="AX3" s="901"/>
      <c r="AY3" s="901"/>
      <c r="AZ3" s="901"/>
      <c r="BA3" s="902"/>
      <c r="BB3" s="900" t="s">
        <v>14</v>
      </c>
      <c r="BC3" s="901"/>
      <c r="BD3" s="901"/>
      <c r="BE3" s="901"/>
      <c r="BF3" s="902"/>
      <c r="BG3" s="900" t="s">
        <v>15</v>
      </c>
      <c r="BH3" s="901"/>
      <c r="BI3" s="901"/>
      <c r="BJ3" s="901"/>
      <c r="BK3" s="902"/>
      <c r="BL3" s="900" t="s">
        <v>16</v>
      </c>
      <c r="BM3" s="901"/>
      <c r="BN3" s="901"/>
      <c r="BO3" s="901"/>
      <c r="BP3" s="901"/>
      <c r="BQ3" s="904" t="s">
        <v>17</v>
      </c>
      <c r="BR3" s="901"/>
      <c r="BS3" s="901"/>
      <c r="BT3" s="905"/>
    </row>
    <row r="4" spans="1:77" s="454" customFormat="1" ht="16.5" customHeight="1">
      <c r="A4" s="420" t="s">
        <v>18</v>
      </c>
      <c r="B4" s="494" t="s">
        <v>19</v>
      </c>
      <c r="C4" s="422" t="s">
        <v>20</v>
      </c>
      <c r="D4" s="422" t="s">
        <v>21</v>
      </c>
      <c r="E4" s="422" t="s">
        <v>22</v>
      </c>
      <c r="F4" s="422" t="s">
        <v>23</v>
      </c>
      <c r="G4" s="495">
        <v>2012</v>
      </c>
      <c r="H4" s="496" t="s">
        <v>20</v>
      </c>
      <c r="I4" s="422" t="s">
        <v>21</v>
      </c>
      <c r="J4" s="422" t="s">
        <v>22</v>
      </c>
      <c r="K4" s="422" t="s">
        <v>23</v>
      </c>
      <c r="L4" s="495">
        <v>2013</v>
      </c>
      <c r="M4" s="496" t="s">
        <v>20</v>
      </c>
      <c r="N4" s="422" t="s">
        <v>21</v>
      </c>
      <c r="O4" s="422" t="s">
        <v>22</v>
      </c>
      <c r="P4" s="422" t="s">
        <v>23</v>
      </c>
      <c r="Q4" s="497">
        <v>2014</v>
      </c>
      <c r="R4" s="422" t="s">
        <v>20</v>
      </c>
      <c r="S4" s="422" t="s">
        <v>21</v>
      </c>
      <c r="T4" s="422" t="s">
        <v>22</v>
      </c>
      <c r="U4" s="422" t="s">
        <v>23</v>
      </c>
      <c r="V4" s="497">
        <v>2015</v>
      </c>
      <c r="W4" s="422" t="s">
        <v>24</v>
      </c>
      <c r="X4" s="422" t="s">
        <v>21</v>
      </c>
      <c r="Y4" s="423" t="s">
        <v>22</v>
      </c>
      <c r="Z4" s="422" t="s">
        <v>23</v>
      </c>
      <c r="AA4" s="497" t="s">
        <v>25</v>
      </c>
      <c r="AB4" s="422" t="s">
        <v>20</v>
      </c>
      <c r="AC4" s="422" t="s">
        <v>21</v>
      </c>
      <c r="AD4" s="423" t="s">
        <v>22</v>
      </c>
      <c r="AE4" s="422" t="s">
        <v>23</v>
      </c>
      <c r="AF4" s="497">
        <v>2017</v>
      </c>
      <c r="AG4" s="422" t="s">
        <v>20</v>
      </c>
      <c r="AH4" s="422" t="s">
        <v>21</v>
      </c>
      <c r="AI4" s="423" t="s">
        <v>22</v>
      </c>
      <c r="AJ4" s="422" t="s">
        <v>23</v>
      </c>
      <c r="AK4" s="497">
        <v>2018</v>
      </c>
      <c r="AL4" s="5"/>
      <c r="AM4" s="496" t="s">
        <v>20</v>
      </c>
      <c r="AN4" s="422" t="s">
        <v>21</v>
      </c>
      <c r="AO4" s="423" t="s">
        <v>22</v>
      </c>
      <c r="AP4" s="422" t="s">
        <v>23</v>
      </c>
      <c r="AQ4" s="497">
        <v>2018</v>
      </c>
      <c r="AR4" s="496" t="s">
        <v>20</v>
      </c>
      <c r="AS4" s="422" t="s">
        <v>21</v>
      </c>
      <c r="AT4" s="423" t="s">
        <v>22</v>
      </c>
      <c r="AU4" s="422" t="s">
        <v>23</v>
      </c>
      <c r="AV4" s="497" t="s">
        <v>26</v>
      </c>
      <c r="AW4" s="496" t="s">
        <v>20</v>
      </c>
      <c r="AX4" s="422" t="s">
        <v>21</v>
      </c>
      <c r="AY4" s="423" t="s">
        <v>22</v>
      </c>
      <c r="AZ4" s="422" t="s">
        <v>23</v>
      </c>
      <c r="BA4" s="497" t="s">
        <v>26</v>
      </c>
      <c r="BB4" s="496" t="s">
        <v>20</v>
      </c>
      <c r="BC4" s="422" t="s">
        <v>21</v>
      </c>
      <c r="BD4" s="423" t="s">
        <v>22</v>
      </c>
      <c r="BE4" s="422" t="s">
        <v>23</v>
      </c>
      <c r="BF4" s="708" t="s">
        <v>27</v>
      </c>
      <c r="BG4" s="496" t="s">
        <v>20</v>
      </c>
      <c r="BH4" s="422" t="s">
        <v>21</v>
      </c>
      <c r="BI4" s="423" t="s">
        <v>22</v>
      </c>
      <c r="BJ4" s="422" t="s">
        <v>23</v>
      </c>
      <c r="BK4" s="497" t="s">
        <v>28</v>
      </c>
      <c r="BL4" s="496" t="s">
        <v>20</v>
      </c>
      <c r="BM4" s="422" t="s">
        <v>21</v>
      </c>
      <c r="BN4" s="423" t="s">
        <v>22</v>
      </c>
      <c r="BO4" s="422" t="s">
        <v>23</v>
      </c>
      <c r="BP4" s="495" t="s">
        <v>29</v>
      </c>
      <c r="BQ4" s="854" t="s">
        <v>20</v>
      </c>
      <c r="BR4" s="422" t="s">
        <v>21</v>
      </c>
      <c r="BS4" s="423" t="s">
        <v>22</v>
      </c>
      <c r="BT4" s="855" t="s">
        <v>23</v>
      </c>
    </row>
    <row r="5" spans="1:77" s="412" customFormat="1" ht="34.5" customHeight="1">
      <c r="A5" s="730" t="s">
        <v>30</v>
      </c>
      <c r="B5" s="731" t="s">
        <v>31</v>
      </c>
      <c r="C5" s="732">
        <f t="shared" ref="C5:AK5" si="0">SUM(C6:C9)</f>
        <v>669.2</v>
      </c>
      <c r="D5" s="732">
        <f t="shared" si="0"/>
        <v>713.8</v>
      </c>
      <c r="E5" s="732">
        <f t="shared" si="0"/>
        <v>644.5</v>
      </c>
      <c r="F5" s="732">
        <f t="shared" si="0"/>
        <v>750.60000000000014</v>
      </c>
      <c r="G5" s="733">
        <f t="shared" si="0"/>
        <v>2778.0999999999995</v>
      </c>
      <c r="H5" s="734">
        <f t="shared" si="0"/>
        <v>697.1</v>
      </c>
      <c r="I5" s="732">
        <f t="shared" si="0"/>
        <v>735.9</v>
      </c>
      <c r="J5" s="732">
        <f t="shared" si="0"/>
        <v>677.3</v>
      </c>
      <c r="K5" s="732">
        <f t="shared" si="0"/>
        <v>800.5</v>
      </c>
      <c r="L5" s="733">
        <f t="shared" si="0"/>
        <v>2910.8</v>
      </c>
      <c r="M5" s="734">
        <f t="shared" si="0"/>
        <v>723.29999999999984</v>
      </c>
      <c r="N5" s="732">
        <f t="shared" si="0"/>
        <v>1745.9</v>
      </c>
      <c r="O5" s="732">
        <f t="shared" si="0"/>
        <v>2419.6</v>
      </c>
      <c r="P5" s="732">
        <f t="shared" si="0"/>
        <v>2521.1000000000004</v>
      </c>
      <c r="Q5" s="733">
        <f t="shared" si="0"/>
        <v>7409.9</v>
      </c>
      <c r="R5" s="732">
        <f t="shared" si="0"/>
        <v>2329</v>
      </c>
      <c r="S5" s="732">
        <f t="shared" si="0"/>
        <v>2469.1999999999998</v>
      </c>
      <c r="T5" s="732">
        <f t="shared" si="0"/>
        <v>2414.8999999999996</v>
      </c>
      <c r="U5" s="732">
        <f t="shared" si="0"/>
        <v>2609.9</v>
      </c>
      <c r="V5" s="733">
        <f t="shared" si="0"/>
        <v>9823</v>
      </c>
      <c r="W5" s="732">
        <f t="shared" si="0"/>
        <v>2364</v>
      </c>
      <c r="X5" s="732">
        <f t="shared" si="0"/>
        <v>2442.9</v>
      </c>
      <c r="Y5" s="735">
        <f t="shared" si="0"/>
        <v>2387.8000000000002</v>
      </c>
      <c r="Z5" s="735">
        <f t="shared" si="0"/>
        <v>2535.1</v>
      </c>
      <c r="AA5" s="733">
        <f t="shared" si="0"/>
        <v>9729.7999999999993</v>
      </c>
      <c r="AB5" s="732">
        <f t="shared" si="0"/>
        <v>2388.6</v>
      </c>
      <c r="AC5" s="732">
        <f t="shared" si="0"/>
        <v>2469.9</v>
      </c>
      <c r="AD5" s="732">
        <f t="shared" si="0"/>
        <v>2390.9</v>
      </c>
      <c r="AE5" s="732">
        <f t="shared" si="0"/>
        <v>2579.1999999999998</v>
      </c>
      <c r="AF5" s="733">
        <f t="shared" si="0"/>
        <v>9828.6</v>
      </c>
      <c r="AG5" s="732">
        <f t="shared" si="0"/>
        <v>2360.6999999999998</v>
      </c>
      <c r="AH5" s="732">
        <f t="shared" si="0"/>
        <v>2476.9</v>
      </c>
      <c r="AI5" s="732">
        <f t="shared" si="0"/>
        <v>2435.4</v>
      </c>
      <c r="AJ5" s="736">
        <f t="shared" si="0"/>
        <v>2682</v>
      </c>
      <c r="AK5" s="733">
        <f t="shared" si="0"/>
        <v>9955</v>
      </c>
      <c r="AL5" s="737"/>
      <c r="AM5" s="734">
        <f t="shared" ref="AM5:BP5" si="1">SUM(AM6:AM9)</f>
        <v>2345.9</v>
      </c>
      <c r="AN5" s="732">
        <f t="shared" si="1"/>
        <v>2603.1999999999998</v>
      </c>
      <c r="AO5" s="732">
        <f t="shared" si="1"/>
        <v>2735</v>
      </c>
      <c r="AP5" s="736">
        <f t="shared" si="1"/>
        <v>3002</v>
      </c>
      <c r="AQ5" s="733">
        <f t="shared" si="1"/>
        <v>10686.100000000002</v>
      </c>
      <c r="AR5" s="734">
        <f t="shared" si="1"/>
        <v>2782.4</v>
      </c>
      <c r="AS5" s="732">
        <f t="shared" si="1"/>
        <v>2913</v>
      </c>
      <c r="AT5" s="732">
        <f t="shared" si="1"/>
        <v>2882.3</v>
      </c>
      <c r="AU5" s="732">
        <f t="shared" si="1"/>
        <v>3059.0000000000005</v>
      </c>
      <c r="AV5" s="733">
        <f t="shared" si="1"/>
        <v>11636.7</v>
      </c>
      <c r="AW5" s="734">
        <f t="shared" si="1"/>
        <v>2791.6</v>
      </c>
      <c r="AX5" s="732">
        <f t="shared" si="1"/>
        <v>2923</v>
      </c>
      <c r="AY5" s="732">
        <f t="shared" si="1"/>
        <v>2892.4</v>
      </c>
      <c r="AZ5" s="732">
        <f t="shared" si="1"/>
        <v>3069.1000000000004</v>
      </c>
      <c r="BA5" s="733">
        <f t="shared" si="1"/>
        <v>11676.1</v>
      </c>
      <c r="BB5" s="734">
        <f t="shared" si="1"/>
        <v>2848.4999999999995</v>
      </c>
      <c r="BC5" s="732">
        <f t="shared" si="1"/>
        <v>2862.7000000000003</v>
      </c>
      <c r="BD5" s="732">
        <f t="shared" si="1"/>
        <v>3003.5</v>
      </c>
      <c r="BE5" s="732">
        <f t="shared" si="1"/>
        <v>3248.2000000000003</v>
      </c>
      <c r="BF5" s="738">
        <f t="shared" si="1"/>
        <v>11962.9</v>
      </c>
      <c r="BG5" s="734">
        <f t="shared" si="1"/>
        <v>2987.4</v>
      </c>
      <c r="BH5" s="732">
        <f t="shared" si="1"/>
        <v>3159.7000000000003</v>
      </c>
      <c r="BI5" s="732">
        <f t="shared" si="1"/>
        <v>3031.9</v>
      </c>
      <c r="BJ5" s="732">
        <f t="shared" si="1"/>
        <v>3265</v>
      </c>
      <c r="BK5" s="738">
        <f t="shared" si="1"/>
        <v>12443.999999999998</v>
      </c>
      <c r="BL5" s="734">
        <f t="shared" si="1"/>
        <v>2986.7000000000003</v>
      </c>
      <c r="BM5" s="732">
        <f t="shared" si="1"/>
        <v>3228.1</v>
      </c>
      <c r="BN5" s="732">
        <f>SUM(BN6:BN9)</f>
        <v>3270.9000000000005</v>
      </c>
      <c r="BO5" s="732">
        <f t="shared" si="1"/>
        <v>3429.5999999999995</v>
      </c>
      <c r="BP5" s="844">
        <f t="shared" si="1"/>
        <v>12915.3</v>
      </c>
      <c r="BQ5" s="856">
        <f t="shared" ref="BQ5:BR5" si="2">SUM(BQ6:BQ9)</f>
        <v>3199.3</v>
      </c>
      <c r="BR5" s="732">
        <f t="shared" si="2"/>
        <v>0</v>
      </c>
      <c r="BS5" s="732">
        <f>SUM(BS6:BS9)</f>
        <v>0</v>
      </c>
      <c r="BT5" s="857">
        <f t="shared" ref="BT5" si="3">SUM(BT6:BT9)</f>
        <v>0</v>
      </c>
      <c r="BU5" s="884"/>
      <c r="BV5" s="885"/>
      <c r="BX5" s="884"/>
      <c r="BY5" s="884"/>
    </row>
    <row r="6" spans="1:77" ht="30" customHeight="1">
      <c r="A6" s="49" t="s">
        <v>32</v>
      </c>
      <c r="B6" s="112" t="s">
        <v>33</v>
      </c>
      <c r="C6" s="50">
        <v>424</v>
      </c>
      <c r="D6" s="50">
        <v>427.1</v>
      </c>
      <c r="E6" s="50">
        <v>434.4</v>
      </c>
      <c r="F6" s="50">
        <v>446.6</v>
      </c>
      <c r="G6" s="201">
        <f>SUM(C6:F6)</f>
        <v>1732.1</v>
      </c>
      <c r="H6" s="51">
        <v>451.7</v>
      </c>
      <c r="I6" s="50">
        <v>452</v>
      </c>
      <c r="J6" s="50">
        <v>460.3</v>
      </c>
      <c r="K6" s="50">
        <v>466.1</v>
      </c>
      <c r="L6" s="201">
        <f>SUM(H6:K6)</f>
        <v>1830.1</v>
      </c>
      <c r="M6" s="51">
        <v>467.79999999999995</v>
      </c>
      <c r="N6" s="50">
        <v>1204.5</v>
      </c>
      <c r="O6" s="50">
        <v>1710.7</v>
      </c>
      <c r="P6" s="50">
        <v>1701.7</v>
      </c>
      <c r="Q6" s="201">
        <f>SUM(M6:P6)</f>
        <v>5084.7</v>
      </c>
      <c r="R6" s="50">
        <v>1637.2</v>
      </c>
      <c r="S6" s="50">
        <v>1652</v>
      </c>
      <c r="T6" s="50">
        <v>1643.3</v>
      </c>
      <c r="U6" s="725">
        <v>1620.6</v>
      </c>
      <c r="V6" s="201">
        <v>6553.1</v>
      </c>
      <c r="W6" s="726">
        <v>1565.7</v>
      </c>
      <c r="X6" s="726">
        <v>1586.9</v>
      </c>
      <c r="Y6" s="727">
        <v>1583.7</v>
      </c>
      <c r="Z6" s="725">
        <v>1589</v>
      </c>
      <c r="AA6" s="201">
        <f>SUM(W6:Z6)</f>
        <v>6325.3</v>
      </c>
      <c r="AB6" s="726">
        <v>1542.7</v>
      </c>
      <c r="AC6" s="726">
        <v>1533.3</v>
      </c>
      <c r="AD6" s="727">
        <v>1494</v>
      </c>
      <c r="AE6" s="727">
        <v>1497.9</v>
      </c>
      <c r="AF6" s="201">
        <f>SUM(AB6:AE6)</f>
        <v>6067.9</v>
      </c>
      <c r="AG6" s="726">
        <v>1470.2</v>
      </c>
      <c r="AH6" s="50">
        <v>1483.8</v>
      </c>
      <c r="AI6" s="50">
        <v>1481.7</v>
      </c>
      <c r="AJ6" s="727">
        <v>1484.8</v>
      </c>
      <c r="AK6" s="201">
        <f>SUM(AG6:AJ6)</f>
        <v>5920.5</v>
      </c>
      <c r="AL6" s="728"/>
      <c r="AM6" s="101">
        <v>1352.2</v>
      </c>
      <c r="AN6" s="50">
        <v>1482.1</v>
      </c>
      <c r="AO6" s="50">
        <v>1630.5</v>
      </c>
      <c r="AP6" s="727">
        <v>1627.8000000000002</v>
      </c>
      <c r="AQ6" s="201">
        <f>SUM(AM6:AP6)</f>
        <v>6092.6</v>
      </c>
      <c r="AR6" s="727">
        <v>1606</v>
      </c>
      <c r="AS6" s="50">
        <v>1616.1</v>
      </c>
      <c r="AT6" s="50">
        <v>1618.3</v>
      </c>
      <c r="AU6" s="727">
        <v>1618.4</v>
      </c>
      <c r="AV6" s="201">
        <f>SUM(AR6:AU6)</f>
        <v>6458.7999999999993</v>
      </c>
      <c r="AW6" s="103">
        <v>1606</v>
      </c>
      <c r="AX6" s="50">
        <v>1616.1</v>
      </c>
      <c r="AY6" s="50">
        <v>1618.3</v>
      </c>
      <c r="AZ6" s="727">
        <v>1618.4</v>
      </c>
      <c r="BA6" s="201">
        <f>SUM(AW6:AZ6)</f>
        <v>6458.7999999999993</v>
      </c>
      <c r="BB6" s="103">
        <v>1604.5</v>
      </c>
      <c r="BC6" s="50">
        <v>1592</v>
      </c>
      <c r="BD6" s="50">
        <v>1623.8</v>
      </c>
      <c r="BE6" s="727">
        <v>1660.1</v>
      </c>
      <c r="BF6" s="709">
        <f>SUM(BB6:BE6)</f>
        <v>6480.4</v>
      </c>
      <c r="BG6" s="103">
        <v>1664.1</v>
      </c>
      <c r="BH6" s="50">
        <v>1664.8</v>
      </c>
      <c r="BI6" s="50">
        <v>1707.4</v>
      </c>
      <c r="BJ6" s="727">
        <v>1730.7</v>
      </c>
      <c r="BK6" s="697">
        <f>SUM(BG6:BJ6)</f>
        <v>6766.9999999999991</v>
      </c>
      <c r="BL6" s="103">
        <v>1722.2</v>
      </c>
      <c r="BM6" s="50">
        <v>1725.8</v>
      </c>
      <c r="BN6" s="50">
        <v>1753.3000000000002</v>
      </c>
      <c r="BO6" s="727">
        <f>6952.1-BN6-BM6-BL6</f>
        <v>1750.8</v>
      </c>
      <c r="BP6" s="845">
        <f>SUM(BL6:BO6)</f>
        <v>6952.1</v>
      </c>
      <c r="BQ6" s="858">
        <v>1733.8</v>
      </c>
      <c r="BR6" s="50"/>
      <c r="BS6" s="50"/>
      <c r="BT6" s="859"/>
      <c r="BU6" s="884"/>
      <c r="BV6" s="885"/>
      <c r="BX6" s="884"/>
      <c r="BY6" s="884"/>
    </row>
    <row r="7" spans="1:77" ht="20.149999999999999" customHeight="1">
      <c r="A7" s="49" t="s">
        <v>34</v>
      </c>
      <c r="B7" s="112" t="s">
        <v>35</v>
      </c>
      <c r="C7" s="50">
        <v>234.6</v>
      </c>
      <c r="D7" s="50">
        <v>272.7</v>
      </c>
      <c r="E7" s="50">
        <v>198</v>
      </c>
      <c r="F7" s="50">
        <v>286.3</v>
      </c>
      <c r="G7" s="201">
        <f t="shared" ref="G7:G9" si="4">SUM(C7:F7)</f>
        <v>991.59999999999991</v>
      </c>
      <c r="H7" s="51">
        <v>223.8</v>
      </c>
      <c r="I7" s="50">
        <v>265.2</v>
      </c>
      <c r="J7" s="50">
        <v>204</v>
      </c>
      <c r="K7" s="50">
        <v>317.2</v>
      </c>
      <c r="L7" s="201">
        <f t="shared" ref="L7:L9" si="5">SUM(H7:K7)</f>
        <v>1010.2</v>
      </c>
      <c r="M7" s="51">
        <v>242.19999999999993</v>
      </c>
      <c r="N7" s="50">
        <v>479.1</v>
      </c>
      <c r="O7" s="50">
        <v>591.6</v>
      </c>
      <c r="P7" s="50">
        <v>641.1</v>
      </c>
      <c r="Q7" s="201">
        <f t="shared" ref="Q7:Q9" si="6">SUM(M7:P7)</f>
        <v>1954</v>
      </c>
      <c r="R7" s="50">
        <v>553.29999999999995</v>
      </c>
      <c r="S7" s="50">
        <v>688.7</v>
      </c>
      <c r="T7" s="50">
        <v>616.9</v>
      </c>
      <c r="U7" s="52">
        <v>738</v>
      </c>
      <c r="V7" s="201">
        <v>2596.9</v>
      </c>
      <c r="W7" s="726">
        <v>599.79999999999995</v>
      </c>
      <c r="X7" s="726">
        <v>645</v>
      </c>
      <c r="Y7" s="727">
        <v>562.9</v>
      </c>
      <c r="Z7" s="52">
        <v>658.4</v>
      </c>
      <c r="AA7" s="201">
        <f t="shared" ref="AA7:AA30" si="7">SUM(W7:Z7)</f>
        <v>2466.1</v>
      </c>
      <c r="AB7" s="726">
        <v>562.1</v>
      </c>
      <c r="AC7" s="726">
        <v>652.29999999999995</v>
      </c>
      <c r="AD7" s="727">
        <v>588.4</v>
      </c>
      <c r="AE7" s="727">
        <v>735.8</v>
      </c>
      <c r="AF7" s="201">
        <f t="shared" ref="AF7:AF30" si="8">SUM(AB7:AE7)</f>
        <v>2538.6000000000004</v>
      </c>
      <c r="AG7" s="726">
        <v>635.9</v>
      </c>
      <c r="AH7" s="50">
        <v>708.5</v>
      </c>
      <c r="AI7" s="50">
        <v>677.7</v>
      </c>
      <c r="AJ7" s="727">
        <v>860.1</v>
      </c>
      <c r="AK7" s="201">
        <f t="shared" ref="AK7:AK9" si="9">SUM(AG7:AJ7)</f>
        <v>2882.2000000000003</v>
      </c>
      <c r="AL7" s="499"/>
      <c r="AM7" s="101">
        <v>635.9</v>
      </c>
      <c r="AN7" s="50">
        <v>738.5</v>
      </c>
      <c r="AO7" s="50">
        <v>741.6</v>
      </c>
      <c r="AP7" s="727">
        <v>927.80000000000018</v>
      </c>
      <c r="AQ7" s="201">
        <f t="shared" ref="AQ7:AQ9" si="10">SUM(AM7:AP7)</f>
        <v>3043.8</v>
      </c>
      <c r="AR7" s="727">
        <v>772.7</v>
      </c>
      <c r="AS7" s="50">
        <v>861.6</v>
      </c>
      <c r="AT7" s="50">
        <v>790.5</v>
      </c>
      <c r="AU7" s="727">
        <v>925.4</v>
      </c>
      <c r="AV7" s="201">
        <f t="shared" ref="AV7:AV9" si="11">SUM(AR7:AU7)</f>
        <v>3350.2000000000003</v>
      </c>
      <c r="AW7" s="103">
        <v>772.7</v>
      </c>
      <c r="AX7" s="50">
        <v>861.6</v>
      </c>
      <c r="AY7" s="50">
        <v>790.5</v>
      </c>
      <c r="AZ7" s="727">
        <v>925.4</v>
      </c>
      <c r="BA7" s="201">
        <f t="shared" ref="BA7:BA9" si="12">SUM(AW7:AZ7)</f>
        <v>3350.2000000000003</v>
      </c>
      <c r="BB7" s="103">
        <v>823.7</v>
      </c>
      <c r="BC7" s="50">
        <v>802.5</v>
      </c>
      <c r="BD7" s="50">
        <v>856.6</v>
      </c>
      <c r="BE7" s="727">
        <v>1043.9000000000001</v>
      </c>
      <c r="BF7" s="709">
        <f t="shared" ref="BF7:BF9" si="13">SUM(BB7:BE7)</f>
        <v>3526.7000000000003</v>
      </c>
      <c r="BG7" s="103">
        <v>880.7</v>
      </c>
      <c r="BH7" s="50">
        <v>964.2</v>
      </c>
      <c r="BI7" s="50">
        <v>827.1</v>
      </c>
      <c r="BJ7" s="727">
        <v>1006.8</v>
      </c>
      <c r="BK7" s="697">
        <f t="shared" ref="BK7:BK9" si="14">SUM(BG7:BJ7)</f>
        <v>3678.8</v>
      </c>
      <c r="BL7" s="103">
        <v>813.1</v>
      </c>
      <c r="BM7" s="50">
        <v>879.8</v>
      </c>
      <c r="BN7" s="50">
        <v>840.90000000000009</v>
      </c>
      <c r="BO7" s="727">
        <f>3531.7-BN7-BM7-BL7</f>
        <v>997.89999999999975</v>
      </c>
      <c r="BP7" s="845">
        <f t="shared" ref="BP7:BP9" si="15">SUM(BL7:BO7)</f>
        <v>3531.7</v>
      </c>
      <c r="BQ7" s="858">
        <v>792.3</v>
      </c>
      <c r="BR7" s="50"/>
      <c r="BS7" s="50"/>
      <c r="BT7" s="859"/>
      <c r="BU7" s="884"/>
      <c r="BV7" s="885"/>
      <c r="BX7" s="884"/>
      <c r="BY7" s="884"/>
    </row>
    <row r="8" spans="1:77" ht="20.149999999999999" customHeight="1">
      <c r="A8" s="49" t="s">
        <v>36</v>
      </c>
      <c r="B8" s="112" t="s">
        <v>37</v>
      </c>
      <c r="C8" s="50">
        <v>2.7</v>
      </c>
      <c r="D8" s="50">
        <v>6.2</v>
      </c>
      <c r="E8" s="50">
        <v>2.6</v>
      </c>
      <c r="F8" s="50">
        <v>7.2</v>
      </c>
      <c r="G8" s="201">
        <f t="shared" si="4"/>
        <v>18.7</v>
      </c>
      <c r="H8" s="51">
        <v>13.1</v>
      </c>
      <c r="I8" s="50">
        <v>11.8</v>
      </c>
      <c r="J8" s="50">
        <v>7.1</v>
      </c>
      <c r="K8" s="50">
        <v>9.6999999999999993</v>
      </c>
      <c r="L8" s="201">
        <f t="shared" si="5"/>
        <v>41.7</v>
      </c>
      <c r="M8" s="51">
        <v>7.8999999999999986</v>
      </c>
      <c r="N8" s="50">
        <v>55.4</v>
      </c>
      <c r="O8" s="50">
        <v>104.1</v>
      </c>
      <c r="P8" s="50">
        <v>159.9</v>
      </c>
      <c r="Q8" s="201">
        <f t="shared" si="6"/>
        <v>327.29999999999995</v>
      </c>
      <c r="R8" s="50">
        <v>118.4</v>
      </c>
      <c r="S8" s="50">
        <v>106.9</v>
      </c>
      <c r="T8" s="50">
        <v>131.19999999999999</v>
      </c>
      <c r="U8" s="52">
        <v>226.89999999999998</v>
      </c>
      <c r="V8" s="201">
        <v>583.4</v>
      </c>
      <c r="W8" s="726">
        <v>172.8</v>
      </c>
      <c r="X8" s="726">
        <v>191.1</v>
      </c>
      <c r="Y8" s="727">
        <v>221.3</v>
      </c>
      <c r="Z8" s="52">
        <v>265.60000000000002</v>
      </c>
      <c r="AA8" s="201">
        <f t="shared" si="7"/>
        <v>850.80000000000007</v>
      </c>
      <c r="AB8" s="726">
        <v>248.6</v>
      </c>
      <c r="AC8" s="726">
        <v>243.3</v>
      </c>
      <c r="AD8" s="727">
        <v>264.5</v>
      </c>
      <c r="AE8" s="727">
        <v>298.8</v>
      </c>
      <c r="AF8" s="201">
        <f t="shared" si="8"/>
        <v>1055.2</v>
      </c>
      <c r="AG8" s="726">
        <v>208.6</v>
      </c>
      <c r="AH8" s="50">
        <v>239</v>
      </c>
      <c r="AI8" s="50">
        <v>237.6</v>
      </c>
      <c r="AJ8" s="727">
        <v>286.2</v>
      </c>
      <c r="AK8" s="201">
        <f t="shared" si="9"/>
        <v>971.40000000000009</v>
      </c>
      <c r="AL8" s="499"/>
      <c r="AM8" s="101">
        <v>317.5</v>
      </c>
      <c r="AN8" s="50">
        <v>341.7</v>
      </c>
      <c r="AO8" s="50">
        <v>328.6</v>
      </c>
      <c r="AP8" s="727">
        <v>398.20000000000005</v>
      </c>
      <c r="AQ8" s="201">
        <f t="shared" si="10"/>
        <v>1386</v>
      </c>
      <c r="AR8" s="727">
        <v>347.4</v>
      </c>
      <c r="AS8" s="50">
        <v>379.3</v>
      </c>
      <c r="AT8" s="50">
        <v>412.9</v>
      </c>
      <c r="AU8" s="727">
        <v>445.4</v>
      </c>
      <c r="AV8" s="201">
        <f t="shared" si="11"/>
        <v>1585</v>
      </c>
      <c r="AW8" s="103">
        <v>347.4</v>
      </c>
      <c r="AX8" s="50">
        <v>379.3</v>
      </c>
      <c r="AY8" s="50">
        <v>412.9</v>
      </c>
      <c r="AZ8" s="727">
        <v>445.4</v>
      </c>
      <c r="BA8" s="201">
        <f t="shared" si="12"/>
        <v>1585</v>
      </c>
      <c r="BB8" s="103">
        <v>345.7</v>
      </c>
      <c r="BC8" s="50">
        <v>392.9</v>
      </c>
      <c r="BD8" s="50">
        <v>433.7</v>
      </c>
      <c r="BE8" s="727">
        <v>424.4</v>
      </c>
      <c r="BF8" s="709">
        <f t="shared" si="13"/>
        <v>1596.6999999999998</v>
      </c>
      <c r="BG8" s="103">
        <v>332.7</v>
      </c>
      <c r="BH8" s="50">
        <v>350.4</v>
      </c>
      <c r="BI8" s="50">
        <v>359.1</v>
      </c>
      <c r="BJ8" s="727">
        <v>408.1</v>
      </c>
      <c r="BK8" s="697">
        <f t="shared" si="14"/>
        <v>1450.2999999999997</v>
      </c>
      <c r="BL8" s="103">
        <v>336.5</v>
      </c>
      <c r="BM8" s="50">
        <v>450.5</v>
      </c>
      <c r="BN8" s="50">
        <v>472.70000000000005</v>
      </c>
      <c r="BO8" s="727">
        <f>1805.1-BN8-BM8-BL8</f>
        <v>545.39999999999986</v>
      </c>
      <c r="BP8" s="845">
        <f t="shared" si="15"/>
        <v>1805.1</v>
      </c>
      <c r="BQ8" s="858">
        <v>484.9</v>
      </c>
      <c r="BR8" s="50"/>
      <c r="BS8" s="50"/>
      <c r="BT8" s="859"/>
      <c r="BU8" s="884"/>
      <c r="BV8" s="885"/>
      <c r="BX8" s="884"/>
      <c r="BY8" s="884"/>
    </row>
    <row r="9" spans="1:77" ht="20.149999999999999" customHeight="1">
      <c r="A9" s="49" t="s">
        <v>38</v>
      </c>
      <c r="B9" s="112" t="s">
        <v>39</v>
      </c>
      <c r="C9" s="50">
        <v>7.9</v>
      </c>
      <c r="D9" s="50">
        <v>7.8</v>
      </c>
      <c r="E9" s="50">
        <v>9.5</v>
      </c>
      <c r="F9" s="50">
        <v>10.5</v>
      </c>
      <c r="G9" s="201">
        <f t="shared" si="4"/>
        <v>35.700000000000003</v>
      </c>
      <c r="H9" s="51">
        <v>8.5</v>
      </c>
      <c r="I9" s="50">
        <v>6.9</v>
      </c>
      <c r="J9" s="50">
        <v>5.9</v>
      </c>
      <c r="K9" s="50">
        <v>7.5</v>
      </c>
      <c r="L9" s="201">
        <f t="shared" si="5"/>
        <v>28.8</v>
      </c>
      <c r="M9" s="51">
        <v>5.4</v>
      </c>
      <c r="N9" s="50">
        <v>6.9</v>
      </c>
      <c r="O9" s="50">
        <v>13.2</v>
      </c>
      <c r="P9" s="50">
        <v>18.399999999999999</v>
      </c>
      <c r="Q9" s="201">
        <f t="shared" si="6"/>
        <v>43.9</v>
      </c>
      <c r="R9" s="50">
        <v>20.100000000000001</v>
      </c>
      <c r="S9" s="50">
        <v>21.6</v>
      </c>
      <c r="T9" s="50">
        <v>23.5</v>
      </c>
      <c r="U9" s="52">
        <v>24.399999999999991</v>
      </c>
      <c r="V9" s="201">
        <v>89.6</v>
      </c>
      <c r="W9" s="726">
        <v>25.7</v>
      </c>
      <c r="X9" s="726">
        <v>19.899999999999999</v>
      </c>
      <c r="Y9" s="727">
        <v>19.899999999999999</v>
      </c>
      <c r="Z9" s="52">
        <v>22.1</v>
      </c>
      <c r="AA9" s="201">
        <f t="shared" si="7"/>
        <v>87.6</v>
      </c>
      <c r="AB9" s="726">
        <v>35.200000000000003</v>
      </c>
      <c r="AC9" s="726">
        <v>41</v>
      </c>
      <c r="AD9" s="727">
        <v>44</v>
      </c>
      <c r="AE9" s="727">
        <v>46.7</v>
      </c>
      <c r="AF9" s="201">
        <f t="shared" si="8"/>
        <v>166.9</v>
      </c>
      <c r="AG9" s="726">
        <v>46</v>
      </c>
      <c r="AH9" s="50">
        <f>45.6</f>
        <v>45.6</v>
      </c>
      <c r="AI9" s="50">
        <v>38.4</v>
      </c>
      <c r="AJ9" s="727">
        <v>50.9</v>
      </c>
      <c r="AK9" s="201">
        <f t="shared" si="9"/>
        <v>180.9</v>
      </c>
      <c r="AL9" s="499"/>
      <c r="AM9" s="101">
        <v>40.299999999999997</v>
      </c>
      <c r="AN9" s="50">
        <v>40.9</v>
      </c>
      <c r="AO9" s="50">
        <v>34.299999999999997</v>
      </c>
      <c r="AP9" s="727">
        <v>48.199999999999989</v>
      </c>
      <c r="AQ9" s="201">
        <f t="shared" si="10"/>
        <v>163.69999999999999</v>
      </c>
      <c r="AR9" s="727">
        <v>56.3</v>
      </c>
      <c r="AS9" s="50">
        <v>56</v>
      </c>
      <c r="AT9" s="50">
        <v>60.6</v>
      </c>
      <c r="AU9" s="727">
        <v>69.8</v>
      </c>
      <c r="AV9" s="201">
        <f t="shared" si="11"/>
        <v>242.7</v>
      </c>
      <c r="AW9" s="103">
        <v>65.5</v>
      </c>
      <c r="AX9" s="50">
        <v>66</v>
      </c>
      <c r="AY9" s="50">
        <v>70.7</v>
      </c>
      <c r="AZ9" s="727">
        <v>79.900000000000006</v>
      </c>
      <c r="BA9" s="201">
        <f t="shared" si="12"/>
        <v>282.10000000000002</v>
      </c>
      <c r="BB9" s="103">
        <v>74.599999999999994</v>
      </c>
      <c r="BC9" s="50">
        <v>75.3</v>
      </c>
      <c r="BD9" s="54">
        <v>89.4</v>
      </c>
      <c r="BE9" s="727">
        <v>119.8</v>
      </c>
      <c r="BF9" s="709">
        <f t="shared" si="13"/>
        <v>359.09999999999997</v>
      </c>
      <c r="BG9" s="103">
        <v>109.9</v>
      </c>
      <c r="BH9" s="50">
        <v>180.3</v>
      </c>
      <c r="BI9" s="54">
        <v>138.30000000000001</v>
      </c>
      <c r="BJ9" s="727">
        <v>119.4</v>
      </c>
      <c r="BK9" s="697">
        <f t="shared" si="14"/>
        <v>547.90000000000009</v>
      </c>
      <c r="BL9" s="103">
        <v>114.9</v>
      </c>
      <c r="BM9" s="50">
        <v>172</v>
      </c>
      <c r="BN9" s="54">
        <v>204</v>
      </c>
      <c r="BO9" s="727">
        <f>626.4-BN9-BM9-BL9</f>
        <v>135.49999999999997</v>
      </c>
      <c r="BP9" s="845">
        <f t="shared" si="15"/>
        <v>626.4</v>
      </c>
      <c r="BQ9" s="858">
        <v>188.3</v>
      </c>
      <c r="BR9" s="50"/>
      <c r="BS9" s="54"/>
      <c r="BT9" s="859"/>
      <c r="BU9" s="884"/>
      <c r="BV9" s="885"/>
      <c r="BX9" s="884"/>
      <c r="BY9" s="884"/>
    </row>
    <row r="10" spans="1:77" s="729" customFormat="1" ht="22.5" customHeight="1">
      <c r="A10" s="739" t="s">
        <v>40</v>
      </c>
      <c r="B10" s="740" t="s">
        <v>41</v>
      </c>
      <c r="C10" s="741">
        <f t="shared" ref="C10:AK10" si="16">SUM(C11:C18)</f>
        <v>-464.5</v>
      </c>
      <c r="D10" s="741">
        <f t="shared" si="16"/>
        <v>-499.7</v>
      </c>
      <c r="E10" s="741">
        <f t="shared" si="16"/>
        <v>-444.9</v>
      </c>
      <c r="F10" s="741">
        <f t="shared" si="16"/>
        <v>-562.4</v>
      </c>
      <c r="G10" s="742">
        <f t="shared" si="16"/>
        <v>-1971.5000000000002</v>
      </c>
      <c r="H10" s="743">
        <f t="shared" si="16"/>
        <v>-512.92000000000007</v>
      </c>
      <c r="I10" s="741">
        <f t="shared" si="16"/>
        <v>-542.4</v>
      </c>
      <c r="J10" s="741">
        <f t="shared" si="16"/>
        <v>-510.7</v>
      </c>
      <c r="K10" s="741">
        <f t="shared" si="16"/>
        <v>-591.70000000000005</v>
      </c>
      <c r="L10" s="742">
        <f t="shared" si="16"/>
        <v>-2157.7199999999998</v>
      </c>
      <c r="M10" s="743">
        <f t="shared" si="16"/>
        <v>-507.40000000000003</v>
      </c>
      <c r="N10" s="741">
        <f t="shared" si="16"/>
        <v>-1351.8000000000002</v>
      </c>
      <c r="O10" s="741">
        <f t="shared" si="16"/>
        <v>-1992.5000000000002</v>
      </c>
      <c r="P10" s="741">
        <f t="shared" si="16"/>
        <v>-2125.3999999999996</v>
      </c>
      <c r="Q10" s="742">
        <f t="shared" si="16"/>
        <v>-5977.1</v>
      </c>
      <c r="R10" s="741">
        <f t="shared" si="16"/>
        <v>-1909</v>
      </c>
      <c r="S10" s="741">
        <f t="shared" si="16"/>
        <v>-1899.4999999999998</v>
      </c>
      <c r="T10" s="741">
        <f t="shared" si="16"/>
        <v>-1900.1</v>
      </c>
      <c r="U10" s="741">
        <f t="shared" si="16"/>
        <v>-2159.2999999999997</v>
      </c>
      <c r="V10" s="742">
        <f t="shared" si="16"/>
        <v>-7867.9000000000005</v>
      </c>
      <c r="W10" s="741">
        <f t="shared" si="16"/>
        <v>-1948</v>
      </c>
      <c r="X10" s="741">
        <f t="shared" si="16"/>
        <v>-2042</v>
      </c>
      <c r="Y10" s="744">
        <f t="shared" si="16"/>
        <v>-1938.6999999999998</v>
      </c>
      <c r="Z10" s="744">
        <f t="shared" si="16"/>
        <v>-2140.6</v>
      </c>
      <c r="AA10" s="742">
        <f t="shared" si="16"/>
        <v>-8069.2999999999993</v>
      </c>
      <c r="AB10" s="741">
        <f t="shared" si="16"/>
        <v>-1938.1999999999996</v>
      </c>
      <c r="AC10" s="741">
        <f t="shared" si="16"/>
        <v>-1962.8000000000002</v>
      </c>
      <c r="AD10" s="741">
        <f t="shared" si="16"/>
        <v>-1975.7</v>
      </c>
      <c r="AE10" s="741">
        <f t="shared" si="16"/>
        <v>-2139.1999999999998</v>
      </c>
      <c r="AF10" s="742">
        <f t="shared" si="16"/>
        <v>-8015.9</v>
      </c>
      <c r="AG10" s="741">
        <f t="shared" si="16"/>
        <v>-1903.1000000000001</v>
      </c>
      <c r="AH10" s="741">
        <f t="shared" si="16"/>
        <v>-1986.5000000000002</v>
      </c>
      <c r="AI10" s="741">
        <f t="shared" si="16"/>
        <v>-2044</v>
      </c>
      <c r="AJ10" s="741">
        <f t="shared" si="16"/>
        <v>-2266</v>
      </c>
      <c r="AK10" s="742">
        <f t="shared" si="16"/>
        <v>-8199.6</v>
      </c>
      <c r="AL10" s="745"/>
      <c r="AM10" s="743">
        <f t="shared" ref="AM10:BP10" si="17">SUM(AM11:AM18)</f>
        <v>-1917.1000000000001</v>
      </c>
      <c r="AN10" s="741">
        <f t="shared" si="17"/>
        <v>-2127</v>
      </c>
      <c r="AO10" s="741">
        <f t="shared" si="17"/>
        <v>-2345.8000000000002</v>
      </c>
      <c r="AP10" s="741">
        <f t="shared" si="17"/>
        <v>-2588.9</v>
      </c>
      <c r="AQ10" s="742">
        <f t="shared" si="17"/>
        <v>-8978.7999999999993</v>
      </c>
      <c r="AR10" s="743">
        <f t="shared" si="17"/>
        <v>-2317.1</v>
      </c>
      <c r="AS10" s="741">
        <f t="shared" si="17"/>
        <v>-2404.4</v>
      </c>
      <c r="AT10" s="741">
        <f t="shared" si="17"/>
        <v>-2433.0000000000005</v>
      </c>
      <c r="AU10" s="741">
        <f t="shared" si="17"/>
        <v>-2592.9999999999995</v>
      </c>
      <c r="AV10" s="742">
        <f t="shared" si="17"/>
        <v>-9747.4999999999982</v>
      </c>
      <c r="AW10" s="743">
        <f t="shared" si="17"/>
        <v>-2317.0000000000005</v>
      </c>
      <c r="AX10" s="741">
        <f t="shared" si="17"/>
        <v>-2407.2000000000003</v>
      </c>
      <c r="AY10" s="741">
        <f t="shared" si="17"/>
        <v>-2436.8000000000002</v>
      </c>
      <c r="AZ10" s="741">
        <f t="shared" si="17"/>
        <v>-2593.8000000000002</v>
      </c>
      <c r="BA10" s="742">
        <f t="shared" si="17"/>
        <v>-9754.7999999999993</v>
      </c>
      <c r="BB10" s="743">
        <f t="shared" si="17"/>
        <v>-2392.1111734799997</v>
      </c>
      <c r="BC10" s="741">
        <f t="shared" si="17"/>
        <v>-2455.5999999999995</v>
      </c>
      <c r="BD10" s="741">
        <f t="shared" si="17"/>
        <v>-2494.8000000000002</v>
      </c>
      <c r="BE10" s="741">
        <f t="shared" si="17"/>
        <v>-2731.3</v>
      </c>
      <c r="BF10" s="746">
        <f t="shared" si="17"/>
        <v>-10073.81117348</v>
      </c>
      <c r="BG10" s="743">
        <f t="shared" si="17"/>
        <v>-2430.9</v>
      </c>
      <c r="BH10" s="741">
        <f t="shared" si="17"/>
        <v>-2468.1000000000004</v>
      </c>
      <c r="BI10" s="741">
        <f t="shared" si="17"/>
        <v>-2595.9</v>
      </c>
      <c r="BJ10" s="741">
        <f t="shared" si="17"/>
        <v>-2810.6000000000004</v>
      </c>
      <c r="BK10" s="746">
        <f t="shared" si="17"/>
        <v>-10305.5</v>
      </c>
      <c r="BL10" s="743">
        <f t="shared" si="17"/>
        <v>-2633.7000000000003</v>
      </c>
      <c r="BM10" s="741">
        <f t="shared" si="17"/>
        <v>-2815.4</v>
      </c>
      <c r="BN10" s="741">
        <f t="shared" si="17"/>
        <v>-2877.2999999999997</v>
      </c>
      <c r="BO10" s="741">
        <f t="shared" si="17"/>
        <v>-3073.4000000000005</v>
      </c>
      <c r="BP10" s="846">
        <f t="shared" si="17"/>
        <v>-11399.8</v>
      </c>
      <c r="BQ10" s="860">
        <f t="shared" ref="BQ10:BT10" si="18">SUM(BQ11:BQ18)</f>
        <v>-2891.8999999999996</v>
      </c>
      <c r="BR10" s="741">
        <f t="shared" si="18"/>
        <v>0</v>
      </c>
      <c r="BS10" s="741">
        <f t="shared" si="18"/>
        <v>0</v>
      </c>
      <c r="BT10" s="861">
        <f t="shared" si="18"/>
        <v>0</v>
      </c>
      <c r="BU10" s="884"/>
      <c r="BV10" s="885"/>
      <c r="BX10" s="884"/>
      <c r="BY10" s="884"/>
    </row>
    <row r="11" spans="1:77" ht="30" customHeight="1">
      <c r="A11" s="49" t="s">
        <v>42</v>
      </c>
      <c r="B11" s="113" t="s">
        <v>43</v>
      </c>
      <c r="C11" s="54">
        <v>-49.7</v>
      </c>
      <c r="D11" s="54">
        <v>-55.1</v>
      </c>
      <c r="E11" s="54">
        <v>-58.6</v>
      </c>
      <c r="F11" s="54">
        <v>-59.3</v>
      </c>
      <c r="G11" s="202">
        <f>SUM(C11:F11)</f>
        <v>-222.7</v>
      </c>
      <c r="H11" s="55">
        <v>-60.7</v>
      </c>
      <c r="I11" s="54">
        <v>-62</v>
      </c>
      <c r="J11" s="54">
        <v>-62.2</v>
      </c>
      <c r="K11" s="54">
        <v>-71.400000000000006</v>
      </c>
      <c r="L11" s="202">
        <f>SUM(H11:K11)</f>
        <v>-256.3</v>
      </c>
      <c r="M11" s="55">
        <v>-71.300000000000011</v>
      </c>
      <c r="N11" s="54">
        <v>-288</v>
      </c>
      <c r="O11" s="54">
        <v>-495.9</v>
      </c>
      <c r="P11" s="54">
        <v>-557.20000000000005</v>
      </c>
      <c r="Q11" s="202">
        <f>SUM(M11:P11)</f>
        <v>-1412.4</v>
      </c>
      <c r="R11" s="54">
        <v>-482.3</v>
      </c>
      <c r="S11" s="54">
        <v>-522.4</v>
      </c>
      <c r="T11" s="54">
        <v>-551.20000000000005</v>
      </c>
      <c r="U11" s="52">
        <v>-585.09999999999991</v>
      </c>
      <c r="V11" s="202">
        <v>-2141</v>
      </c>
      <c r="W11" s="56">
        <v>-550.29999999999995</v>
      </c>
      <c r="X11" s="56">
        <v>-456.6</v>
      </c>
      <c r="Y11" s="36">
        <v>-459.2</v>
      </c>
      <c r="Z11" s="52">
        <v>-472.6</v>
      </c>
      <c r="AA11" s="202">
        <f>SUM(W11:Z11)</f>
        <v>-1938.6999999999998</v>
      </c>
      <c r="AB11" s="56">
        <v>-468.2</v>
      </c>
      <c r="AC11" s="56">
        <v>-483.5</v>
      </c>
      <c r="AD11" s="36">
        <v>-528.5</v>
      </c>
      <c r="AE11" s="36">
        <v>-533.79999999999995</v>
      </c>
      <c r="AF11" s="202">
        <f t="shared" si="8"/>
        <v>-2014</v>
      </c>
      <c r="AG11" s="56">
        <v>-504.5</v>
      </c>
      <c r="AH11" s="54">
        <v>-521.1</v>
      </c>
      <c r="AI11" s="54">
        <v>-550.29999999999995</v>
      </c>
      <c r="AJ11" s="36">
        <v>-560.1</v>
      </c>
      <c r="AK11" s="202">
        <f t="shared" ref="AK11:AK20" si="19">SUM(AG11:AJ11)</f>
        <v>-2136</v>
      </c>
      <c r="AL11" s="499"/>
      <c r="AM11" s="102">
        <v>-504.5</v>
      </c>
      <c r="AN11" s="54">
        <v>-578.5</v>
      </c>
      <c r="AO11" s="54">
        <v>-674.8</v>
      </c>
      <c r="AP11" s="36">
        <v>-691.10000000000014</v>
      </c>
      <c r="AQ11" s="202">
        <f t="shared" ref="AQ11:AQ20" si="20">SUM(AM11:AP11)</f>
        <v>-2448.9</v>
      </c>
      <c r="AR11" s="102">
        <v>-651.29999999999995</v>
      </c>
      <c r="AS11" s="54">
        <v>-678.4</v>
      </c>
      <c r="AT11" s="54">
        <v>-664.1</v>
      </c>
      <c r="AU11" s="36">
        <v>-670.2</v>
      </c>
      <c r="AV11" s="202">
        <f t="shared" ref="AV11:AV20" si="21">SUM(AR11:AU11)</f>
        <v>-2664</v>
      </c>
      <c r="AW11" s="102">
        <v>-563.79999999999995</v>
      </c>
      <c r="AX11" s="54">
        <v>-591.4</v>
      </c>
      <c r="AY11" s="54">
        <v>-575.79999999999995</v>
      </c>
      <c r="AZ11" s="36">
        <v>-580.29999999999995</v>
      </c>
      <c r="BA11" s="202">
        <f t="shared" ref="BA11:BA20" si="22">SUM(AW11:AZ11)</f>
        <v>-2311.2999999999997</v>
      </c>
      <c r="BB11" s="102">
        <v>-600.79999999999995</v>
      </c>
      <c r="BC11" s="54">
        <v>-636.1</v>
      </c>
      <c r="BD11" s="54">
        <v>-609</v>
      </c>
      <c r="BE11" s="36">
        <v>-615</v>
      </c>
      <c r="BF11" s="710">
        <f t="shared" ref="BF11:BF20" si="23">SUM(BB11:BE11)</f>
        <v>-2460.9</v>
      </c>
      <c r="BG11" s="102">
        <v>-624.70000000000005</v>
      </c>
      <c r="BH11" s="54">
        <v>-633</v>
      </c>
      <c r="BI11" s="54">
        <v>-790.3</v>
      </c>
      <c r="BJ11" s="36">
        <v>-801.7</v>
      </c>
      <c r="BK11" s="695">
        <f t="shared" ref="BK11:BK19" si="24">SUM(BG11:BJ11)</f>
        <v>-2849.7</v>
      </c>
      <c r="BL11" s="102">
        <v>-809.5</v>
      </c>
      <c r="BM11" s="54">
        <f>-808</f>
        <v>-808</v>
      </c>
      <c r="BN11" s="54">
        <v>-823.19999999999982</v>
      </c>
      <c r="BO11" s="36">
        <f>-3271.5-BN11-BM11-BL11</f>
        <v>-830.80000000000018</v>
      </c>
      <c r="BP11" s="845">
        <f t="shared" ref="BP11:BP19" si="25">SUM(BL11:BO11)</f>
        <v>-3271.5</v>
      </c>
      <c r="BQ11" s="862">
        <v>-808.6</v>
      </c>
      <c r="BR11" s="54"/>
      <c r="BS11" s="54"/>
      <c r="BT11" s="863"/>
      <c r="BU11" s="884"/>
      <c r="BV11" s="885"/>
      <c r="BX11" s="884"/>
      <c r="BY11" s="884"/>
    </row>
    <row r="12" spans="1:77" ht="18.75" customHeight="1">
      <c r="A12" s="49" t="s">
        <v>44</v>
      </c>
      <c r="B12" s="112" t="s">
        <v>45</v>
      </c>
      <c r="C12" s="54">
        <v>-54.4</v>
      </c>
      <c r="D12" s="54">
        <v>-56.7</v>
      </c>
      <c r="E12" s="54">
        <v>-60.2</v>
      </c>
      <c r="F12" s="54">
        <v>-71.7</v>
      </c>
      <c r="G12" s="202">
        <f>SUM(C12:F12)</f>
        <v>-243</v>
      </c>
      <c r="H12" s="55">
        <v>-60.7</v>
      </c>
      <c r="I12" s="54">
        <v>-62.3</v>
      </c>
      <c r="J12" s="54">
        <v>-64.8</v>
      </c>
      <c r="K12" s="54">
        <v>-68.599999999999994</v>
      </c>
      <c r="L12" s="202">
        <f>SUM(H12:K12)</f>
        <v>-256.39999999999998</v>
      </c>
      <c r="M12" s="55">
        <v>-62.5</v>
      </c>
      <c r="N12" s="54">
        <v>-311.3</v>
      </c>
      <c r="O12" s="54">
        <v>-478.3</v>
      </c>
      <c r="P12" s="54">
        <v>-443.8</v>
      </c>
      <c r="Q12" s="202">
        <f>SUM(M12:P12)</f>
        <v>-1295.9000000000001</v>
      </c>
      <c r="R12" s="54">
        <v>-467.9</v>
      </c>
      <c r="S12" s="54">
        <v>-393.5</v>
      </c>
      <c r="T12" s="54">
        <v>-401.2</v>
      </c>
      <c r="U12" s="52">
        <v>-436.70000000000005</v>
      </c>
      <c r="V12" s="202">
        <v>-1699.3</v>
      </c>
      <c r="W12" s="56">
        <v>-423.7</v>
      </c>
      <c r="X12" s="56">
        <v>-527.5</v>
      </c>
      <c r="Y12" s="36">
        <v>-507.9</v>
      </c>
      <c r="Z12" s="52">
        <v>-512.4</v>
      </c>
      <c r="AA12" s="202">
        <f>SUM(W12:Z12)</f>
        <v>-1971.5</v>
      </c>
      <c r="AB12" s="56">
        <v>-472.3</v>
      </c>
      <c r="AC12" s="56">
        <v>-446.7</v>
      </c>
      <c r="AD12" s="36">
        <v>-429.2</v>
      </c>
      <c r="AE12" s="36">
        <v>-434.8</v>
      </c>
      <c r="AF12" s="202">
        <f t="shared" si="8"/>
        <v>-1783</v>
      </c>
      <c r="AG12" s="56">
        <v>-454.5</v>
      </c>
      <c r="AH12" s="54">
        <v>-439.1</v>
      </c>
      <c r="AI12" s="54">
        <v>-452.5</v>
      </c>
      <c r="AJ12" s="36">
        <v>-430.6</v>
      </c>
      <c r="AK12" s="202">
        <f t="shared" si="19"/>
        <v>-1776.6999999999998</v>
      </c>
      <c r="AL12" s="499"/>
      <c r="AM12" s="102">
        <v>-454.5</v>
      </c>
      <c r="AN12" s="54">
        <v>-470.8</v>
      </c>
      <c r="AO12" s="54">
        <v>-523.5</v>
      </c>
      <c r="AP12" s="36">
        <v>-521.90000000000009</v>
      </c>
      <c r="AQ12" s="202">
        <f t="shared" si="20"/>
        <v>-1970.7</v>
      </c>
      <c r="AR12" s="102">
        <v>-440.1</v>
      </c>
      <c r="AS12" s="54">
        <v>-444.6</v>
      </c>
      <c r="AT12" s="54">
        <v>-448.5</v>
      </c>
      <c r="AU12" s="36">
        <v>-453.2</v>
      </c>
      <c r="AV12" s="202">
        <f t="shared" si="21"/>
        <v>-1786.4</v>
      </c>
      <c r="AW12" s="102">
        <v>-547.1</v>
      </c>
      <c r="AX12" s="54">
        <v>-553.6</v>
      </c>
      <c r="AY12" s="54">
        <v>-561.5</v>
      </c>
      <c r="AZ12" s="36">
        <v>-567.5</v>
      </c>
      <c r="BA12" s="202">
        <f t="shared" si="22"/>
        <v>-2229.6999999999998</v>
      </c>
      <c r="BB12" s="102">
        <v>-564.5</v>
      </c>
      <c r="BC12" s="54">
        <v>-565.9</v>
      </c>
      <c r="BD12" s="54">
        <v>-573</v>
      </c>
      <c r="BE12" s="36">
        <v>-602.29999999999995</v>
      </c>
      <c r="BF12" s="710">
        <f t="shared" si="23"/>
        <v>-2305.6999999999998</v>
      </c>
      <c r="BG12" s="102">
        <v>-521.20000000000005</v>
      </c>
      <c r="BH12" s="54">
        <v>-457.2</v>
      </c>
      <c r="BI12" s="54">
        <v>-463.6</v>
      </c>
      <c r="BJ12" s="36">
        <v>-461.2</v>
      </c>
      <c r="BK12" s="695">
        <f t="shared" si="24"/>
        <v>-1903.2</v>
      </c>
      <c r="BL12" s="102">
        <v>-446.3</v>
      </c>
      <c r="BM12" s="54">
        <v>-467.5</v>
      </c>
      <c r="BN12" s="54">
        <v>-452.1</v>
      </c>
      <c r="BO12" s="36">
        <f>-1829-BN12-BM12-BL12</f>
        <v>-463.10000000000008</v>
      </c>
      <c r="BP12" s="845">
        <f t="shared" si="25"/>
        <v>-1829.0000000000002</v>
      </c>
      <c r="BQ12" s="862">
        <v>-462.5</v>
      </c>
      <c r="BR12" s="54"/>
      <c r="BS12" s="54"/>
      <c r="BT12" s="863"/>
      <c r="BU12" s="884"/>
      <c r="BV12" s="885"/>
      <c r="BX12" s="884"/>
      <c r="BY12" s="884"/>
    </row>
    <row r="13" spans="1:77" ht="18.75" customHeight="1">
      <c r="A13" s="49" t="s">
        <v>46</v>
      </c>
      <c r="B13" s="112" t="s">
        <v>47</v>
      </c>
      <c r="C13" s="54">
        <v>-5.5</v>
      </c>
      <c r="D13" s="54">
        <v>-7.6</v>
      </c>
      <c r="E13" s="54">
        <v>-7</v>
      </c>
      <c r="F13" s="54">
        <v>-16.100000000000001</v>
      </c>
      <c r="G13" s="202">
        <f>SUM(C13:F13)</f>
        <v>-36.200000000000003</v>
      </c>
      <c r="H13" s="55">
        <v>-25.8</v>
      </c>
      <c r="I13" s="54">
        <v>-16.8</v>
      </c>
      <c r="J13" s="54">
        <v>-10.7</v>
      </c>
      <c r="K13" s="54">
        <v>-10.6</v>
      </c>
      <c r="L13" s="202">
        <f>SUM(H13:K13)</f>
        <v>-63.9</v>
      </c>
      <c r="M13" s="55">
        <v>-10.300000000000011</v>
      </c>
      <c r="N13" s="54">
        <v>-189.7</v>
      </c>
      <c r="O13" s="54">
        <v>-348.6</v>
      </c>
      <c r="P13" s="54">
        <v>-376.6</v>
      </c>
      <c r="Q13" s="202">
        <f>SUM(M13:P13)</f>
        <v>-925.2</v>
      </c>
      <c r="R13" s="54">
        <v>-332.5</v>
      </c>
      <c r="S13" s="54">
        <v>-291.7</v>
      </c>
      <c r="T13" s="54">
        <v>-314.89999999999998</v>
      </c>
      <c r="U13" s="52">
        <v>-393.59999999999991</v>
      </c>
      <c r="V13" s="202">
        <v>-1332.8</v>
      </c>
      <c r="W13" s="56">
        <v>-326.8</v>
      </c>
      <c r="X13" s="56">
        <v>-317.3</v>
      </c>
      <c r="Y13" s="36">
        <v>-330.5</v>
      </c>
      <c r="Z13" s="52">
        <v>-380.1</v>
      </c>
      <c r="AA13" s="202">
        <f>SUM(W13:Z13)</f>
        <v>-1354.7</v>
      </c>
      <c r="AB13" s="56">
        <v>-323.60000000000002</v>
      </c>
      <c r="AC13" s="56">
        <v>-318.8</v>
      </c>
      <c r="AD13" s="36">
        <v>-323.3</v>
      </c>
      <c r="AE13" s="36">
        <v>-357.9</v>
      </c>
      <c r="AF13" s="202">
        <f t="shared" si="8"/>
        <v>-1323.6</v>
      </c>
      <c r="AG13" s="56">
        <v>-258.5</v>
      </c>
      <c r="AH13" s="54">
        <v>-275.2</v>
      </c>
      <c r="AI13" s="54">
        <v>-277.3</v>
      </c>
      <c r="AJ13" s="36">
        <v>-331.7</v>
      </c>
      <c r="AK13" s="202">
        <f t="shared" si="19"/>
        <v>-1142.7</v>
      </c>
      <c r="AL13" s="499"/>
      <c r="AM13" s="102">
        <v>-272.5</v>
      </c>
      <c r="AN13" s="54">
        <v>-282.5</v>
      </c>
      <c r="AO13" s="54">
        <v>-281.10000000000002</v>
      </c>
      <c r="AP13" s="36">
        <v>-338.1</v>
      </c>
      <c r="AQ13" s="202">
        <f t="shared" si="20"/>
        <v>-1174.2</v>
      </c>
      <c r="AR13" s="102">
        <v>-289.39999999999998</v>
      </c>
      <c r="AS13" s="54">
        <v>-321.7</v>
      </c>
      <c r="AT13" s="54">
        <v>-340.7</v>
      </c>
      <c r="AU13" s="36">
        <v>-368.6</v>
      </c>
      <c r="AV13" s="202">
        <f t="shared" si="21"/>
        <v>-1320.4</v>
      </c>
      <c r="AW13" s="102">
        <v>-289.39999999999998</v>
      </c>
      <c r="AX13" s="54">
        <v>-321.7</v>
      </c>
      <c r="AY13" s="54">
        <v>-340.7</v>
      </c>
      <c r="AZ13" s="36">
        <v>-368.6</v>
      </c>
      <c r="BA13" s="202">
        <f t="shared" si="22"/>
        <v>-1320.4</v>
      </c>
      <c r="BB13" s="102">
        <v>-282.3</v>
      </c>
      <c r="BC13" s="54">
        <v>-334.8</v>
      </c>
      <c r="BD13" s="54">
        <v>-361.6</v>
      </c>
      <c r="BE13" s="36">
        <v>-359.5</v>
      </c>
      <c r="BF13" s="710">
        <f t="shared" si="23"/>
        <v>-1338.2</v>
      </c>
      <c r="BG13" s="102">
        <v>-276.7</v>
      </c>
      <c r="BH13" s="54">
        <v>-289.2</v>
      </c>
      <c r="BI13" s="54">
        <v>-297.60000000000002</v>
      </c>
      <c r="BJ13" s="36">
        <v>-337.2</v>
      </c>
      <c r="BK13" s="695">
        <f t="shared" si="24"/>
        <v>-1200.7</v>
      </c>
      <c r="BL13" s="102">
        <v>-277.5</v>
      </c>
      <c r="BM13" s="54">
        <v>-382</v>
      </c>
      <c r="BN13" s="54">
        <v>-365.40000000000009</v>
      </c>
      <c r="BO13" s="36">
        <f>-1454.4-BN13-BM13-BL13</f>
        <v>-429.5</v>
      </c>
      <c r="BP13" s="845">
        <f t="shared" si="25"/>
        <v>-1454.4</v>
      </c>
      <c r="BQ13" s="862">
        <v>-392.6</v>
      </c>
      <c r="BR13" s="54"/>
      <c r="BS13" s="54"/>
      <c r="BT13" s="863"/>
      <c r="BU13" s="884"/>
      <c r="BV13" s="885"/>
      <c r="BX13" s="884"/>
      <c r="BY13" s="884"/>
    </row>
    <row r="14" spans="1:77" ht="18.75" customHeight="1">
      <c r="A14" s="49" t="s">
        <v>48</v>
      </c>
      <c r="B14" s="112" t="s">
        <v>49</v>
      </c>
      <c r="C14" s="54">
        <v>-206.8</v>
      </c>
      <c r="D14" s="54">
        <v>-226.6</v>
      </c>
      <c r="E14" s="54">
        <v>-171.5</v>
      </c>
      <c r="F14" s="54">
        <v>-219</v>
      </c>
      <c r="G14" s="202">
        <f>SUM(C14:F14)</f>
        <v>-823.9</v>
      </c>
      <c r="H14" s="55">
        <v>-207.5</v>
      </c>
      <c r="I14" s="54">
        <v>-239.5</v>
      </c>
      <c r="J14" s="54">
        <v>-219.3</v>
      </c>
      <c r="K14" s="54">
        <v>-260.7</v>
      </c>
      <c r="L14" s="202">
        <f>SUM(H14:K14)</f>
        <v>-927</v>
      </c>
      <c r="M14" s="55">
        <v>-210.60000000000002</v>
      </c>
      <c r="N14" s="54">
        <v>-260.89999999999998</v>
      </c>
      <c r="O14" s="54">
        <v>-262.39999999999998</v>
      </c>
      <c r="P14" s="54">
        <v>-295.60000000000002</v>
      </c>
      <c r="Q14" s="202">
        <f>SUM(M14:P14)</f>
        <v>-1029.5</v>
      </c>
      <c r="R14" s="54">
        <v>-235.5</v>
      </c>
      <c r="S14" s="54">
        <v>-274</v>
      </c>
      <c r="T14" s="54">
        <v>-257.3</v>
      </c>
      <c r="U14" s="52">
        <v>-299.10000000000014</v>
      </c>
      <c r="V14" s="202">
        <v>-1065.9000000000001</v>
      </c>
      <c r="W14" s="56">
        <v>-248.5</v>
      </c>
      <c r="X14" s="56">
        <v>-316.3</v>
      </c>
      <c r="Y14" s="36">
        <v>-252.1</v>
      </c>
      <c r="Z14" s="52">
        <v>-297.3</v>
      </c>
      <c r="AA14" s="202">
        <f>SUM(W14:Z14)</f>
        <v>-1114.2</v>
      </c>
      <c r="AB14" s="56">
        <v>-264.3</v>
      </c>
      <c r="AC14" s="56">
        <v>-298.39999999999998</v>
      </c>
      <c r="AD14" s="36">
        <v>-269.7</v>
      </c>
      <c r="AE14" s="36">
        <v>-321.2</v>
      </c>
      <c r="AF14" s="202">
        <f t="shared" si="8"/>
        <v>-1153.6000000000001</v>
      </c>
      <c r="AG14" s="56">
        <v>-269.39999999999998</v>
      </c>
      <c r="AH14" s="54">
        <v>-316.8</v>
      </c>
      <c r="AI14" s="54">
        <v>-323.5</v>
      </c>
      <c r="AJ14" s="36">
        <v>-406.8</v>
      </c>
      <c r="AK14" s="202">
        <f t="shared" si="19"/>
        <v>-1316.5</v>
      </c>
      <c r="AL14" s="499"/>
      <c r="AM14" s="102">
        <v>-269.39999999999998</v>
      </c>
      <c r="AN14" s="54">
        <v>-323</v>
      </c>
      <c r="AO14" s="54">
        <v>-338.9</v>
      </c>
      <c r="AP14" s="36">
        <v>-424</v>
      </c>
      <c r="AQ14" s="202">
        <f t="shared" si="20"/>
        <v>-1355.3</v>
      </c>
      <c r="AR14" s="102">
        <v>-369</v>
      </c>
      <c r="AS14" s="54">
        <v>-418</v>
      </c>
      <c r="AT14" s="54">
        <v>-423</v>
      </c>
      <c r="AU14" s="36">
        <v>-456.9</v>
      </c>
      <c r="AV14" s="202">
        <f t="shared" si="21"/>
        <v>-1666.9</v>
      </c>
      <c r="AW14" s="102">
        <v>-366.9</v>
      </c>
      <c r="AX14" s="54">
        <v>-415.8</v>
      </c>
      <c r="AY14" s="54">
        <v>-421</v>
      </c>
      <c r="AZ14" s="36">
        <v>-454.8</v>
      </c>
      <c r="BA14" s="202">
        <f t="shared" si="22"/>
        <v>-1658.5</v>
      </c>
      <c r="BB14" s="102">
        <v>-388.8</v>
      </c>
      <c r="BC14" s="54">
        <v>-368.9</v>
      </c>
      <c r="BD14" s="54">
        <v>-396.7</v>
      </c>
      <c r="BE14" s="36">
        <v>-484</v>
      </c>
      <c r="BF14" s="710">
        <f t="shared" si="23"/>
        <v>-1638.4</v>
      </c>
      <c r="BG14" s="102">
        <v>-419.4</v>
      </c>
      <c r="BH14" s="54">
        <v>-449.2</v>
      </c>
      <c r="BI14" s="54">
        <v>-426.9</v>
      </c>
      <c r="BJ14" s="36">
        <v>-531.4</v>
      </c>
      <c r="BK14" s="695">
        <f t="shared" si="24"/>
        <v>-1826.9</v>
      </c>
      <c r="BL14" s="102">
        <v>-473.5</v>
      </c>
      <c r="BM14" s="54">
        <v>-504.9</v>
      </c>
      <c r="BN14" s="54">
        <v>-530</v>
      </c>
      <c r="BO14" s="36">
        <f>-2063.9-BN14-BM14-BL14</f>
        <v>-555.5</v>
      </c>
      <c r="BP14" s="845">
        <f t="shared" si="25"/>
        <v>-2063.9</v>
      </c>
      <c r="BQ14" s="862">
        <v>-514.5</v>
      </c>
      <c r="BR14" s="54"/>
      <c r="BS14" s="54"/>
      <c r="BT14" s="863"/>
      <c r="BU14" s="884"/>
      <c r="BV14" s="885"/>
      <c r="BX14" s="884"/>
      <c r="BY14" s="884"/>
    </row>
    <row r="15" spans="1:77" ht="30" customHeight="1">
      <c r="A15" s="49" t="s">
        <v>50</v>
      </c>
      <c r="B15" s="114" t="s">
        <v>51</v>
      </c>
      <c r="C15" s="54">
        <v>-71.5</v>
      </c>
      <c r="D15" s="54">
        <v>-71.8</v>
      </c>
      <c r="E15" s="54">
        <v>-73.7</v>
      </c>
      <c r="F15" s="54">
        <v>-95.7</v>
      </c>
      <c r="G15" s="202">
        <f>SUM(C15:F15)</f>
        <v>-312.7</v>
      </c>
      <c r="H15" s="55">
        <v>-79</v>
      </c>
      <c r="I15" s="54">
        <v>-81.3</v>
      </c>
      <c r="J15" s="54">
        <v>-79.3</v>
      </c>
      <c r="K15" s="54">
        <v>-92.4</v>
      </c>
      <c r="L15" s="202">
        <f>SUM(H15:K15)</f>
        <v>-332</v>
      </c>
      <c r="M15" s="55">
        <v>-75.400000000000006</v>
      </c>
      <c r="N15" s="54">
        <v>-132.19999999999999</v>
      </c>
      <c r="O15" s="54">
        <v>-186.8</v>
      </c>
      <c r="P15" s="54">
        <v>-218.3</v>
      </c>
      <c r="Q15" s="202">
        <f>SUM(M15:P15)</f>
        <v>-612.70000000000005</v>
      </c>
      <c r="R15" s="54">
        <v>-189.2</v>
      </c>
      <c r="S15" s="54">
        <v>-193.2</v>
      </c>
      <c r="T15" s="54">
        <v>-200.1</v>
      </c>
      <c r="U15" s="52">
        <v>-220.1</v>
      </c>
      <c r="V15" s="202">
        <v>-802.6</v>
      </c>
      <c r="W15" s="56">
        <v>-200.5</v>
      </c>
      <c r="X15" s="56">
        <v>-202.2</v>
      </c>
      <c r="Y15" s="36">
        <v>-202.6</v>
      </c>
      <c r="Z15" s="52">
        <v>-222.5</v>
      </c>
      <c r="AA15" s="202">
        <f>SUM(W15:Z15)</f>
        <v>-827.8</v>
      </c>
      <c r="AB15" s="56">
        <v>-211.1</v>
      </c>
      <c r="AC15" s="56">
        <v>-215.9</v>
      </c>
      <c r="AD15" s="36">
        <v>-224</v>
      </c>
      <c r="AE15" s="36">
        <v>-243.3</v>
      </c>
      <c r="AF15" s="202">
        <f t="shared" si="8"/>
        <v>-894.3</v>
      </c>
      <c r="AG15" s="56">
        <v>-205.2</v>
      </c>
      <c r="AH15" s="54">
        <v>-214.9</v>
      </c>
      <c r="AI15" s="54">
        <v>-217.1</v>
      </c>
      <c r="AJ15" s="36">
        <v>-265.60000000000002</v>
      </c>
      <c r="AK15" s="202">
        <f t="shared" si="19"/>
        <v>-902.80000000000007</v>
      </c>
      <c r="AL15" s="499"/>
      <c r="AM15" s="102">
        <v>-205.2</v>
      </c>
      <c r="AN15" s="54">
        <v>-223.5</v>
      </c>
      <c r="AO15" s="54">
        <v>-236.5</v>
      </c>
      <c r="AP15" s="36">
        <v>-268.69999999999993</v>
      </c>
      <c r="AQ15" s="202">
        <f t="shared" si="20"/>
        <v>-933.9</v>
      </c>
      <c r="AR15" s="102">
        <v>-249.5</v>
      </c>
      <c r="AS15" s="54">
        <v>-245.6</v>
      </c>
      <c r="AT15" s="54">
        <v>-261</v>
      </c>
      <c r="AU15" s="36">
        <v>-282.7</v>
      </c>
      <c r="AV15" s="202">
        <f t="shared" si="21"/>
        <v>-1038.8</v>
      </c>
      <c r="AW15" s="102">
        <v>-244.8</v>
      </c>
      <c r="AX15" s="54">
        <v>-241.8</v>
      </c>
      <c r="AY15" s="54">
        <v>-256.60000000000002</v>
      </c>
      <c r="AZ15" s="36">
        <v>-278.10000000000002</v>
      </c>
      <c r="BA15" s="202">
        <f t="shared" si="22"/>
        <v>-1021.3000000000001</v>
      </c>
      <c r="BB15" s="102">
        <v>-224.4</v>
      </c>
      <c r="BC15" s="54">
        <v>-232</v>
      </c>
      <c r="BD15" s="54">
        <v>-247.4</v>
      </c>
      <c r="BE15" s="36">
        <v>-259.39999999999998</v>
      </c>
      <c r="BF15" s="710">
        <f t="shared" si="23"/>
        <v>-963.19999999999993</v>
      </c>
      <c r="BG15" s="102">
        <v>-229</v>
      </c>
      <c r="BH15" s="54">
        <v>-230.6</v>
      </c>
      <c r="BI15" s="54">
        <v>-280.60000000000002</v>
      </c>
      <c r="BJ15" s="36">
        <v>-284.8</v>
      </c>
      <c r="BK15" s="695">
        <f t="shared" si="24"/>
        <v>-1025</v>
      </c>
      <c r="BL15" s="102">
        <v>-251.1</v>
      </c>
      <c r="BM15" s="54">
        <v>-256.2</v>
      </c>
      <c r="BN15" s="54">
        <v>-256.60000000000002</v>
      </c>
      <c r="BO15" s="36">
        <f>-1035-BN15-BM15-BL15</f>
        <v>-271.10000000000002</v>
      </c>
      <c r="BP15" s="845">
        <f t="shared" si="25"/>
        <v>-1035</v>
      </c>
      <c r="BQ15" s="862">
        <v>-243.6</v>
      </c>
      <c r="BR15" s="54"/>
      <c r="BS15" s="54"/>
      <c r="BT15" s="863"/>
      <c r="BU15" s="884"/>
      <c r="BV15" s="885"/>
      <c r="BX15" s="884"/>
      <c r="BY15" s="884"/>
    </row>
    <row r="16" spans="1:77" ht="18.75" customHeight="1">
      <c r="A16" s="49" t="s">
        <v>52</v>
      </c>
      <c r="B16" s="112" t="s">
        <v>53</v>
      </c>
      <c r="C16" s="54">
        <v>-40.6</v>
      </c>
      <c r="D16" s="54">
        <v>-40.299999999999997</v>
      </c>
      <c r="E16" s="54">
        <v>-38.9</v>
      </c>
      <c r="F16" s="54">
        <v>-58.6</v>
      </c>
      <c r="G16" s="202">
        <f t="shared" ref="G16:G20" si="26">SUM(C16:F16)</f>
        <v>-178.4</v>
      </c>
      <c r="H16" s="55">
        <v>-43.1</v>
      </c>
      <c r="I16" s="54">
        <v>-41.9</v>
      </c>
      <c r="J16" s="54">
        <v>-40.4</v>
      </c>
      <c r="K16" s="54">
        <v>-53.2</v>
      </c>
      <c r="L16" s="202">
        <f t="shared" ref="L16:L20" si="27">SUM(H16:K16)</f>
        <v>-178.60000000000002</v>
      </c>
      <c r="M16" s="55">
        <v>-44.600000000000009</v>
      </c>
      <c r="N16" s="54">
        <v>-108.2</v>
      </c>
      <c r="O16" s="54">
        <v>-118</v>
      </c>
      <c r="P16" s="54">
        <v>-150.9</v>
      </c>
      <c r="Q16" s="202">
        <f t="shared" ref="Q16:Q20" si="28">SUM(M16:P16)</f>
        <v>-421.70000000000005</v>
      </c>
      <c r="R16" s="54">
        <v>-129.1</v>
      </c>
      <c r="S16" s="54">
        <v>-140.80000000000001</v>
      </c>
      <c r="T16" s="54">
        <v>-122.3</v>
      </c>
      <c r="U16" s="52">
        <v>-158.00000000000006</v>
      </c>
      <c r="V16" s="202">
        <v>-550.20000000000005</v>
      </c>
      <c r="W16" s="56">
        <v>-137.9</v>
      </c>
      <c r="X16" s="56">
        <v>-138.19999999999999</v>
      </c>
      <c r="Y16" s="36">
        <v>-130.5</v>
      </c>
      <c r="Z16" s="52">
        <v>-163.9</v>
      </c>
      <c r="AA16" s="202">
        <f t="shared" si="7"/>
        <v>-570.5</v>
      </c>
      <c r="AB16" s="56">
        <v>-127.8</v>
      </c>
      <c r="AC16" s="56">
        <v>-133.69999999999999</v>
      </c>
      <c r="AD16" s="36">
        <v>-127.4</v>
      </c>
      <c r="AE16" s="36">
        <v>-164.2</v>
      </c>
      <c r="AF16" s="202">
        <f t="shared" si="8"/>
        <v>-553.09999999999991</v>
      </c>
      <c r="AG16" s="56">
        <v>-143.80000000000001</v>
      </c>
      <c r="AH16" s="54">
        <v>-146</v>
      </c>
      <c r="AI16" s="54">
        <v>-137</v>
      </c>
      <c r="AJ16" s="36">
        <v>-184.2</v>
      </c>
      <c r="AK16" s="202">
        <f t="shared" si="19"/>
        <v>-611</v>
      </c>
      <c r="AL16" s="500"/>
      <c r="AM16" s="102">
        <v>-143.80000000000001</v>
      </c>
      <c r="AN16" s="54">
        <v>-169.3</v>
      </c>
      <c r="AO16" s="54">
        <v>-187.1</v>
      </c>
      <c r="AP16" s="36">
        <v>-238.7</v>
      </c>
      <c r="AQ16" s="202">
        <f t="shared" si="20"/>
        <v>-738.90000000000009</v>
      </c>
      <c r="AR16" s="102">
        <v>-212.6</v>
      </c>
      <c r="AS16" s="54">
        <v>-205.6</v>
      </c>
      <c r="AT16" s="54">
        <v>-199.3</v>
      </c>
      <c r="AU16" s="36">
        <v>-253.1</v>
      </c>
      <c r="AV16" s="202">
        <f t="shared" si="21"/>
        <v>-870.6</v>
      </c>
      <c r="AW16" s="102">
        <v>-212.6</v>
      </c>
      <c r="AX16" s="54">
        <v>-205.6</v>
      </c>
      <c r="AY16" s="54">
        <v>-199.3</v>
      </c>
      <c r="AZ16" s="36">
        <v>-253.1</v>
      </c>
      <c r="BA16" s="202">
        <f t="shared" si="22"/>
        <v>-870.6</v>
      </c>
      <c r="BB16" s="102">
        <v>-221.9</v>
      </c>
      <c r="BC16" s="54">
        <v>-210.2</v>
      </c>
      <c r="BD16" s="54">
        <v>-208</v>
      </c>
      <c r="BE16" s="36">
        <v>-265.8</v>
      </c>
      <c r="BF16" s="710">
        <f t="shared" si="23"/>
        <v>-905.90000000000009</v>
      </c>
      <c r="BG16" s="102">
        <v>-236.9</v>
      </c>
      <c r="BH16" s="54">
        <v>-227.9</v>
      </c>
      <c r="BI16" s="54">
        <v>-210.8</v>
      </c>
      <c r="BJ16" s="36">
        <v>-271.3</v>
      </c>
      <c r="BK16" s="695">
        <f t="shared" si="24"/>
        <v>-946.90000000000009</v>
      </c>
      <c r="BL16" s="102">
        <v>-244.6</v>
      </c>
      <c r="BM16" s="54">
        <v>-247.1</v>
      </c>
      <c r="BN16" s="54">
        <v>-242.3</v>
      </c>
      <c r="BO16" s="36">
        <f>-1034-BN16-BM16-BL16</f>
        <v>-300</v>
      </c>
      <c r="BP16" s="845">
        <f t="shared" si="25"/>
        <v>-1034</v>
      </c>
      <c r="BQ16" s="862">
        <v>-276.10000000000002</v>
      </c>
      <c r="BR16" s="54"/>
      <c r="BS16" s="54"/>
      <c r="BT16" s="863"/>
      <c r="BU16" s="884"/>
      <c r="BV16" s="885"/>
      <c r="BX16" s="884"/>
      <c r="BY16" s="884"/>
    </row>
    <row r="17" spans="1:77" ht="30" customHeight="1">
      <c r="A17" s="49" t="s">
        <v>54</v>
      </c>
      <c r="B17" s="115" t="s">
        <v>55</v>
      </c>
      <c r="C17" s="54">
        <v>-5.9</v>
      </c>
      <c r="D17" s="54">
        <v>-8.4</v>
      </c>
      <c r="E17" s="54">
        <v>-5.3</v>
      </c>
      <c r="F17" s="54">
        <v>-7.8</v>
      </c>
      <c r="G17" s="202">
        <f t="shared" si="26"/>
        <v>-27.400000000000002</v>
      </c>
      <c r="H17" s="55">
        <v>-6.42</v>
      </c>
      <c r="I17" s="54">
        <v>-9.3000000000000007</v>
      </c>
      <c r="J17" s="54">
        <v>-5.3</v>
      </c>
      <c r="K17" s="54">
        <v>-7.2</v>
      </c>
      <c r="L17" s="202">
        <f t="shared" si="27"/>
        <v>-28.22</v>
      </c>
      <c r="M17" s="55">
        <v>-6.6999999999999993</v>
      </c>
      <c r="N17" s="54">
        <v>-18.100000000000001</v>
      </c>
      <c r="O17" s="54">
        <v>-15.3</v>
      </c>
      <c r="P17" s="54">
        <v>-27.5</v>
      </c>
      <c r="Q17" s="202">
        <f t="shared" si="28"/>
        <v>-67.599999999999994</v>
      </c>
      <c r="R17" s="54">
        <v>-18.7</v>
      </c>
      <c r="S17" s="54">
        <v>-27.8</v>
      </c>
      <c r="T17" s="54">
        <v>-8.5</v>
      </c>
      <c r="U17" s="52">
        <v>-7.6000000000000014</v>
      </c>
      <c r="V17" s="202">
        <v>-62.6</v>
      </c>
      <c r="W17" s="56">
        <v>-9.6</v>
      </c>
      <c r="X17" s="56">
        <v>-16.3</v>
      </c>
      <c r="Y17" s="36">
        <v>-5.7</v>
      </c>
      <c r="Z17" s="52">
        <v>-15.3</v>
      </c>
      <c r="AA17" s="202">
        <f t="shared" si="7"/>
        <v>-46.9</v>
      </c>
      <c r="AB17" s="56">
        <v>-19.3</v>
      </c>
      <c r="AC17" s="56">
        <v>-16.3</v>
      </c>
      <c r="AD17" s="36">
        <v>-21.3</v>
      </c>
      <c r="AE17" s="36">
        <v>-10.5</v>
      </c>
      <c r="AF17" s="202">
        <f t="shared" si="8"/>
        <v>-67.400000000000006</v>
      </c>
      <c r="AG17" s="56">
        <v>-11.9</v>
      </c>
      <c r="AH17" s="54">
        <v>-18.2</v>
      </c>
      <c r="AI17" s="54">
        <v>-32.9</v>
      </c>
      <c r="AJ17" s="36">
        <v>-19</v>
      </c>
      <c r="AK17" s="202">
        <f t="shared" si="19"/>
        <v>-82</v>
      </c>
      <c r="AL17" s="499"/>
      <c r="AM17" s="102">
        <v>-11.9</v>
      </c>
      <c r="AN17" s="54">
        <v>-17.600000000000001</v>
      </c>
      <c r="AO17" s="54">
        <v>-34.799999999999997</v>
      </c>
      <c r="AP17" s="36">
        <v>-19.600000000000009</v>
      </c>
      <c r="AQ17" s="202">
        <f t="shared" si="20"/>
        <v>-83.9</v>
      </c>
      <c r="AR17" s="102">
        <v>-34.6</v>
      </c>
      <c r="AS17" s="54">
        <v>-16.899999999999999</v>
      </c>
      <c r="AT17" s="54">
        <v>-19.8</v>
      </c>
      <c r="AU17" s="36">
        <v>-27.6</v>
      </c>
      <c r="AV17" s="202">
        <f t="shared" si="21"/>
        <v>-98.9</v>
      </c>
      <c r="AW17" s="102">
        <v>-34.6</v>
      </c>
      <c r="AX17" s="54">
        <v>-16.899999999999999</v>
      </c>
      <c r="AY17" s="54">
        <v>-19.8</v>
      </c>
      <c r="AZ17" s="36">
        <v>-27.6</v>
      </c>
      <c r="BA17" s="202">
        <f t="shared" si="22"/>
        <v>-98.9</v>
      </c>
      <c r="BB17" s="102">
        <v>-44.311173479999866</v>
      </c>
      <c r="BC17" s="54">
        <v>-36.6</v>
      </c>
      <c r="BD17" s="54">
        <v>-22.8</v>
      </c>
      <c r="BE17" s="36">
        <v>-25.2</v>
      </c>
      <c r="BF17" s="710">
        <f t="shared" si="23"/>
        <v>-128.91117347999986</v>
      </c>
      <c r="BG17" s="102">
        <v>-29.8</v>
      </c>
      <c r="BH17" s="54">
        <v>-22.7</v>
      </c>
      <c r="BI17" s="54">
        <v>-30.4</v>
      </c>
      <c r="BJ17" s="36">
        <v>-12.5</v>
      </c>
      <c r="BK17" s="695">
        <f t="shared" si="24"/>
        <v>-95.4</v>
      </c>
      <c r="BL17" s="102">
        <v>-24.8</v>
      </c>
      <c r="BM17" s="54">
        <v>-22.3</v>
      </c>
      <c r="BN17" s="54">
        <v>-25.6</v>
      </c>
      <c r="BO17" s="36">
        <f>-97.8-BN17-BM17-BL17</f>
        <v>-25.099999999999991</v>
      </c>
      <c r="BP17" s="845">
        <f t="shared" si="25"/>
        <v>-97.8</v>
      </c>
      <c r="BQ17" s="862">
        <v>-29.4</v>
      </c>
      <c r="BR17" s="54"/>
      <c r="BS17" s="54"/>
      <c r="BT17" s="863"/>
      <c r="BU17" s="884"/>
      <c r="BV17" s="885"/>
      <c r="BX17" s="884"/>
      <c r="BY17" s="884"/>
    </row>
    <row r="18" spans="1:77" ht="18.75" customHeight="1">
      <c r="A18" s="49" t="s">
        <v>56</v>
      </c>
      <c r="B18" s="112" t="s">
        <v>57</v>
      </c>
      <c r="C18" s="54">
        <v>-30.1</v>
      </c>
      <c r="D18" s="54">
        <v>-33.200000000000003</v>
      </c>
      <c r="E18" s="54">
        <v>-29.7</v>
      </c>
      <c r="F18" s="54">
        <v>-34.200000000000003</v>
      </c>
      <c r="G18" s="202">
        <f t="shared" si="26"/>
        <v>-127.2</v>
      </c>
      <c r="H18" s="55">
        <v>-29.7</v>
      </c>
      <c r="I18" s="54">
        <v>-29.3</v>
      </c>
      <c r="J18" s="54">
        <v>-28.7</v>
      </c>
      <c r="K18" s="54">
        <v>-27.6</v>
      </c>
      <c r="L18" s="202">
        <f t="shared" si="27"/>
        <v>-115.30000000000001</v>
      </c>
      <c r="M18" s="55">
        <v>-26.000000000000007</v>
      </c>
      <c r="N18" s="54">
        <v>-43.4</v>
      </c>
      <c r="O18" s="54">
        <v>-87.2</v>
      </c>
      <c r="P18" s="54">
        <v>-55.5</v>
      </c>
      <c r="Q18" s="202">
        <f t="shared" si="28"/>
        <v>-212.10000000000002</v>
      </c>
      <c r="R18" s="54">
        <v>-53.8</v>
      </c>
      <c r="S18" s="54">
        <v>-56.1</v>
      </c>
      <c r="T18" s="54">
        <v>-44.6</v>
      </c>
      <c r="U18" s="52">
        <v>-59.099999999999994</v>
      </c>
      <c r="V18" s="202">
        <v>-213.5</v>
      </c>
      <c r="W18" s="56">
        <v>-50.7</v>
      </c>
      <c r="X18" s="56">
        <v>-67.599999999999994</v>
      </c>
      <c r="Y18" s="36">
        <v>-50.2</v>
      </c>
      <c r="Z18" s="52">
        <v>-76.5</v>
      </c>
      <c r="AA18" s="202">
        <f t="shared" si="7"/>
        <v>-245</v>
      </c>
      <c r="AB18" s="56">
        <v>-51.6</v>
      </c>
      <c r="AC18" s="56">
        <v>-49.5</v>
      </c>
      <c r="AD18" s="36">
        <v>-52.3</v>
      </c>
      <c r="AE18" s="36">
        <v>-73.5</v>
      </c>
      <c r="AF18" s="202">
        <f t="shared" si="8"/>
        <v>-226.89999999999998</v>
      </c>
      <c r="AG18" s="56">
        <v>-55.3</v>
      </c>
      <c r="AH18" s="54">
        <v>-55.2</v>
      </c>
      <c r="AI18" s="54">
        <v>-53.4</v>
      </c>
      <c r="AJ18" s="36">
        <v>-68</v>
      </c>
      <c r="AK18" s="202">
        <f t="shared" si="19"/>
        <v>-231.9</v>
      </c>
      <c r="AL18" s="499"/>
      <c r="AM18" s="102">
        <v>-55.3</v>
      </c>
      <c r="AN18" s="54">
        <v>-61.8</v>
      </c>
      <c r="AO18" s="54">
        <v>-69.099999999999994</v>
      </c>
      <c r="AP18" s="36">
        <v>-86.800000000000011</v>
      </c>
      <c r="AQ18" s="202">
        <f t="shared" si="20"/>
        <v>-273</v>
      </c>
      <c r="AR18" s="102">
        <v>-70.599999999999994</v>
      </c>
      <c r="AS18" s="54">
        <v>-73.599999999999994</v>
      </c>
      <c r="AT18" s="54">
        <v>-76.599999999999994</v>
      </c>
      <c r="AU18" s="36">
        <v>-80.7</v>
      </c>
      <c r="AV18" s="202">
        <f t="shared" si="21"/>
        <v>-301.5</v>
      </c>
      <c r="AW18" s="102">
        <v>-57.8</v>
      </c>
      <c r="AX18" s="54">
        <v>-60.4</v>
      </c>
      <c r="AY18" s="54">
        <v>-62.1</v>
      </c>
      <c r="AZ18" s="36">
        <v>-63.8</v>
      </c>
      <c r="BA18" s="202">
        <f t="shared" si="22"/>
        <v>-244.09999999999997</v>
      </c>
      <c r="BB18" s="102">
        <v>-65.099999999999994</v>
      </c>
      <c r="BC18" s="54">
        <v>-71.099999999999994</v>
      </c>
      <c r="BD18" s="54">
        <v>-76.3</v>
      </c>
      <c r="BE18" s="36">
        <v>-120.1</v>
      </c>
      <c r="BF18" s="710">
        <f t="shared" si="23"/>
        <v>-332.6</v>
      </c>
      <c r="BG18" s="102">
        <v>-93.2</v>
      </c>
      <c r="BH18" s="54">
        <v>-158.30000000000001</v>
      </c>
      <c r="BI18" s="54">
        <v>-95.7</v>
      </c>
      <c r="BJ18" s="36">
        <v>-110.5</v>
      </c>
      <c r="BK18" s="695">
        <f t="shared" si="24"/>
        <v>-457.7</v>
      </c>
      <c r="BL18" s="102">
        <v>-106.4</v>
      </c>
      <c r="BM18" s="105">
        <v>-127.4</v>
      </c>
      <c r="BN18" s="107">
        <v>-182.1</v>
      </c>
      <c r="BO18" s="95">
        <f>-614.2-BN18-BM18-BL18</f>
        <v>-198.30000000000004</v>
      </c>
      <c r="BP18" s="847">
        <f t="shared" si="25"/>
        <v>-614.20000000000005</v>
      </c>
      <c r="BQ18" s="862">
        <v>-164.6</v>
      </c>
      <c r="BR18" s="105"/>
      <c r="BS18" s="107"/>
      <c r="BT18" s="864"/>
      <c r="BU18" s="884"/>
      <c r="BV18" s="885"/>
      <c r="BX18" s="884"/>
      <c r="BY18" s="884"/>
    </row>
    <row r="19" spans="1:77" s="412" customFormat="1" ht="22.5" customHeight="1">
      <c r="A19" s="405" t="s">
        <v>58</v>
      </c>
      <c r="B19" s="406" t="s">
        <v>59</v>
      </c>
      <c r="C19" s="411"/>
      <c r="D19" s="411"/>
      <c r="E19" s="411"/>
      <c r="F19" s="411"/>
      <c r="G19" s="477"/>
      <c r="H19" s="409"/>
      <c r="I19" s="407"/>
      <c r="J19" s="407"/>
      <c r="K19" s="411"/>
      <c r="L19" s="408"/>
      <c r="M19" s="409"/>
      <c r="N19" s="407"/>
      <c r="O19" s="407"/>
      <c r="P19" s="411"/>
      <c r="Q19" s="408"/>
      <c r="R19" s="407"/>
      <c r="S19" s="407"/>
      <c r="T19" s="476"/>
      <c r="U19" s="476"/>
      <c r="V19" s="408"/>
      <c r="W19" s="407"/>
      <c r="X19" s="407"/>
      <c r="Y19" s="411"/>
      <c r="Z19" s="476"/>
      <c r="AA19" s="408"/>
      <c r="AB19" s="407"/>
      <c r="AC19" s="407"/>
      <c r="AD19" s="407"/>
      <c r="AE19" s="476"/>
      <c r="AF19" s="408"/>
      <c r="AG19" s="407"/>
      <c r="AH19" s="476"/>
      <c r="AI19" s="407"/>
      <c r="AJ19" s="411"/>
      <c r="AK19" s="408"/>
      <c r="AL19" s="413"/>
      <c r="AM19" s="409"/>
      <c r="AN19" s="476"/>
      <c r="AO19" s="407"/>
      <c r="AP19" s="411"/>
      <c r="AQ19" s="408"/>
      <c r="AR19" s="409"/>
      <c r="AS19" s="407"/>
      <c r="AT19" s="407"/>
      <c r="AU19" s="407"/>
      <c r="AV19" s="408"/>
      <c r="AW19" s="409"/>
      <c r="AX19" s="407"/>
      <c r="AY19" s="407"/>
      <c r="AZ19" s="407"/>
      <c r="BA19" s="408"/>
      <c r="BB19" s="409"/>
      <c r="BC19" s="476"/>
      <c r="BD19" s="476"/>
      <c r="BE19" s="407"/>
      <c r="BF19" s="692"/>
      <c r="BG19" s="409"/>
      <c r="BH19" s="476"/>
      <c r="BI19" s="407">
        <v>3690.8</v>
      </c>
      <c r="BJ19" s="498">
        <v>-10.199999999999999</v>
      </c>
      <c r="BK19" s="692">
        <f t="shared" si="24"/>
        <v>3680.6000000000004</v>
      </c>
      <c r="BL19" s="747">
        <v>0</v>
      </c>
      <c r="BM19" s="748">
        <v>0</v>
      </c>
      <c r="BN19" s="748">
        <v>113.4</v>
      </c>
      <c r="BO19" s="476">
        <f>153.2-BN19</f>
        <v>39.799999999999983</v>
      </c>
      <c r="BP19" s="848">
        <f t="shared" si="25"/>
        <v>153.19999999999999</v>
      </c>
      <c r="BQ19" s="865">
        <v>0</v>
      </c>
      <c r="BR19" s="748"/>
      <c r="BS19" s="748"/>
      <c r="BT19" s="866"/>
      <c r="BU19" s="884"/>
      <c r="BV19" s="885"/>
      <c r="BX19" s="884"/>
      <c r="BY19" s="884"/>
    </row>
    <row r="20" spans="1:77" s="412" customFormat="1" ht="22.5" customHeight="1">
      <c r="A20" s="405" t="s">
        <v>60</v>
      </c>
      <c r="B20" s="406" t="s">
        <v>61</v>
      </c>
      <c r="C20" s="411">
        <v>-1.7</v>
      </c>
      <c r="D20" s="411">
        <v>-1.1000000000000001</v>
      </c>
      <c r="E20" s="411">
        <v>-2</v>
      </c>
      <c r="F20" s="411">
        <v>-12.7</v>
      </c>
      <c r="G20" s="477">
        <f t="shared" si="26"/>
        <v>-17.5</v>
      </c>
      <c r="H20" s="409">
        <v>0.5</v>
      </c>
      <c r="I20" s="407">
        <v>1.5</v>
      </c>
      <c r="J20" s="407">
        <v>36.799999999999997</v>
      </c>
      <c r="K20" s="411">
        <v>-2</v>
      </c>
      <c r="L20" s="408">
        <f t="shared" si="27"/>
        <v>36.799999999999997</v>
      </c>
      <c r="M20" s="409">
        <v>3.6</v>
      </c>
      <c r="N20" s="407">
        <v>3.5</v>
      </c>
      <c r="O20" s="407">
        <v>4.7</v>
      </c>
      <c r="P20" s="411">
        <v>-2.2000000000000002</v>
      </c>
      <c r="Q20" s="408">
        <f t="shared" si="28"/>
        <v>9.6000000000000014</v>
      </c>
      <c r="R20" s="407">
        <v>8.6999999999999993</v>
      </c>
      <c r="S20" s="407">
        <v>13.8</v>
      </c>
      <c r="T20" s="476">
        <v>14.4</v>
      </c>
      <c r="U20" s="476">
        <v>-6.2</v>
      </c>
      <c r="V20" s="408">
        <v>30.7</v>
      </c>
      <c r="W20" s="407">
        <v>6.8</v>
      </c>
      <c r="X20" s="407">
        <v>6.6</v>
      </c>
      <c r="Y20" s="411">
        <v>0</v>
      </c>
      <c r="Z20" s="476">
        <v>-4.5999999999999996</v>
      </c>
      <c r="AA20" s="408">
        <f t="shared" si="7"/>
        <v>8.7999999999999989</v>
      </c>
      <c r="AB20" s="407">
        <v>6.8</v>
      </c>
      <c r="AC20" s="407">
        <v>9.9</v>
      </c>
      <c r="AD20" s="407">
        <v>6.7</v>
      </c>
      <c r="AE20" s="476">
        <v>-2.1</v>
      </c>
      <c r="AF20" s="408">
        <f t="shared" si="8"/>
        <v>21.299999999999997</v>
      </c>
      <c r="AG20" s="407">
        <v>6.7</v>
      </c>
      <c r="AH20" s="476">
        <v>-1.9</v>
      </c>
      <c r="AI20" s="407">
        <v>4.5999999999999996</v>
      </c>
      <c r="AJ20" s="411">
        <v>0</v>
      </c>
      <c r="AK20" s="408">
        <f t="shared" si="19"/>
        <v>9.4</v>
      </c>
      <c r="AL20" s="413"/>
      <c r="AM20" s="409">
        <v>6.7</v>
      </c>
      <c r="AN20" s="476">
        <v>-0.6</v>
      </c>
      <c r="AO20" s="407">
        <v>7.3</v>
      </c>
      <c r="AP20" s="411">
        <v>6.2999999999999989</v>
      </c>
      <c r="AQ20" s="408">
        <f t="shared" si="20"/>
        <v>19.7</v>
      </c>
      <c r="AR20" s="409">
        <v>16.600000000000001</v>
      </c>
      <c r="AS20" s="407">
        <v>6.7</v>
      </c>
      <c r="AT20" s="407">
        <v>3.4</v>
      </c>
      <c r="AU20" s="407">
        <v>19</v>
      </c>
      <c r="AV20" s="408">
        <f t="shared" si="21"/>
        <v>45.7</v>
      </c>
      <c r="AW20" s="409">
        <v>16.600000000000001</v>
      </c>
      <c r="AX20" s="407">
        <v>6.7</v>
      </c>
      <c r="AY20" s="407">
        <v>3.4</v>
      </c>
      <c r="AZ20" s="407">
        <v>19</v>
      </c>
      <c r="BA20" s="408">
        <f t="shared" si="22"/>
        <v>45.7</v>
      </c>
      <c r="BB20" s="409">
        <v>5.8</v>
      </c>
      <c r="BC20" s="476">
        <v>-13</v>
      </c>
      <c r="BD20" s="476">
        <v>-2.8</v>
      </c>
      <c r="BE20" s="407">
        <v>7.1</v>
      </c>
      <c r="BF20" s="692">
        <f t="shared" si="23"/>
        <v>-2.9000000000000004</v>
      </c>
      <c r="BG20" s="409">
        <v>5</v>
      </c>
      <c r="BH20" s="476">
        <v>-7.9</v>
      </c>
      <c r="BI20" s="407">
        <v>4.5999999999999996</v>
      </c>
      <c r="BJ20" s="476">
        <v>-24.4</v>
      </c>
      <c r="BK20" s="692">
        <f>SUM(BG20:BJ20)</f>
        <v>-22.7</v>
      </c>
      <c r="BL20" s="476">
        <v>-32.700000000000003</v>
      </c>
      <c r="BM20" s="476">
        <v>13.1</v>
      </c>
      <c r="BN20" s="476">
        <v>-6.1</v>
      </c>
      <c r="BO20" s="476">
        <f>-26.5-BN20-BM20-BL20</f>
        <v>-0.79999999999999716</v>
      </c>
      <c r="BP20" s="848">
        <f>SUM(BL20:BO20)</f>
        <v>-26.5</v>
      </c>
      <c r="BQ20" s="867">
        <v>-8.6999999999999993</v>
      </c>
      <c r="BR20" s="476"/>
      <c r="BS20" s="476"/>
      <c r="BT20" s="866"/>
      <c r="BU20" s="884"/>
      <c r="BV20" s="885"/>
      <c r="BX20" s="884"/>
      <c r="BY20" s="884"/>
    </row>
    <row r="21" spans="1:77" s="412" customFormat="1" ht="22.5" customHeight="1" thickBot="1">
      <c r="A21" s="405" t="s">
        <v>62</v>
      </c>
      <c r="B21" s="406" t="s">
        <v>63</v>
      </c>
      <c r="C21" s="407">
        <f t="shared" ref="C21:AK21" si="29">C5+C10+C20</f>
        <v>203.00000000000006</v>
      </c>
      <c r="D21" s="407">
        <f t="shared" si="29"/>
        <v>212.99999999999997</v>
      </c>
      <c r="E21" s="407">
        <f t="shared" si="29"/>
        <v>197.60000000000002</v>
      </c>
      <c r="F21" s="407">
        <f t="shared" si="29"/>
        <v>175.50000000000017</v>
      </c>
      <c r="G21" s="408">
        <f t="shared" si="29"/>
        <v>789.09999999999923</v>
      </c>
      <c r="H21" s="409">
        <f t="shared" si="29"/>
        <v>184.67999999999995</v>
      </c>
      <c r="I21" s="407">
        <f t="shared" si="29"/>
        <v>195</v>
      </c>
      <c r="J21" s="407">
        <f t="shared" si="29"/>
        <v>203.39999999999998</v>
      </c>
      <c r="K21" s="407">
        <f t="shared" si="29"/>
        <v>206.79999999999995</v>
      </c>
      <c r="L21" s="408">
        <f t="shared" si="29"/>
        <v>789.88000000000034</v>
      </c>
      <c r="M21" s="409">
        <f t="shared" si="29"/>
        <v>219.4999999999998</v>
      </c>
      <c r="N21" s="407">
        <f t="shared" si="29"/>
        <v>397.59999999999991</v>
      </c>
      <c r="O21" s="407">
        <f t="shared" si="29"/>
        <v>431.79999999999967</v>
      </c>
      <c r="P21" s="407">
        <f t="shared" si="29"/>
        <v>393.50000000000074</v>
      </c>
      <c r="Q21" s="408">
        <f t="shared" si="29"/>
        <v>1442.3999999999992</v>
      </c>
      <c r="R21" s="407">
        <f t="shared" si="29"/>
        <v>428.7</v>
      </c>
      <c r="S21" s="407">
        <f t="shared" si="29"/>
        <v>583.5</v>
      </c>
      <c r="T21" s="407">
        <f t="shared" si="29"/>
        <v>529.1999999999997</v>
      </c>
      <c r="U21" s="407">
        <f t="shared" si="29"/>
        <v>444.40000000000038</v>
      </c>
      <c r="V21" s="408">
        <f t="shared" si="29"/>
        <v>1985.7999999999995</v>
      </c>
      <c r="W21" s="407">
        <f t="shared" si="29"/>
        <v>422.8</v>
      </c>
      <c r="X21" s="407">
        <f t="shared" si="29"/>
        <v>407.50000000000011</v>
      </c>
      <c r="Y21" s="410">
        <f t="shared" si="29"/>
        <v>449.10000000000036</v>
      </c>
      <c r="Z21" s="410">
        <f t="shared" si="29"/>
        <v>389.9</v>
      </c>
      <c r="AA21" s="408">
        <f t="shared" si="29"/>
        <v>1669.3</v>
      </c>
      <c r="AB21" s="407">
        <f t="shared" si="29"/>
        <v>457.20000000000033</v>
      </c>
      <c r="AC21" s="407">
        <f t="shared" si="29"/>
        <v>516.99999999999989</v>
      </c>
      <c r="AD21" s="407">
        <f t="shared" si="29"/>
        <v>421.90000000000003</v>
      </c>
      <c r="AE21" s="407">
        <f t="shared" si="29"/>
        <v>437.9</v>
      </c>
      <c r="AF21" s="408">
        <f t="shared" si="29"/>
        <v>1834.0000000000007</v>
      </c>
      <c r="AG21" s="407">
        <f t="shared" si="29"/>
        <v>464.29999999999967</v>
      </c>
      <c r="AH21" s="407">
        <f t="shared" si="29"/>
        <v>488.49999999999989</v>
      </c>
      <c r="AI21" s="407">
        <f t="shared" si="29"/>
        <v>396.00000000000011</v>
      </c>
      <c r="AJ21" s="411">
        <f t="shared" si="29"/>
        <v>416</v>
      </c>
      <c r="AK21" s="408">
        <f t="shared" si="29"/>
        <v>1764.7999999999997</v>
      </c>
      <c r="AL21" s="413"/>
      <c r="AM21" s="409">
        <f t="shared" ref="AM21:BH21" si="30">AM5+AM10+AM20</f>
        <v>435.49999999999994</v>
      </c>
      <c r="AN21" s="407">
        <f t="shared" si="30"/>
        <v>475.5999999999998</v>
      </c>
      <c r="AO21" s="407">
        <f t="shared" si="30"/>
        <v>396.49999999999983</v>
      </c>
      <c r="AP21" s="411">
        <f t="shared" si="30"/>
        <v>419.39999999999992</v>
      </c>
      <c r="AQ21" s="408">
        <f t="shared" si="30"/>
        <v>1727.000000000003</v>
      </c>
      <c r="AR21" s="409">
        <f t="shared" si="30"/>
        <v>481.9000000000002</v>
      </c>
      <c r="AS21" s="407">
        <f t="shared" si="30"/>
        <v>515.29999999999995</v>
      </c>
      <c r="AT21" s="407">
        <f t="shared" si="30"/>
        <v>452.6999999999997</v>
      </c>
      <c r="AU21" s="407">
        <f t="shared" si="30"/>
        <v>485.00000000000091</v>
      </c>
      <c r="AV21" s="408">
        <f t="shared" si="30"/>
        <v>1934.9000000000026</v>
      </c>
      <c r="AW21" s="409">
        <f t="shared" si="30"/>
        <v>491.19999999999948</v>
      </c>
      <c r="AX21" s="407">
        <f t="shared" si="30"/>
        <v>522.49999999999977</v>
      </c>
      <c r="AY21" s="407">
        <f t="shared" si="30"/>
        <v>458.99999999999989</v>
      </c>
      <c r="AZ21" s="407">
        <f t="shared" si="30"/>
        <v>494.30000000000018</v>
      </c>
      <c r="BA21" s="408">
        <f t="shared" si="30"/>
        <v>1967.0000000000011</v>
      </c>
      <c r="BB21" s="409">
        <f t="shared" si="30"/>
        <v>462.18882651999985</v>
      </c>
      <c r="BC21" s="407">
        <f t="shared" si="30"/>
        <v>394.10000000000082</v>
      </c>
      <c r="BD21" s="407">
        <f t="shared" si="30"/>
        <v>505.89999999999981</v>
      </c>
      <c r="BE21" s="407">
        <f t="shared" si="30"/>
        <v>524.00000000000011</v>
      </c>
      <c r="BF21" s="694">
        <f t="shared" si="30"/>
        <v>1886.1888265199991</v>
      </c>
      <c r="BG21" s="409">
        <f t="shared" si="30"/>
        <v>561.5</v>
      </c>
      <c r="BH21" s="407">
        <f t="shared" si="30"/>
        <v>683.69999999999993</v>
      </c>
      <c r="BI21" s="407">
        <f>BI5+BI10+BI20+BI19</f>
        <v>4131.4000000000005</v>
      </c>
      <c r="BJ21" s="407">
        <f>BJ5+BJ10+BJ20+BJ19</f>
        <v>419.79999999999967</v>
      </c>
      <c r="BK21" s="692">
        <f>BK5+BK10+BK20+BK19</f>
        <v>5796.3999999999987</v>
      </c>
      <c r="BL21" s="409">
        <f>BL5+BL10+BL20</f>
        <v>320.3</v>
      </c>
      <c r="BM21" s="407">
        <f>BM5+BM10+BM20</f>
        <v>425.79999999999984</v>
      </c>
      <c r="BN21" s="407">
        <f>BN5+BN10+BN20+BN19</f>
        <v>500.90000000000077</v>
      </c>
      <c r="BO21" s="407">
        <f>BO5+BO10+BO20+BO19</f>
        <v>395.19999999999891</v>
      </c>
      <c r="BP21" s="848">
        <f>BP5+BP10+BP20+BP19</f>
        <v>1642.2</v>
      </c>
      <c r="BQ21" s="867">
        <f>BQ5+BQ10+BQ20+BQ19</f>
        <v>298.70000000000056</v>
      </c>
      <c r="BR21" s="407"/>
      <c r="BS21" s="407"/>
      <c r="BT21" s="868"/>
      <c r="BU21" s="884"/>
      <c r="BV21" s="885"/>
      <c r="BX21" s="884"/>
      <c r="BY21" s="884"/>
    </row>
    <row r="22" spans="1:77" ht="20.149999999999999" customHeight="1">
      <c r="A22" s="822" t="s">
        <v>64</v>
      </c>
      <c r="B22" s="823" t="s">
        <v>65</v>
      </c>
      <c r="C22" s="824">
        <v>12.5</v>
      </c>
      <c r="D22" s="824">
        <v>-8.5</v>
      </c>
      <c r="E22" s="824">
        <v>5.3</v>
      </c>
      <c r="F22" s="824">
        <v>5</v>
      </c>
      <c r="G22" s="825">
        <f>SUM(C22:F22)</f>
        <v>14.3</v>
      </c>
      <c r="H22" s="826">
        <v>3.9</v>
      </c>
      <c r="I22" s="824">
        <v>0.7</v>
      </c>
      <c r="J22" s="824">
        <v>7.4</v>
      </c>
      <c r="K22" s="824">
        <v>4.0999999999999996</v>
      </c>
      <c r="L22" s="825">
        <f>SUM(H22:K22)</f>
        <v>16.100000000000001</v>
      </c>
      <c r="M22" s="826">
        <v>1.2000000000000028</v>
      </c>
      <c r="N22" s="824">
        <v>23.9</v>
      </c>
      <c r="O22" s="824">
        <v>1.5</v>
      </c>
      <c r="P22" s="824">
        <v>-11.4</v>
      </c>
      <c r="Q22" s="825">
        <f>SUM(M22:P22)</f>
        <v>15.200000000000001</v>
      </c>
      <c r="R22" s="824">
        <v>28.9</v>
      </c>
      <c r="S22" s="824">
        <v>-11.9</v>
      </c>
      <c r="T22" s="824">
        <v>-5.2</v>
      </c>
      <c r="U22" s="827">
        <v>-3.2</v>
      </c>
      <c r="V22" s="825">
        <v>8.6000000000000014</v>
      </c>
      <c r="W22" s="828">
        <v>-35.200000000000003</v>
      </c>
      <c r="X22" s="828">
        <v>-21.4</v>
      </c>
      <c r="Y22" s="829">
        <v>13.1</v>
      </c>
      <c r="Z22" s="827">
        <v>-26.3</v>
      </c>
      <c r="AA22" s="825">
        <f t="shared" si="7"/>
        <v>-69.8</v>
      </c>
      <c r="AB22" s="828">
        <v>30.5</v>
      </c>
      <c r="AC22" s="828">
        <v>-14.4</v>
      </c>
      <c r="AD22" s="829">
        <v>-28</v>
      </c>
      <c r="AE22" s="829">
        <v>19.100000000000001</v>
      </c>
      <c r="AF22" s="825">
        <f t="shared" si="8"/>
        <v>7.2000000000000028</v>
      </c>
      <c r="AG22" s="828">
        <v>-3.4</v>
      </c>
      <c r="AH22" s="824">
        <v>-34.4</v>
      </c>
      <c r="AI22" s="824">
        <v>12.7</v>
      </c>
      <c r="AJ22" s="829">
        <v>4.7</v>
      </c>
      <c r="AK22" s="825">
        <f t="shared" ref="AK22:AK24" si="31">SUM(AG22:AJ22)</f>
        <v>-20.399999999999999</v>
      </c>
      <c r="AL22" s="830"/>
      <c r="AM22" s="831">
        <v>-3.4</v>
      </c>
      <c r="AN22" s="824">
        <v>-45.9</v>
      </c>
      <c r="AO22" s="824">
        <v>11.7</v>
      </c>
      <c r="AP22" s="829">
        <v>4.6000000000000014</v>
      </c>
      <c r="AQ22" s="825">
        <f t="shared" ref="AQ22:AQ24" si="32">SUM(AM22:AP22)</f>
        <v>-32.999999999999993</v>
      </c>
      <c r="AR22" s="831">
        <v>1.3</v>
      </c>
      <c r="AS22" s="824">
        <v>13.6</v>
      </c>
      <c r="AT22" s="824">
        <v>-34.5</v>
      </c>
      <c r="AU22" s="829">
        <v>39.200000000000003</v>
      </c>
      <c r="AV22" s="825">
        <f t="shared" ref="AV22:AV24" si="33">SUM(AR22:AU22)</f>
        <v>19.600000000000001</v>
      </c>
      <c r="AW22" s="831">
        <v>-12.2</v>
      </c>
      <c r="AX22" s="824">
        <v>4.8</v>
      </c>
      <c r="AY22" s="824">
        <v>-53.8</v>
      </c>
      <c r="AZ22" s="829">
        <v>34.200000000000003</v>
      </c>
      <c r="BA22" s="825">
        <f t="shared" ref="BA22:BA24" si="34">SUM(AW22:AZ22)</f>
        <v>-26.999999999999993</v>
      </c>
      <c r="BB22" s="824">
        <v>-74.2</v>
      </c>
      <c r="BC22" s="824">
        <v>-1.2</v>
      </c>
      <c r="BD22" s="824">
        <v>-26.2</v>
      </c>
      <c r="BE22" s="829">
        <v>-11.5</v>
      </c>
      <c r="BF22" s="832">
        <f>SUM(BB22:BE22)</f>
        <v>-113.10000000000001</v>
      </c>
      <c r="BG22" s="824">
        <v>-22.4</v>
      </c>
      <c r="BH22" s="824">
        <v>7.8</v>
      </c>
      <c r="BI22" s="824">
        <v>-16.5</v>
      </c>
      <c r="BJ22" s="829">
        <v>4.2</v>
      </c>
      <c r="BK22" s="833">
        <f>SUM(BG22:BJ22)</f>
        <v>-26.9</v>
      </c>
      <c r="BL22" s="824">
        <v>6.9</v>
      </c>
      <c r="BM22" s="824">
        <v>5.7</v>
      </c>
      <c r="BN22" s="824">
        <v>-18.100000000000001</v>
      </c>
      <c r="BO22" s="829">
        <f>23.5-BN22-BM22-BL22</f>
        <v>29</v>
      </c>
      <c r="BP22" s="849">
        <f>SUM(BL22:BO22)</f>
        <v>23.5</v>
      </c>
      <c r="BQ22" s="869">
        <v>20.8</v>
      </c>
      <c r="BR22" s="824"/>
      <c r="BS22" s="824"/>
      <c r="BT22" s="870"/>
      <c r="BU22" s="884"/>
      <c r="BV22" s="885"/>
      <c r="BX22" s="884"/>
      <c r="BY22" s="884"/>
    </row>
    <row r="23" spans="1:77" s="109" customFormat="1" ht="20.149999999999999" customHeight="1">
      <c r="A23" s="104" t="s">
        <v>66</v>
      </c>
      <c r="B23" s="115" t="s">
        <v>67</v>
      </c>
      <c r="C23" s="105">
        <v>30.1</v>
      </c>
      <c r="D23" s="105">
        <v>-92.4</v>
      </c>
      <c r="E23" s="105">
        <v>-5.2</v>
      </c>
      <c r="F23" s="105">
        <v>-43.1</v>
      </c>
      <c r="G23" s="202">
        <f t="shared" ref="G23" si="35">SUM(C23:F23)</f>
        <v>-110.6</v>
      </c>
      <c r="H23" s="106">
        <v>-80.099999999999994</v>
      </c>
      <c r="I23" s="105">
        <v>-102.4</v>
      </c>
      <c r="J23" s="105">
        <v>-10.7</v>
      </c>
      <c r="K23" s="105">
        <v>-22.8</v>
      </c>
      <c r="L23" s="202">
        <f t="shared" ref="L23" si="36">SUM(H23:K23)</f>
        <v>-216</v>
      </c>
      <c r="M23" s="106">
        <v>-108.70000000000005</v>
      </c>
      <c r="N23" s="105">
        <v>-273.39999999999998</v>
      </c>
      <c r="O23" s="105">
        <v>-384.7</v>
      </c>
      <c r="P23" s="105">
        <v>-379.2</v>
      </c>
      <c r="Q23" s="202">
        <f t="shared" ref="Q23" si="37">SUM(M23:P23)</f>
        <v>-1146</v>
      </c>
      <c r="R23" s="105">
        <v>-261.3</v>
      </c>
      <c r="S23" s="105">
        <v>-222.1</v>
      </c>
      <c r="T23" s="105">
        <v>88.8</v>
      </c>
      <c r="U23" s="52">
        <v>-270</v>
      </c>
      <c r="V23" s="202">
        <v>-664.59999999999991</v>
      </c>
      <c r="W23" s="107">
        <v>-182.7</v>
      </c>
      <c r="X23" s="107">
        <v>-133.19999999999999</v>
      </c>
      <c r="Y23" s="95">
        <v>-127.3</v>
      </c>
      <c r="Z23" s="52">
        <v>-122.9</v>
      </c>
      <c r="AA23" s="202">
        <f t="shared" si="7"/>
        <v>-566.1</v>
      </c>
      <c r="AB23" s="107">
        <v>-185.5</v>
      </c>
      <c r="AC23" s="107">
        <v>-113.3</v>
      </c>
      <c r="AD23" s="95">
        <v>-104.8</v>
      </c>
      <c r="AE23" s="95">
        <v>-105.4</v>
      </c>
      <c r="AF23" s="202">
        <f t="shared" si="8"/>
        <v>-509</v>
      </c>
      <c r="AG23" s="107">
        <v>-72.599999999999994</v>
      </c>
      <c r="AH23" s="105">
        <v>-98.8</v>
      </c>
      <c r="AI23" s="105">
        <v>-100.9</v>
      </c>
      <c r="AJ23" s="95">
        <v>-113.3</v>
      </c>
      <c r="AK23" s="202">
        <f t="shared" si="31"/>
        <v>-385.59999999999997</v>
      </c>
      <c r="AL23" s="501"/>
      <c r="AM23" s="108">
        <v>-72.599999999999994</v>
      </c>
      <c r="AN23" s="105">
        <v>-98.9</v>
      </c>
      <c r="AO23" s="105">
        <v>-101.6</v>
      </c>
      <c r="AP23" s="95">
        <v>-113.59999999999997</v>
      </c>
      <c r="AQ23" s="202">
        <f t="shared" si="32"/>
        <v>-386.7</v>
      </c>
      <c r="AR23" s="108">
        <v>-102.7</v>
      </c>
      <c r="AS23" s="105">
        <v>-170</v>
      </c>
      <c r="AT23" s="105">
        <v>-97.9</v>
      </c>
      <c r="AU23" s="95">
        <v>-95.3</v>
      </c>
      <c r="AV23" s="202">
        <f t="shared" si="33"/>
        <v>-465.90000000000003</v>
      </c>
      <c r="AW23" s="108">
        <v>-102.7</v>
      </c>
      <c r="AX23" s="105">
        <v>-170</v>
      </c>
      <c r="AY23" s="105">
        <v>-97.9</v>
      </c>
      <c r="AZ23" s="95">
        <v>-95.3</v>
      </c>
      <c r="BA23" s="202">
        <f t="shared" si="34"/>
        <v>-465.90000000000003</v>
      </c>
      <c r="BB23" s="54">
        <v>-153.80000000000001</v>
      </c>
      <c r="BC23" s="105">
        <v>-47.7</v>
      </c>
      <c r="BD23" s="105">
        <v>-66.599999999999994</v>
      </c>
      <c r="BE23" s="95">
        <v>-64.900000000000006</v>
      </c>
      <c r="BF23" s="710">
        <f t="shared" ref="BF23:BF24" si="38">SUM(BB23:BE23)</f>
        <v>-333</v>
      </c>
      <c r="BG23" s="54">
        <v>-57.1</v>
      </c>
      <c r="BH23" s="54">
        <v>-60.5</v>
      </c>
      <c r="BI23" s="105">
        <v>-54.7</v>
      </c>
      <c r="BJ23" s="95">
        <v>-6.5</v>
      </c>
      <c r="BK23" s="695">
        <f t="shared" ref="BK23:BK24" si="39">SUM(BG23:BJ23)</f>
        <v>-178.8</v>
      </c>
      <c r="BL23" s="54">
        <v>-76.8</v>
      </c>
      <c r="BM23" s="54">
        <v>-130.69999999999999</v>
      </c>
      <c r="BN23" s="105">
        <v>-209.3</v>
      </c>
      <c r="BO23" s="95">
        <f>-649.9-BN23-BM23-BL23</f>
        <v>-233.09999999999997</v>
      </c>
      <c r="BP23" s="845">
        <f t="shared" ref="BP23:BP24" si="40">SUM(BL23:BO23)</f>
        <v>-649.9</v>
      </c>
      <c r="BQ23" s="871">
        <v>-255.7</v>
      </c>
      <c r="BR23" s="54"/>
      <c r="BS23" s="105"/>
      <c r="BT23" s="864"/>
      <c r="BU23" s="884"/>
      <c r="BV23" s="885"/>
      <c r="BX23" s="884"/>
      <c r="BY23" s="884"/>
    </row>
    <row r="24" spans="1:77" ht="30" customHeight="1">
      <c r="A24" s="49" t="s">
        <v>68</v>
      </c>
      <c r="B24" s="116" t="s">
        <v>69</v>
      </c>
      <c r="C24" s="54">
        <v>0.7</v>
      </c>
      <c r="D24" s="54">
        <v>0.8</v>
      </c>
      <c r="E24" s="54">
        <v>0.5</v>
      </c>
      <c r="F24" s="54">
        <v>0.8</v>
      </c>
      <c r="G24" s="202">
        <f t="shared" ref="G24" si="41">SUM(C24:F24)</f>
        <v>2.8</v>
      </c>
      <c r="H24" s="55">
        <v>0.8</v>
      </c>
      <c r="I24" s="54">
        <v>0.8</v>
      </c>
      <c r="J24" s="54">
        <v>0.7</v>
      </c>
      <c r="K24" s="54">
        <v>0.6</v>
      </c>
      <c r="L24" s="202">
        <f t="shared" ref="L24" si="42">SUM(H24:K24)</f>
        <v>2.9</v>
      </c>
      <c r="M24" s="55">
        <v>0.60000000000000009</v>
      </c>
      <c r="N24" s="54">
        <v>0.7</v>
      </c>
      <c r="O24" s="54">
        <v>0.7</v>
      </c>
      <c r="P24" s="54">
        <v>0.6</v>
      </c>
      <c r="Q24" s="202">
        <f t="shared" ref="Q24" si="43">SUM(M24:P24)</f>
        <v>2.6</v>
      </c>
      <c r="R24" s="54">
        <v>0.5</v>
      </c>
      <c r="S24" s="54">
        <v>0.9</v>
      </c>
      <c r="T24" s="54">
        <v>0.5</v>
      </c>
      <c r="U24" s="52">
        <v>0.70000000000000018</v>
      </c>
      <c r="V24" s="202">
        <v>2.6</v>
      </c>
      <c r="W24" s="56">
        <v>0.8</v>
      </c>
      <c r="X24" s="56">
        <v>-0.8</v>
      </c>
      <c r="Y24" s="46">
        <v>0</v>
      </c>
      <c r="Z24" s="46">
        <v>0</v>
      </c>
      <c r="AA24" s="202">
        <f t="shared" ref="AA24" si="44">SUM(W24:Z24)</f>
        <v>0</v>
      </c>
      <c r="AB24" s="46">
        <v>0</v>
      </c>
      <c r="AC24" s="46">
        <v>0</v>
      </c>
      <c r="AD24" s="46">
        <v>0</v>
      </c>
      <c r="AE24" s="46">
        <v>0</v>
      </c>
      <c r="AF24" s="202">
        <f t="shared" ref="AF24:AF25" si="45">SUM(AB24:AE24)</f>
        <v>0</v>
      </c>
      <c r="AG24" s="46">
        <v>0</v>
      </c>
      <c r="AH24" s="46">
        <v>0</v>
      </c>
      <c r="AI24" s="46">
        <v>0</v>
      </c>
      <c r="AJ24" s="46">
        <v>0</v>
      </c>
      <c r="AK24" s="202">
        <f t="shared" si="31"/>
        <v>0</v>
      </c>
      <c r="AL24" s="502"/>
      <c r="AM24" s="71">
        <v>0</v>
      </c>
      <c r="AN24" s="46">
        <v>0</v>
      </c>
      <c r="AO24" s="46">
        <v>0</v>
      </c>
      <c r="AP24" s="46">
        <v>0</v>
      </c>
      <c r="AQ24" s="202">
        <f t="shared" si="32"/>
        <v>0</v>
      </c>
      <c r="AR24" s="71">
        <v>0</v>
      </c>
      <c r="AS24" s="46">
        <v>0</v>
      </c>
      <c r="AT24" s="46">
        <v>0</v>
      </c>
      <c r="AU24" s="46">
        <v>0</v>
      </c>
      <c r="AV24" s="202">
        <f t="shared" si="33"/>
        <v>0</v>
      </c>
      <c r="AW24" s="71">
        <v>0</v>
      </c>
      <c r="AX24" s="46">
        <v>0</v>
      </c>
      <c r="AY24" s="46">
        <v>0</v>
      </c>
      <c r="AZ24" s="46">
        <v>0</v>
      </c>
      <c r="BA24" s="202">
        <f t="shared" si="34"/>
        <v>0</v>
      </c>
      <c r="BB24" s="46">
        <v>0</v>
      </c>
      <c r="BC24" s="46">
        <v>0</v>
      </c>
      <c r="BD24" s="46">
        <v>0</v>
      </c>
      <c r="BE24" s="46">
        <v>0</v>
      </c>
      <c r="BF24" s="710">
        <f t="shared" si="38"/>
        <v>0</v>
      </c>
      <c r="BG24" s="46">
        <v>0</v>
      </c>
      <c r="BH24" s="46">
        <v>0</v>
      </c>
      <c r="BI24" s="46">
        <v>0</v>
      </c>
      <c r="BJ24" s="46">
        <v>0</v>
      </c>
      <c r="BK24" s="695">
        <f t="shared" si="39"/>
        <v>0</v>
      </c>
      <c r="BL24" s="46">
        <v>0</v>
      </c>
      <c r="BM24" s="46">
        <v>0</v>
      </c>
      <c r="BN24" s="46">
        <v>0</v>
      </c>
      <c r="BO24" s="46">
        <v>0</v>
      </c>
      <c r="BP24" s="845">
        <f t="shared" si="40"/>
        <v>0</v>
      </c>
      <c r="BQ24" s="872">
        <v>0</v>
      </c>
      <c r="BR24" s="46"/>
      <c r="BS24" s="46"/>
      <c r="BT24" s="873"/>
      <c r="BU24" s="884"/>
      <c r="BV24" s="885"/>
      <c r="BX24" s="884"/>
      <c r="BY24" s="884"/>
    </row>
    <row r="25" spans="1:77" ht="30" customHeight="1">
      <c r="A25" s="49" t="s">
        <v>70</v>
      </c>
      <c r="B25" s="116" t="s">
        <v>71</v>
      </c>
      <c r="C25" s="54"/>
      <c r="D25" s="54"/>
      <c r="E25" s="54"/>
      <c r="F25" s="54"/>
      <c r="G25" s="202"/>
      <c r="H25" s="55"/>
      <c r="I25" s="54"/>
      <c r="J25" s="54"/>
      <c r="K25" s="54"/>
      <c r="L25" s="202"/>
      <c r="M25" s="55"/>
      <c r="N25" s="54"/>
      <c r="O25" s="54"/>
      <c r="P25" s="54"/>
      <c r="Q25" s="202"/>
      <c r="R25" s="54"/>
      <c r="S25" s="54"/>
      <c r="T25" s="54"/>
      <c r="U25" s="52"/>
      <c r="V25" s="202"/>
      <c r="W25" s="56"/>
      <c r="X25" s="56"/>
      <c r="Y25" s="46"/>
      <c r="Z25" s="46"/>
      <c r="AA25" s="202"/>
      <c r="AB25" s="46"/>
      <c r="AC25" s="46"/>
      <c r="AD25" s="46"/>
      <c r="AE25" s="46">
        <v>2.8</v>
      </c>
      <c r="AF25" s="202">
        <f t="shared" si="45"/>
        <v>2.8</v>
      </c>
      <c r="AG25" s="46">
        <v>5.2</v>
      </c>
      <c r="AH25" s="75">
        <v>-0.1</v>
      </c>
      <c r="AI25" s="75">
        <v>-3.5</v>
      </c>
      <c r="AJ25" s="36">
        <v>-2.8</v>
      </c>
      <c r="AK25" s="202">
        <f t="shared" ref="AK25" si="46">SUM(AG25:AJ25)</f>
        <v>-1.1999999999999993</v>
      </c>
      <c r="AL25" s="499"/>
      <c r="AM25" s="71">
        <v>5.2</v>
      </c>
      <c r="AN25" s="75">
        <v>-0.1</v>
      </c>
      <c r="AO25" s="75">
        <v>-3.5</v>
      </c>
      <c r="AP25" s="46">
        <v>-2.8</v>
      </c>
      <c r="AQ25" s="202">
        <f t="shared" ref="AQ25" si="47">SUM(AM25:AP25)</f>
        <v>-1.1999999999999993</v>
      </c>
      <c r="AR25" s="71">
        <v>-1.7</v>
      </c>
      <c r="AS25" s="75">
        <v>-1.9</v>
      </c>
      <c r="AT25" s="75">
        <v>-1.3</v>
      </c>
      <c r="AU25" s="46">
        <v>-1.6</v>
      </c>
      <c r="AV25" s="202">
        <f>SUM(AR25:AU25)</f>
        <v>-6.5</v>
      </c>
      <c r="AW25" s="71">
        <v>-1.7</v>
      </c>
      <c r="AX25" s="75">
        <v>-1.9</v>
      </c>
      <c r="AY25" s="75">
        <v>-1.3</v>
      </c>
      <c r="AZ25" s="46">
        <v>-1.6</v>
      </c>
      <c r="BA25" s="202">
        <f>SUM(AW25:AZ25)</f>
        <v>-6.5</v>
      </c>
      <c r="BB25" s="54">
        <v>16.3</v>
      </c>
      <c r="BC25" s="75">
        <v>17.8</v>
      </c>
      <c r="BD25" s="75">
        <v>13.5</v>
      </c>
      <c r="BE25" s="46">
        <v>-45.6</v>
      </c>
      <c r="BF25" s="710">
        <f>SUM(BB25:BE25)</f>
        <v>2</v>
      </c>
      <c r="BG25" s="54">
        <v>16.5</v>
      </c>
      <c r="BH25" s="54">
        <v>25</v>
      </c>
      <c r="BI25" s="75">
        <v>22.5</v>
      </c>
      <c r="BJ25" s="75">
        <v>11.4</v>
      </c>
      <c r="BK25" s="695">
        <f>SUM(BG25:BJ25)</f>
        <v>75.400000000000006</v>
      </c>
      <c r="BL25" s="54">
        <v>14.7</v>
      </c>
      <c r="BM25" s="54">
        <v>24.2</v>
      </c>
      <c r="BN25" s="75">
        <v>23.8</v>
      </c>
      <c r="BO25" s="75">
        <f>94.5-BN25-BM25-BL25</f>
        <v>31.8</v>
      </c>
      <c r="BP25" s="847">
        <v>94.5</v>
      </c>
      <c r="BQ25" s="871">
        <v>20.3</v>
      </c>
      <c r="BR25" s="54"/>
      <c r="BS25" s="75"/>
      <c r="BT25" s="874"/>
      <c r="BU25" s="884"/>
      <c r="BV25" s="885"/>
      <c r="BX25" s="884"/>
      <c r="BY25" s="884"/>
    </row>
    <row r="26" spans="1:77" s="412" customFormat="1" ht="22.5" customHeight="1">
      <c r="A26" s="405" t="s">
        <v>72</v>
      </c>
      <c r="B26" s="406" t="s">
        <v>73</v>
      </c>
      <c r="C26" s="407">
        <f t="shared" ref="C26:AD26" si="48">C21+C22+C23+C24+C25</f>
        <v>246.30000000000004</v>
      </c>
      <c r="D26" s="407">
        <f t="shared" si="48"/>
        <v>112.89999999999996</v>
      </c>
      <c r="E26" s="407">
        <f t="shared" si="48"/>
        <v>198.20000000000005</v>
      </c>
      <c r="F26" s="407">
        <f t="shared" si="48"/>
        <v>138.20000000000019</v>
      </c>
      <c r="G26" s="408">
        <f t="shared" si="48"/>
        <v>695.59999999999911</v>
      </c>
      <c r="H26" s="409">
        <f t="shared" si="48"/>
        <v>109.27999999999996</v>
      </c>
      <c r="I26" s="407">
        <f t="shared" si="48"/>
        <v>94.09999999999998</v>
      </c>
      <c r="J26" s="407">
        <f t="shared" si="48"/>
        <v>200.79999999999998</v>
      </c>
      <c r="K26" s="407">
        <f t="shared" si="48"/>
        <v>188.69999999999993</v>
      </c>
      <c r="L26" s="408">
        <f t="shared" si="48"/>
        <v>592.88000000000034</v>
      </c>
      <c r="M26" s="409">
        <f t="shared" si="48"/>
        <v>112.59999999999977</v>
      </c>
      <c r="N26" s="407">
        <f t="shared" si="48"/>
        <v>148.7999999999999</v>
      </c>
      <c r="O26" s="407">
        <f t="shared" si="48"/>
        <v>49.299999999999685</v>
      </c>
      <c r="P26" s="407">
        <f t="shared" si="48"/>
        <v>3.5000000000007732</v>
      </c>
      <c r="Q26" s="408">
        <f t="shared" si="48"/>
        <v>314.19999999999925</v>
      </c>
      <c r="R26" s="407">
        <f t="shared" si="48"/>
        <v>196.79999999999995</v>
      </c>
      <c r="S26" s="407">
        <f t="shared" si="48"/>
        <v>350.4</v>
      </c>
      <c r="T26" s="407">
        <f t="shared" si="48"/>
        <v>613.29999999999961</v>
      </c>
      <c r="U26" s="407">
        <f t="shared" si="48"/>
        <v>171.90000000000038</v>
      </c>
      <c r="V26" s="408">
        <f t="shared" si="48"/>
        <v>1332.3999999999994</v>
      </c>
      <c r="W26" s="407">
        <f t="shared" si="48"/>
        <v>205.70000000000005</v>
      </c>
      <c r="X26" s="407">
        <f t="shared" si="48"/>
        <v>252.10000000000014</v>
      </c>
      <c r="Y26" s="410">
        <f t="shared" si="48"/>
        <v>334.90000000000038</v>
      </c>
      <c r="Z26" s="410">
        <f t="shared" si="48"/>
        <v>240.69999999999996</v>
      </c>
      <c r="AA26" s="408">
        <f t="shared" si="48"/>
        <v>1033.4000000000001</v>
      </c>
      <c r="AB26" s="407">
        <f t="shared" si="48"/>
        <v>302.20000000000033</v>
      </c>
      <c r="AC26" s="407">
        <f t="shared" si="48"/>
        <v>389.2999999999999</v>
      </c>
      <c r="AD26" s="407">
        <f t="shared" si="48"/>
        <v>289.10000000000002</v>
      </c>
      <c r="AE26" s="407">
        <f>AE21+AE22+AE23+AE24+AE25</f>
        <v>354.40000000000003</v>
      </c>
      <c r="AF26" s="408">
        <f t="shared" ref="AF26:AJ26" si="49">AF21+AF22+AF23+AF24+AF25</f>
        <v>1335.0000000000007</v>
      </c>
      <c r="AG26" s="407">
        <f t="shared" si="49"/>
        <v>393.49999999999972</v>
      </c>
      <c r="AH26" s="407">
        <f>AH21+AH22+AH23+AH24+AH25</f>
        <v>355.19999999999987</v>
      </c>
      <c r="AI26" s="407">
        <f>AI21+AI22+AI23+AI24+AI25</f>
        <v>304.30000000000007</v>
      </c>
      <c r="AJ26" s="411">
        <f t="shared" si="49"/>
        <v>304.59999999999997</v>
      </c>
      <c r="AK26" s="408">
        <f>AK21+AK22+AK23+AK24+AK25</f>
        <v>1357.5999999999997</v>
      </c>
      <c r="AL26" s="413"/>
      <c r="AM26" s="409">
        <f t="shared" ref="AM26:AO26" si="50">AM21+AM22+AM23+AM24+AM25</f>
        <v>364.7</v>
      </c>
      <c r="AN26" s="407">
        <f t="shared" si="50"/>
        <v>330.69999999999982</v>
      </c>
      <c r="AO26" s="407">
        <f t="shared" si="50"/>
        <v>303.0999999999998</v>
      </c>
      <c r="AP26" s="411">
        <f>AP21+AP22+AP23+AP24+AP25</f>
        <v>307.59999999999997</v>
      </c>
      <c r="AQ26" s="408">
        <f>AQ21+AQ22+AQ23+AQ24+AQ25</f>
        <v>1306.1000000000029</v>
      </c>
      <c r="AR26" s="409">
        <f>AR21+AR22+AR23+AR24+AR25</f>
        <v>378.80000000000024</v>
      </c>
      <c r="AS26" s="407">
        <f t="shared" ref="AS26:AU26" si="51">AS21+AS22+AS23+AS24+AS25</f>
        <v>357</v>
      </c>
      <c r="AT26" s="407">
        <f t="shared" si="51"/>
        <v>318.99999999999972</v>
      </c>
      <c r="AU26" s="407">
        <f t="shared" si="51"/>
        <v>427.30000000000092</v>
      </c>
      <c r="AV26" s="408">
        <f>AV21+AV22+AV23+AV24+AV25</f>
        <v>1482.1000000000024</v>
      </c>
      <c r="AW26" s="409">
        <f>AW21+AW22+AW23+AW25+AW24</f>
        <v>374.59999999999951</v>
      </c>
      <c r="AX26" s="407">
        <f t="shared" ref="AX26:AZ26" si="52">AX21+AX22+AX23+AX24+AX25</f>
        <v>355.39999999999975</v>
      </c>
      <c r="AY26" s="407">
        <f t="shared" si="52"/>
        <v>305.99999999999983</v>
      </c>
      <c r="AZ26" s="407">
        <f t="shared" si="52"/>
        <v>431.60000000000019</v>
      </c>
      <c r="BA26" s="408">
        <f>BA21+BA22+BA23+BA24+BA25</f>
        <v>1467.600000000001</v>
      </c>
      <c r="BB26" s="409">
        <f>BB21+BB22+BB23+BB25+BB24</f>
        <v>250.48882651999986</v>
      </c>
      <c r="BC26" s="407">
        <f t="shared" ref="BC26:BE26" si="53">BC21+BC22+BC23+BC24+BC25</f>
        <v>363.00000000000085</v>
      </c>
      <c r="BD26" s="407">
        <f t="shared" si="53"/>
        <v>426.5999999999998</v>
      </c>
      <c r="BE26" s="407">
        <f t="shared" si="53"/>
        <v>402.00000000000011</v>
      </c>
      <c r="BF26" s="694">
        <f>BF21+BF22+BF23+BF24+BF25</f>
        <v>1442.0888265199992</v>
      </c>
      <c r="BG26" s="409">
        <f>BG21+BG22+BG23+BG25+BG24</f>
        <v>498.5</v>
      </c>
      <c r="BH26" s="407">
        <f t="shared" ref="BH26:BJ26" si="54">BH21+BH22+BH23+BH24+BH25</f>
        <v>655.99999999999989</v>
      </c>
      <c r="BI26" s="407">
        <f t="shared" si="54"/>
        <v>4082.7000000000007</v>
      </c>
      <c r="BJ26" s="407">
        <f t="shared" si="54"/>
        <v>428.89999999999964</v>
      </c>
      <c r="BK26" s="694">
        <f>BK21+BK22+BK23+BK24+BK25</f>
        <v>5666.0999999999985</v>
      </c>
      <c r="BL26" s="409">
        <f>BL21+BL22+BL23+BL25+BL24</f>
        <v>265.09999999999997</v>
      </c>
      <c r="BM26" s="407">
        <f t="shared" ref="BM26:BO26" si="55">BM21+BM22+BM23+BM24+BM25</f>
        <v>324.99999999999983</v>
      </c>
      <c r="BN26" s="407">
        <f t="shared" si="55"/>
        <v>297.30000000000075</v>
      </c>
      <c r="BO26" s="407">
        <f t="shared" si="55"/>
        <v>222.89999999999895</v>
      </c>
      <c r="BP26" s="407">
        <f>BP21+BP22+BP23+BP24+BP25</f>
        <v>1110.3000000000002</v>
      </c>
      <c r="BQ26" s="407">
        <f>BQ21+BQ22+BQ23+BQ25+BQ24</f>
        <v>84.100000000000577</v>
      </c>
      <c r="BR26" s="407">
        <f t="shared" ref="BR26:BT26" si="56">BR21+BR22+BR23+BR24+BR25</f>
        <v>0</v>
      </c>
      <c r="BS26" s="407">
        <f t="shared" si="56"/>
        <v>0</v>
      </c>
      <c r="BT26" s="868">
        <f t="shared" si="56"/>
        <v>0</v>
      </c>
      <c r="BU26" s="884"/>
      <c r="BV26" s="885"/>
      <c r="BX26" s="884"/>
      <c r="BY26" s="884"/>
    </row>
    <row r="27" spans="1:77" ht="20.149999999999999" customHeight="1">
      <c r="A27" s="49" t="s">
        <v>74</v>
      </c>
      <c r="B27" s="414" t="s">
        <v>75</v>
      </c>
      <c r="C27" s="54">
        <v>-41.2</v>
      </c>
      <c r="D27" s="54">
        <v>-13.4</v>
      </c>
      <c r="E27" s="54">
        <v>-26.2</v>
      </c>
      <c r="F27" s="54">
        <v>-16.600000000000001</v>
      </c>
      <c r="G27" s="202">
        <f>SUM(C27:F27)</f>
        <v>-97.4</v>
      </c>
      <c r="H27" s="55">
        <v>-14.1</v>
      </c>
      <c r="I27" s="54">
        <v>-13.4</v>
      </c>
      <c r="J27" s="54">
        <v>-24.4</v>
      </c>
      <c r="K27" s="54">
        <v>-15.5</v>
      </c>
      <c r="L27" s="202">
        <f>SUM(H27:K27)</f>
        <v>-67.400000000000006</v>
      </c>
      <c r="M27" s="55">
        <v>-14.400000000000002</v>
      </c>
      <c r="N27" s="54">
        <v>-16.7</v>
      </c>
      <c r="O27" s="54">
        <v>-1.1000000000000001</v>
      </c>
      <c r="P27" s="54">
        <v>10.5</v>
      </c>
      <c r="Q27" s="202">
        <f>SUM(M27:P27)</f>
        <v>-21.700000000000003</v>
      </c>
      <c r="R27" s="54">
        <v>-26</v>
      </c>
      <c r="S27" s="54">
        <v>-45.9</v>
      </c>
      <c r="T27" s="54">
        <v>-110.8</v>
      </c>
      <c r="U27" s="56">
        <v>13.7</v>
      </c>
      <c r="V27" s="202">
        <v>-169</v>
      </c>
      <c r="W27" s="56">
        <v>-27.2</v>
      </c>
      <c r="X27" s="56">
        <v>-21.2</v>
      </c>
      <c r="Y27" s="36">
        <v>-65.099999999999994</v>
      </c>
      <c r="Z27" s="56">
        <v>101.1</v>
      </c>
      <c r="AA27" s="202">
        <f t="shared" si="7"/>
        <v>-12.400000000000006</v>
      </c>
      <c r="AB27" s="56">
        <v>-30.8</v>
      </c>
      <c r="AC27" s="56">
        <v>-107.6</v>
      </c>
      <c r="AD27" s="36">
        <v>-54.2</v>
      </c>
      <c r="AE27" s="56">
        <v>-197.2</v>
      </c>
      <c r="AF27" s="202">
        <f t="shared" si="8"/>
        <v>-389.8</v>
      </c>
      <c r="AG27" s="56">
        <v>-78</v>
      </c>
      <c r="AH27" s="56">
        <v>-102.1</v>
      </c>
      <c r="AI27" s="84">
        <v>-77.3</v>
      </c>
      <c r="AJ27" s="56">
        <v>-246.74845572261776</v>
      </c>
      <c r="AK27" s="202">
        <f>SUM(AG27:AJ27)</f>
        <v>-504.14845572261777</v>
      </c>
      <c r="AL27" s="499"/>
      <c r="AM27" s="102">
        <v>-72.5</v>
      </c>
      <c r="AN27" s="56">
        <v>-99.3</v>
      </c>
      <c r="AO27" s="834">
        <v>-76</v>
      </c>
      <c r="AP27" s="56">
        <v>-242.2</v>
      </c>
      <c r="AQ27" s="202">
        <f>SUM(AM27:AP27)</f>
        <v>-490</v>
      </c>
      <c r="AR27" s="102">
        <v>-78</v>
      </c>
      <c r="AS27" s="56">
        <v>-86.9</v>
      </c>
      <c r="AT27" s="56">
        <v>-72</v>
      </c>
      <c r="AU27" s="56">
        <v>-118.9</v>
      </c>
      <c r="AV27" s="202">
        <f>SUM(AR27:AU27)</f>
        <v>-355.8</v>
      </c>
      <c r="AW27" s="102">
        <v>-77.3</v>
      </c>
      <c r="AX27" s="56">
        <v>-86.5</v>
      </c>
      <c r="AY27" s="834">
        <v>-69.5</v>
      </c>
      <c r="AZ27" s="56">
        <v>-119.7</v>
      </c>
      <c r="BA27" s="202">
        <f>SUM(AW27:AZ27)</f>
        <v>-353</v>
      </c>
      <c r="BB27" s="102">
        <v>-66.7</v>
      </c>
      <c r="BC27" s="56">
        <v>-72.3</v>
      </c>
      <c r="BD27" s="834">
        <v>-81.599999999999994</v>
      </c>
      <c r="BE27" s="56">
        <v>-75.3</v>
      </c>
      <c r="BF27" s="710">
        <f>SUM(BB27:BE27)</f>
        <v>-295.89999999999998</v>
      </c>
      <c r="BG27" s="102">
        <v>-108.1</v>
      </c>
      <c r="BH27" s="54">
        <v>-114.3</v>
      </c>
      <c r="BI27" s="54">
        <v>-934</v>
      </c>
      <c r="BJ27" s="54">
        <v>-95.2</v>
      </c>
      <c r="BK27" s="695">
        <f>SUM(BG27:BJ27)</f>
        <v>-1251.6000000000001</v>
      </c>
      <c r="BL27" s="102">
        <v>-52.3</v>
      </c>
      <c r="BM27" s="54">
        <v>-42.3</v>
      </c>
      <c r="BN27" s="105">
        <v>-66.2</v>
      </c>
      <c r="BO27" s="54">
        <f>-209.2-BN27-BM27-BL27</f>
        <v>-48.400000000000006</v>
      </c>
      <c r="BP27" s="847">
        <f>SUM(BL27:BO27)</f>
        <v>-209.20000000000002</v>
      </c>
      <c r="BQ27" s="877">
        <v>-13.1</v>
      </c>
      <c r="BR27" s="54"/>
      <c r="BS27" s="105"/>
      <c r="BT27" s="876"/>
      <c r="BU27" s="884"/>
      <c r="BV27" s="885"/>
      <c r="BX27" s="884"/>
      <c r="BY27" s="884"/>
    </row>
    <row r="28" spans="1:77" s="412" customFormat="1" ht="22.5" customHeight="1">
      <c r="A28" s="405" t="s">
        <v>76</v>
      </c>
      <c r="B28" s="406" t="s">
        <v>77</v>
      </c>
      <c r="C28" s="407">
        <f t="shared" ref="C28:AA28" si="57">C26+C27</f>
        <v>205.10000000000002</v>
      </c>
      <c r="D28" s="407">
        <f t="shared" si="57"/>
        <v>99.499999999999957</v>
      </c>
      <c r="E28" s="407">
        <f t="shared" si="57"/>
        <v>172.00000000000006</v>
      </c>
      <c r="F28" s="407">
        <f t="shared" si="57"/>
        <v>121.60000000000019</v>
      </c>
      <c r="G28" s="408">
        <f>G26+G27</f>
        <v>598.19999999999914</v>
      </c>
      <c r="H28" s="409">
        <f t="shared" si="57"/>
        <v>95.179999999999964</v>
      </c>
      <c r="I28" s="407">
        <f t="shared" si="57"/>
        <v>80.699999999999974</v>
      </c>
      <c r="J28" s="407">
        <f t="shared" si="57"/>
        <v>176.39999999999998</v>
      </c>
      <c r="K28" s="407">
        <f t="shared" si="57"/>
        <v>173.19999999999993</v>
      </c>
      <c r="L28" s="408">
        <f t="shared" si="57"/>
        <v>525.48000000000036</v>
      </c>
      <c r="M28" s="409">
        <f t="shared" si="57"/>
        <v>98.199999999999761</v>
      </c>
      <c r="N28" s="407">
        <f t="shared" si="57"/>
        <v>132.09999999999991</v>
      </c>
      <c r="O28" s="407">
        <f t="shared" si="57"/>
        <v>48.199999999999683</v>
      </c>
      <c r="P28" s="407">
        <f t="shared" si="57"/>
        <v>14.000000000000773</v>
      </c>
      <c r="Q28" s="408">
        <f t="shared" si="57"/>
        <v>292.49999999999926</v>
      </c>
      <c r="R28" s="407">
        <f t="shared" si="57"/>
        <v>170.79999999999995</v>
      </c>
      <c r="S28" s="407">
        <f t="shared" si="57"/>
        <v>304.5</v>
      </c>
      <c r="T28" s="407">
        <f t="shared" si="57"/>
        <v>502.4999999999996</v>
      </c>
      <c r="U28" s="407">
        <f t="shared" si="57"/>
        <v>185.60000000000036</v>
      </c>
      <c r="V28" s="408">
        <f t="shared" si="57"/>
        <v>1163.3999999999994</v>
      </c>
      <c r="W28" s="407">
        <f t="shared" si="57"/>
        <v>178.50000000000006</v>
      </c>
      <c r="X28" s="407">
        <f t="shared" si="57"/>
        <v>230.90000000000015</v>
      </c>
      <c r="Y28" s="410">
        <f t="shared" si="57"/>
        <v>269.80000000000041</v>
      </c>
      <c r="Z28" s="410">
        <f t="shared" si="57"/>
        <v>341.79999999999995</v>
      </c>
      <c r="AA28" s="408">
        <f t="shared" si="57"/>
        <v>1021.0000000000001</v>
      </c>
      <c r="AB28" s="407">
        <f t="shared" ref="AB28:AK28" si="58">AB26+AB27</f>
        <v>271.40000000000032</v>
      </c>
      <c r="AC28" s="407">
        <f t="shared" si="58"/>
        <v>281.69999999999993</v>
      </c>
      <c r="AD28" s="407">
        <f t="shared" si="58"/>
        <v>234.90000000000003</v>
      </c>
      <c r="AE28" s="407">
        <f t="shared" si="58"/>
        <v>157.20000000000005</v>
      </c>
      <c r="AF28" s="408">
        <f t="shared" si="58"/>
        <v>945.20000000000073</v>
      </c>
      <c r="AG28" s="407">
        <f t="shared" si="58"/>
        <v>315.49999999999972</v>
      </c>
      <c r="AH28" s="407">
        <f t="shared" si="58"/>
        <v>253.09999999999988</v>
      </c>
      <c r="AI28" s="407">
        <f t="shared" si="58"/>
        <v>227.00000000000006</v>
      </c>
      <c r="AJ28" s="411">
        <f t="shared" si="58"/>
        <v>57.851544277382203</v>
      </c>
      <c r="AK28" s="408">
        <f t="shared" si="58"/>
        <v>853.45154427738191</v>
      </c>
      <c r="AL28" s="413"/>
      <c r="AM28" s="409">
        <f t="shared" ref="AM28:AU28" si="59">AM26+AM27</f>
        <v>292.2</v>
      </c>
      <c r="AN28" s="407">
        <f t="shared" si="59"/>
        <v>231.39999999999981</v>
      </c>
      <c r="AO28" s="407">
        <f t="shared" si="59"/>
        <v>227.0999999999998</v>
      </c>
      <c r="AP28" s="411">
        <f t="shared" si="59"/>
        <v>65.399999999999977</v>
      </c>
      <c r="AQ28" s="408">
        <f t="shared" si="59"/>
        <v>816.10000000000286</v>
      </c>
      <c r="AR28" s="409">
        <f>AR26+AR27</f>
        <v>300.80000000000024</v>
      </c>
      <c r="AS28" s="407">
        <f t="shared" si="59"/>
        <v>270.10000000000002</v>
      </c>
      <c r="AT28" s="407">
        <f t="shared" si="59"/>
        <v>246.99999999999972</v>
      </c>
      <c r="AU28" s="407">
        <f t="shared" si="59"/>
        <v>308.40000000000089</v>
      </c>
      <c r="AV28" s="408">
        <f t="shared" ref="AV28" si="60">AV26+AV27</f>
        <v>1126.3000000000025</v>
      </c>
      <c r="AW28" s="409">
        <f t="shared" ref="AW28:AZ28" si="61">AW26+AW27</f>
        <v>297.2999999999995</v>
      </c>
      <c r="AX28" s="407">
        <f t="shared" si="61"/>
        <v>268.89999999999975</v>
      </c>
      <c r="AY28" s="407">
        <f t="shared" si="61"/>
        <v>236.49999999999983</v>
      </c>
      <c r="AZ28" s="407">
        <f t="shared" si="61"/>
        <v>311.9000000000002</v>
      </c>
      <c r="BA28" s="408">
        <f t="shared" ref="BA28" si="62">BA26+BA27</f>
        <v>1114.600000000001</v>
      </c>
      <c r="BB28" s="409">
        <f t="shared" ref="BB28:BF28" si="63">BB26+BB27</f>
        <v>183.78882651999987</v>
      </c>
      <c r="BC28" s="407">
        <f t="shared" si="63"/>
        <v>290.70000000000084</v>
      </c>
      <c r="BD28" s="407">
        <f t="shared" si="63"/>
        <v>344.99999999999977</v>
      </c>
      <c r="BE28" s="407">
        <f t="shared" si="63"/>
        <v>326.7000000000001</v>
      </c>
      <c r="BF28" s="694">
        <f t="shared" si="63"/>
        <v>1146.1888265199991</v>
      </c>
      <c r="BG28" s="409">
        <f t="shared" ref="BG28:BK28" si="64">BG26+BG27</f>
        <v>390.4</v>
      </c>
      <c r="BH28" s="407">
        <f t="shared" si="64"/>
        <v>541.69999999999993</v>
      </c>
      <c r="BI28" s="407">
        <f t="shared" si="64"/>
        <v>3148.7000000000007</v>
      </c>
      <c r="BJ28" s="407">
        <f t="shared" si="64"/>
        <v>333.69999999999965</v>
      </c>
      <c r="BK28" s="694">
        <f t="shared" si="64"/>
        <v>4414.4999999999982</v>
      </c>
      <c r="BL28" s="409">
        <f>BL26+BL27</f>
        <v>212.79999999999995</v>
      </c>
      <c r="BM28" s="407">
        <f t="shared" ref="BM28:BP28" si="65">BM26+BM27</f>
        <v>282.69999999999982</v>
      </c>
      <c r="BN28" s="407">
        <f t="shared" si="65"/>
        <v>231.10000000000076</v>
      </c>
      <c r="BO28" s="407">
        <f t="shared" si="65"/>
        <v>174.49999999999895</v>
      </c>
      <c r="BP28" s="850">
        <f t="shared" si="65"/>
        <v>901.10000000000014</v>
      </c>
      <c r="BQ28" s="875">
        <f>BQ26+BQ27</f>
        <v>71.000000000000583</v>
      </c>
      <c r="BR28" s="407">
        <f t="shared" ref="BR28:BT28" si="66">BR26+BR27</f>
        <v>0</v>
      </c>
      <c r="BS28" s="407">
        <f t="shared" si="66"/>
        <v>0</v>
      </c>
      <c r="BT28" s="868">
        <f t="shared" si="66"/>
        <v>0</v>
      </c>
      <c r="BU28" s="884"/>
      <c r="BV28" s="885"/>
      <c r="BX28" s="884"/>
      <c r="BY28" s="884"/>
    </row>
    <row r="29" spans="1:77" ht="30" customHeight="1">
      <c r="A29" s="49" t="s">
        <v>78</v>
      </c>
      <c r="B29" s="112" t="s">
        <v>79</v>
      </c>
      <c r="C29" s="54">
        <f>C28</f>
        <v>205.10000000000002</v>
      </c>
      <c r="D29" s="54">
        <f t="shared" ref="D29:V29" si="67">D28</f>
        <v>99.499999999999957</v>
      </c>
      <c r="E29" s="54">
        <f t="shared" si="67"/>
        <v>172.00000000000006</v>
      </c>
      <c r="F29" s="54">
        <f t="shared" si="67"/>
        <v>121.60000000000019</v>
      </c>
      <c r="G29" s="202">
        <f t="shared" si="67"/>
        <v>598.19999999999914</v>
      </c>
      <c r="H29" s="55">
        <f t="shared" si="67"/>
        <v>95.179999999999964</v>
      </c>
      <c r="I29" s="54">
        <f t="shared" si="67"/>
        <v>80.699999999999974</v>
      </c>
      <c r="J29" s="54">
        <f t="shared" si="67"/>
        <v>176.39999999999998</v>
      </c>
      <c r="K29" s="54">
        <f t="shared" si="67"/>
        <v>173.19999999999993</v>
      </c>
      <c r="L29" s="202">
        <f t="shared" si="67"/>
        <v>525.48000000000036</v>
      </c>
      <c r="M29" s="55">
        <f t="shared" si="67"/>
        <v>98.199999999999761</v>
      </c>
      <c r="N29" s="54">
        <f t="shared" si="67"/>
        <v>132.09999999999991</v>
      </c>
      <c r="O29" s="54">
        <f t="shared" si="67"/>
        <v>48.199999999999683</v>
      </c>
      <c r="P29" s="54">
        <f t="shared" si="67"/>
        <v>14.000000000000773</v>
      </c>
      <c r="Q29" s="202">
        <f t="shared" si="67"/>
        <v>292.49999999999926</v>
      </c>
      <c r="R29" s="54">
        <f t="shared" si="67"/>
        <v>170.79999999999995</v>
      </c>
      <c r="S29" s="54">
        <f t="shared" si="67"/>
        <v>304.5</v>
      </c>
      <c r="T29" s="54">
        <f t="shared" si="67"/>
        <v>502.4999999999996</v>
      </c>
      <c r="U29" s="57">
        <f t="shared" si="67"/>
        <v>185.60000000000036</v>
      </c>
      <c r="V29" s="202">
        <f t="shared" si="67"/>
        <v>1163.3999999999994</v>
      </c>
      <c r="W29" s="56">
        <v>175.5</v>
      </c>
      <c r="X29" s="56">
        <v>237.7</v>
      </c>
      <c r="Y29" s="36">
        <v>278.2</v>
      </c>
      <c r="Z29" s="57">
        <v>349.9</v>
      </c>
      <c r="AA29" s="202">
        <f t="shared" si="7"/>
        <v>1041.3</v>
      </c>
      <c r="AB29" s="56">
        <v>279.39999999999998</v>
      </c>
      <c r="AC29" s="56">
        <v>291.2</v>
      </c>
      <c r="AD29" s="36">
        <v>242.9</v>
      </c>
      <c r="AE29" s="36">
        <v>167.1</v>
      </c>
      <c r="AF29" s="202">
        <f t="shared" si="8"/>
        <v>980.59999999999991</v>
      </c>
      <c r="AG29" s="54"/>
      <c r="AH29" s="56"/>
      <c r="AI29" s="84"/>
      <c r="AJ29" s="36"/>
      <c r="AK29" s="202">
        <f t="shared" ref="AK29:AK30" si="68">SUM(AG29:AJ29)</f>
        <v>0</v>
      </c>
      <c r="AL29" s="499"/>
      <c r="AM29" s="72">
        <v>300.8</v>
      </c>
      <c r="AN29" s="56">
        <v>235.8</v>
      </c>
      <c r="AO29" s="56">
        <v>226.1</v>
      </c>
      <c r="AP29" s="36">
        <v>70.900000000000006</v>
      </c>
      <c r="AQ29" s="202">
        <f t="shared" ref="AQ29:AQ30" si="69">SUM(AM29:AP29)</f>
        <v>833.6</v>
      </c>
      <c r="AR29" s="72"/>
      <c r="AS29" s="56"/>
      <c r="AT29" s="56"/>
      <c r="AU29" s="36"/>
      <c r="AV29" s="202"/>
      <c r="AW29" s="72">
        <v>291.89999999999998</v>
      </c>
      <c r="AX29" s="56">
        <v>263.60000000000002</v>
      </c>
      <c r="AY29" s="56">
        <v>231.3</v>
      </c>
      <c r="AZ29" s="36">
        <v>313.8</v>
      </c>
      <c r="BA29" s="202">
        <f t="shared" ref="BA29:BA30" si="70">SUM(AW29:AZ29)</f>
        <v>1100.5999999999999</v>
      </c>
      <c r="BB29" s="72">
        <v>182.4</v>
      </c>
      <c r="BC29" s="56">
        <v>288.39999999999998</v>
      </c>
      <c r="BD29" s="415">
        <v>345.9</v>
      </c>
      <c r="BE29" s="36">
        <v>324.89999999999998</v>
      </c>
      <c r="BF29" s="710">
        <f>SUM(BB29:BE29)</f>
        <v>1141.5999999999999</v>
      </c>
      <c r="BG29" s="72">
        <v>389.6</v>
      </c>
      <c r="BH29" s="54">
        <v>539.29999999999995</v>
      </c>
      <c r="BI29" s="50">
        <v>3142.4</v>
      </c>
      <c r="BJ29" s="36">
        <v>337.5</v>
      </c>
      <c r="BK29" s="695">
        <f>SUM(BG29:BJ29)</f>
        <v>4408.8</v>
      </c>
      <c r="BL29" s="765">
        <v>214.9</v>
      </c>
      <c r="BM29" s="765">
        <v>288.89999999999998</v>
      </c>
      <c r="BN29" s="765">
        <v>236.7</v>
      </c>
      <c r="BO29" s="765">
        <f>900-BN29-BM29-BL29</f>
        <v>159.49999999999997</v>
      </c>
      <c r="BP29" s="847">
        <f>SUM(BL29:BO29)</f>
        <v>900</v>
      </c>
      <c r="BQ29" s="877">
        <v>64.5</v>
      </c>
      <c r="BR29" s="105"/>
      <c r="BS29" s="765"/>
      <c r="BT29" s="876"/>
      <c r="BU29" s="884"/>
      <c r="BV29" s="885"/>
      <c r="BX29" s="884"/>
      <c r="BY29" s="884"/>
    </row>
    <row r="30" spans="1:77" ht="30" customHeight="1">
      <c r="A30" s="49" t="s">
        <v>80</v>
      </c>
      <c r="B30" s="112" t="s">
        <v>81</v>
      </c>
      <c r="C30" s="54"/>
      <c r="D30" s="54"/>
      <c r="E30" s="54"/>
      <c r="F30" s="54"/>
      <c r="G30" s="202"/>
      <c r="H30" s="55"/>
      <c r="I30" s="54"/>
      <c r="J30" s="54"/>
      <c r="K30" s="54"/>
      <c r="L30" s="202"/>
      <c r="M30" s="55"/>
      <c r="N30" s="54"/>
      <c r="O30" s="54"/>
      <c r="P30" s="54"/>
      <c r="Q30" s="202"/>
      <c r="R30" s="54"/>
      <c r="S30" s="54"/>
      <c r="T30" s="54"/>
      <c r="U30" s="57"/>
      <c r="V30" s="202"/>
      <c r="W30" s="56">
        <v>3</v>
      </c>
      <c r="X30" s="56">
        <v>-6.8</v>
      </c>
      <c r="Y30" s="36">
        <v>-8.4</v>
      </c>
      <c r="Z30" s="57">
        <v>-8.1</v>
      </c>
      <c r="AA30" s="202">
        <f t="shared" si="7"/>
        <v>-20.299999999999997</v>
      </c>
      <c r="AB30" s="56">
        <v>-8</v>
      </c>
      <c r="AC30" s="56">
        <v>-9.5</v>
      </c>
      <c r="AD30" s="36">
        <v>-8</v>
      </c>
      <c r="AE30" s="36">
        <v>-9.9</v>
      </c>
      <c r="AF30" s="202">
        <f t="shared" si="8"/>
        <v>-35.4</v>
      </c>
      <c r="AG30" s="54"/>
      <c r="AH30" s="56"/>
      <c r="AI30" s="84"/>
      <c r="AJ30" s="36"/>
      <c r="AK30" s="202">
        <f t="shared" si="68"/>
        <v>0</v>
      </c>
      <c r="AL30" s="499"/>
      <c r="AM30" s="72">
        <v>-8.6</v>
      </c>
      <c r="AN30" s="56">
        <v>-4.4000000000000004</v>
      </c>
      <c r="AO30" s="56">
        <v>1</v>
      </c>
      <c r="AP30" s="36">
        <v>-5.5</v>
      </c>
      <c r="AQ30" s="202">
        <f t="shared" si="69"/>
        <v>-17.5</v>
      </c>
      <c r="AR30" s="72"/>
      <c r="AS30" s="56"/>
      <c r="AT30" s="56"/>
      <c r="AU30" s="36"/>
      <c r="AV30" s="202"/>
      <c r="AW30" s="72">
        <v>5.4</v>
      </c>
      <c r="AX30" s="56">
        <v>5.3</v>
      </c>
      <c r="AY30" s="56">
        <v>5.2</v>
      </c>
      <c r="AZ30" s="36">
        <v>-1.9</v>
      </c>
      <c r="BA30" s="202">
        <f t="shared" si="70"/>
        <v>13.999999999999998</v>
      </c>
      <c r="BB30" s="72">
        <v>1.4</v>
      </c>
      <c r="BC30" s="56">
        <v>2.2999999999999998</v>
      </c>
      <c r="BD30" s="56">
        <v>-0.9</v>
      </c>
      <c r="BE30" s="36">
        <v>1.8</v>
      </c>
      <c r="BF30" s="710">
        <f t="shared" ref="BF30" si="71">SUM(BB30:BE30)</f>
        <v>4.5999999999999996</v>
      </c>
      <c r="BG30" s="72">
        <v>0.8</v>
      </c>
      <c r="BH30" s="54">
        <v>2.4</v>
      </c>
      <c r="BI30" s="56">
        <v>6.3</v>
      </c>
      <c r="BJ30" s="36">
        <v>-3.8</v>
      </c>
      <c r="BK30" s="695">
        <f t="shared" ref="BK30" si="72">SUM(BG30:BJ30)</f>
        <v>5.7</v>
      </c>
      <c r="BL30" s="72">
        <v>-2.1</v>
      </c>
      <c r="BM30" s="105">
        <v>-6.2</v>
      </c>
      <c r="BN30" s="107">
        <v>-5.6</v>
      </c>
      <c r="BO30" s="54">
        <f>1.1-BN30-BM30-BL30</f>
        <v>14.999999999999998</v>
      </c>
      <c r="BP30" s="847">
        <f t="shared" ref="BP30" si="73">SUM(BL30:BO30)</f>
        <v>1.0999999999999979</v>
      </c>
      <c r="BQ30" s="877">
        <v>6.5</v>
      </c>
      <c r="BR30" s="105"/>
      <c r="BS30" s="107"/>
      <c r="BT30" s="876"/>
      <c r="BU30" s="884"/>
      <c r="BV30" s="885"/>
      <c r="BX30" s="884"/>
      <c r="BY30" s="884"/>
    </row>
    <row r="31" spans="1:77" s="53" customFormat="1" ht="20.149999999999999" customHeight="1">
      <c r="A31" s="58" t="s">
        <v>82</v>
      </c>
      <c r="B31" s="117" t="s">
        <v>83</v>
      </c>
      <c r="C31" s="59">
        <f t="shared" ref="C31:M31" si="74">ROUND(C28/348.352836,2)</f>
        <v>0.59</v>
      </c>
      <c r="D31" s="59">
        <f t="shared" si="74"/>
        <v>0.28999999999999998</v>
      </c>
      <c r="E31" s="59">
        <f t="shared" si="74"/>
        <v>0.49</v>
      </c>
      <c r="F31" s="59">
        <f t="shared" si="74"/>
        <v>0.35</v>
      </c>
      <c r="G31" s="203">
        <f t="shared" si="74"/>
        <v>1.72</v>
      </c>
      <c r="H31" s="60">
        <f t="shared" si="74"/>
        <v>0.27</v>
      </c>
      <c r="I31" s="59">
        <f t="shared" si="74"/>
        <v>0.23</v>
      </c>
      <c r="J31" s="59">
        <f t="shared" si="74"/>
        <v>0.51</v>
      </c>
      <c r="K31" s="59">
        <f t="shared" si="74"/>
        <v>0.5</v>
      </c>
      <c r="L31" s="203">
        <f t="shared" si="74"/>
        <v>1.51</v>
      </c>
      <c r="M31" s="61">
        <f t="shared" si="74"/>
        <v>0.28000000000000003</v>
      </c>
      <c r="N31" s="59">
        <f>ROUND(N28/524.348714,2)</f>
        <v>0.25</v>
      </c>
      <c r="O31" s="59">
        <f>ROUND(O28/639.546016,2)</f>
        <v>0.08</v>
      </c>
      <c r="P31" s="59">
        <f>ROUND(P28/639.546016,2)</f>
        <v>0.02</v>
      </c>
      <c r="Q31" s="203">
        <f>ROUND(Q28/539.024535,2)</f>
        <v>0.54</v>
      </c>
      <c r="R31" s="59">
        <f t="shared" ref="R31:AA31" si="75">ROUND(R28/639.546016,2)</f>
        <v>0.27</v>
      </c>
      <c r="S31" s="59">
        <f t="shared" si="75"/>
        <v>0.48</v>
      </c>
      <c r="T31" s="59">
        <f t="shared" si="75"/>
        <v>0.79</v>
      </c>
      <c r="U31" s="62">
        <f t="shared" si="75"/>
        <v>0.28999999999999998</v>
      </c>
      <c r="V31" s="203">
        <f t="shared" si="75"/>
        <v>1.82</v>
      </c>
      <c r="W31" s="63">
        <f t="shared" si="75"/>
        <v>0.28000000000000003</v>
      </c>
      <c r="X31" s="63">
        <f>ROUNDUP(X28/639.546016,2)</f>
        <v>0.37</v>
      </c>
      <c r="Y31" s="37">
        <f t="shared" si="75"/>
        <v>0.42</v>
      </c>
      <c r="Z31" s="37">
        <f>ROUNDUP(Z28/639.546016,2)</f>
        <v>0.54</v>
      </c>
      <c r="AA31" s="203">
        <f t="shared" si="75"/>
        <v>1.6</v>
      </c>
      <c r="AB31" s="63">
        <f t="shared" ref="AB31:AK31" si="76">ROUND(AB28/639.546016,2)</f>
        <v>0.42</v>
      </c>
      <c r="AC31" s="63">
        <f t="shared" si="76"/>
        <v>0.44</v>
      </c>
      <c r="AD31" s="63">
        <f t="shared" si="76"/>
        <v>0.37</v>
      </c>
      <c r="AE31" s="63">
        <f t="shared" si="76"/>
        <v>0.25</v>
      </c>
      <c r="AF31" s="203">
        <f t="shared" si="76"/>
        <v>1.48</v>
      </c>
      <c r="AG31" s="63">
        <f t="shared" si="76"/>
        <v>0.49</v>
      </c>
      <c r="AH31" s="63">
        <f t="shared" si="76"/>
        <v>0.4</v>
      </c>
      <c r="AI31" s="63">
        <f t="shared" si="76"/>
        <v>0.35</v>
      </c>
      <c r="AJ31" s="96">
        <f t="shared" si="76"/>
        <v>0.09</v>
      </c>
      <c r="AK31" s="203">
        <f t="shared" si="76"/>
        <v>1.33</v>
      </c>
      <c r="AL31" s="503"/>
      <c r="AM31" s="73">
        <f t="shared" ref="AM31:AQ31" si="77">ROUND(AM28/639.546016,2)</f>
        <v>0.46</v>
      </c>
      <c r="AN31" s="63">
        <f t="shared" si="77"/>
        <v>0.36</v>
      </c>
      <c r="AO31" s="63">
        <v>0.35</v>
      </c>
      <c r="AP31" s="96">
        <v>0.11</v>
      </c>
      <c r="AQ31" s="203">
        <f t="shared" si="77"/>
        <v>1.28</v>
      </c>
      <c r="AR31" s="73"/>
      <c r="AS31" s="63"/>
      <c r="AT31" s="63"/>
      <c r="AU31" s="96"/>
      <c r="AV31" s="203"/>
      <c r="AW31" s="73">
        <f>ROUND(AW28/639.546016,2)</f>
        <v>0.46</v>
      </c>
      <c r="AX31" s="63">
        <v>0.43</v>
      </c>
      <c r="AY31" s="63">
        <v>0.37</v>
      </c>
      <c r="AZ31" s="96">
        <v>0.48</v>
      </c>
      <c r="BA31" s="203">
        <f t="shared" ref="BA31" si="78">ROUND(BA28/639.546016,2)</f>
        <v>1.74</v>
      </c>
      <c r="BB31" s="73">
        <f>ROUND(BB28/639.546016,2)</f>
        <v>0.28999999999999998</v>
      </c>
      <c r="BC31" s="96">
        <f t="shared" ref="BC31:BE31" si="79">ROUND(BC28/639.546016,2)</f>
        <v>0.45</v>
      </c>
      <c r="BD31" s="96">
        <f t="shared" si="79"/>
        <v>0.54</v>
      </c>
      <c r="BE31" s="96">
        <f t="shared" si="79"/>
        <v>0.51</v>
      </c>
      <c r="BF31" s="710">
        <f t="shared" ref="BF31" si="80">ROUND(BF28/639.546016,2)</f>
        <v>1.79</v>
      </c>
      <c r="BG31" s="73">
        <f>ROUND(BG28/639.546016,2)</f>
        <v>0.61</v>
      </c>
      <c r="BH31" s="96">
        <f t="shared" ref="BH31" si="81">ROUND(BH28/639.546016,2)</f>
        <v>0.85</v>
      </c>
      <c r="BI31" s="96">
        <f>ROUNDDOWN(BI28/639.546016,2)</f>
        <v>4.92</v>
      </c>
      <c r="BJ31" s="96">
        <f>BJ28/621.258207</f>
        <v>0.53713576133087548</v>
      </c>
      <c r="BK31" s="693">
        <f>BK28/634.936486</f>
        <v>6.9526639236164458</v>
      </c>
      <c r="BL31" s="96">
        <f>BL28/568.37189</f>
        <v>0.37440275239509108</v>
      </c>
      <c r="BM31" s="766">
        <f>BM28/561.525804</f>
        <v>0.50344970433451319</v>
      </c>
      <c r="BN31" s="778">
        <f>BN28/550.703531</f>
        <v>0.41964503038568818</v>
      </c>
      <c r="BO31" s="778">
        <f>BP31-BL31-BM31-BN31</f>
        <v>0.32250251288470771</v>
      </c>
      <c r="BP31" s="851">
        <v>1.62</v>
      </c>
      <c r="BQ31" s="897">
        <f>ROUNDUP(BQ28/568.37189,2)</f>
        <v>0.13</v>
      </c>
      <c r="BR31" s="766"/>
      <c r="BS31" s="778"/>
      <c r="BT31" s="878"/>
      <c r="BU31" s="884"/>
      <c r="BV31" s="885"/>
      <c r="BX31" s="886"/>
      <c r="BY31" s="886"/>
    </row>
    <row r="32" spans="1:77" s="412" customFormat="1" ht="22.5" customHeight="1">
      <c r="A32" s="405" t="s">
        <v>84</v>
      </c>
      <c r="B32" s="406" t="s">
        <v>84</v>
      </c>
      <c r="C32" s="407">
        <f t="shared" ref="C32:AK32" si="82">C21-C12</f>
        <v>257.40000000000003</v>
      </c>
      <c r="D32" s="407">
        <f t="shared" si="82"/>
        <v>269.7</v>
      </c>
      <c r="E32" s="407">
        <f t="shared" si="82"/>
        <v>257.8</v>
      </c>
      <c r="F32" s="407">
        <f t="shared" si="82"/>
        <v>247.20000000000016</v>
      </c>
      <c r="G32" s="408">
        <f t="shared" si="82"/>
        <v>1032.0999999999992</v>
      </c>
      <c r="H32" s="409">
        <f t="shared" si="82"/>
        <v>245.37999999999994</v>
      </c>
      <c r="I32" s="407">
        <f t="shared" si="82"/>
        <v>257.3</v>
      </c>
      <c r="J32" s="407">
        <f t="shared" si="82"/>
        <v>268.2</v>
      </c>
      <c r="K32" s="407">
        <f t="shared" si="82"/>
        <v>275.39999999999998</v>
      </c>
      <c r="L32" s="408">
        <f t="shared" si="82"/>
        <v>1046.2800000000002</v>
      </c>
      <c r="M32" s="409">
        <f t="shared" si="82"/>
        <v>281.99999999999977</v>
      </c>
      <c r="N32" s="407">
        <f t="shared" si="82"/>
        <v>708.89999999999986</v>
      </c>
      <c r="O32" s="407">
        <f t="shared" si="82"/>
        <v>910.09999999999968</v>
      </c>
      <c r="P32" s="407">
        <f t="shared" si="82"/>
        <v>837.30000000000075</v>
      </c>
      <c r="Q32" s="408">
        <f t="shared" si="82"/>
        <v>2738.2999999999993</v>
      </c>
      <c r="R32" s="407">
        <f t="shared" si="82"/>
        <v>896.59999999999991</v>
      </c>
      <c r="S32" s="407">
        <f t="shared" si="82"/>
        <v>977</v>
      </c>
      <c r="T32" s="407">
        <f t="shared" si="82"/>
        <v>930.39999999999964</v>
      </c>
      <c r="U32" s="407">
        <f t="shared" si="82"/>
        <v>881.10000000000036</v>
      </c>
      <c r="V32" s="408">
        <f t="shared" si="82"/>
        <v>3685.0999999999995</v>
      </c>
      <c r="W32" s="407">
        <f t="shared" si="82"/>
        <v>846.5</v>
      </c>
      <c r="X32" s="407">
        <f t="shared" si="82"/>
        <v>935.00000000000011</v>
      </c>
      <c r="Y32" s="410">
        <f t="shared" si="82"/>
        <v>957.00000000000034</v>
      </c>
      <c r="Z32" s="410">
        <f t="shared" si="82"/>
        <v>902.3</v>
      </c>
      <c r="AA32" s="408">
        <f t="shared" si="82"/>
        <v>3640.8</v>
      </c>
      <c r="AB32" s="407">
        <f t="shared" si="82"/>
        <v>929.50000000000034</v>
      </c>
      <c r="AC32" s="407">
        <f t="shared" si="82"/>
        <v>963.69999999999982</v>
      </c>
      <c r="AD32" s="407">
        <f t="shared" si="82"/>
        <v>851.1</v>
      </c>
      <c r="AE32" s="407">
        <f t="shared" si="82"/>
        <v>872.7</v>
      </c>
      <c r="AF32" s="408">
        <f t="shared" si="82"/>
        <v>3617.0000000000009</v>
      </c>
      <c r="AG32" s="407">
        <f t="shared" si="82"/>
        <v>918.79999999999973</v>
      </c>
      <c r="AH32" s="407">
        <f t="shared" si="82"/>
        <v>927.59999999999991</v>
      </c>
      <c r="AI32" s="407">
        <f t="shared" si="82"/>
        <v>848.50000000000011</v>
      </c>
      <c r="AJ32" s="411">
        <f t="shared" si="82"/>
        <v>846.6</v>
      </c>
      <c r="AK32" s="408">
        <f t="shared" si="82"/>
        <v>3541.4999999999995</v>
      </c>
      <c r="AL32" s="413"/>
      <c r="AM32" s="409">
        <f t="shared" ref="AM32:BO32" si="83">AM21-AM12</f>
        <v>890</v>
      </c>
      <c r="AN32" s="407">
        <f t="shared" si="83"/>
        <v>946.39999999999986</v>
      </c>
      <c r="AO32" s="407">
        <f t="shared" si="83"/>
        <v>919.99999999999977</v>
      </c>
      <c r="AP32" s="411">
        <f t="shared" si="83"/>
        <v>941.3</v>
      </c>
      <c r="AQ32" s="408">
        <f t="shared" si="83"/>
        <v>3697.700000000003</v>
      </c>
      <c r="AR32" s="409">
        <f t="shared" si="83"/>
        <v>922.00000000000023</v>
      </c>
      <c r="AS32" s="407">
        <f t="shared" si="83"/>
        <v>959.9</v>
      </c>
      <c r="AT32" s="407">
        <f t="shared" si="83"/>
        <v>901.1999999999997</v>
      </c>
      <c r="AU32" s="407">
        <f t="shared" si="83"/>
        <v>938.20000000000095</v>
      </c>
      <c r="AV32" s="408">
        <f t="shared" si="83"/>
        <v>3721.3000000000029</v>
      </c>
      <c r="AW32" s="409">
        <f t="shared" si="83"/>
        <v>1038.2999999999995</v>
      </c>
      <c r="AX32" s="407">
        <f t="shared" si="83"/>
        <v>1076.0999999999999</v>
      </c>
      <c r="AY32" s="407">
        <f t="shared" si="83"/>
        <v>1020.4999999999999</v>
      </c>
      <c r="AZ32" s="407">
        <f t="shared" si="83"/>
        <v>1061.8000000000002</v>
      </c>
      <c r="BA32" s="408">
        <f t="shared" si="83"/>
        <v>4196.7000000000007</v>
      </c>
      <c r="BB32" s="409">
        <f t="shared" si="83"/>
        <v>1026.6888265199998</v>
      </c>
      <c r="BC32" s="407">
        <f t="shared" si="83"/>
        <v>960.0000000000008</v>
      </c>
      <c r="BD32" s="407">
        <f t="shared" si="83"/>
        <v>1078.8999999999999</v>
      </c>
      <c r="BE32" s="407">
        <f t="shared" si="83"/>
        <v>1126.3000000000002</v>
      </c>
      <c r="BF32" s="694">
        <f t="shared" si="83"/>
        <v>4191.8888265199985</v>
      </c>
      <c r="BG32" s="409">
        <f t="shared" si="83"/>
        <v>1082.7</v>
      </c>
      <c r="BH32" s="407">
        <f t="shared" si="83"/>
        <v>1140.8999999999999</v>
      </c>
      <c r="BI32" s="407">
        <f t="shared" si="83"/>
        <v>4595.0000000000009</v>
      </c>
      <c r="BJ32" s="407">
        <f t="shared" si="83"/>
        <v>880.99999999999966</v>
      </c>
      <c r="BK32" s="694">
        <f t="shared" si="83"/>
        <v>7699.5999999999985</v>
      </c>
      <c r="BL32" s="409">
        <f t="shared" si="83"/>
        <v>766.6</v>
      </c>
      <c r="BM32" s="407">
        <f t="shared" si="83"/>
        <v>893.29999999999984</v>
      </c>
      <c r="BN32" s="407">
        <f t="shared" si="83"/>
        <v>953.0000000000008</v>
      </c>
      <c r="BO32" s="407">
        <f t="shared" si="83"/>
        <v>858.29999999999905</v>
      </c>
      <c r="BP32" s="850">
        <f>BP21-BP12</f>
        <v>3471.2000000000003</v>
      </c>
      <c r="BQ32" s="875">
        <f t="shared" ref="BQ32:BT32" si="84">BQ21-BQ12</f>
        <v>761.2000000000005</v>
      </c>
      <c r="BR32" s="407">
        <f t="shared" si="84"/>
        <v>0</v>
      </c>
      <c r="BS32" s="407">
        <f t="shared" si="84"/>
        <v>0</v>
      </c>
      <c r="BT32" s="868">
        <f t="shared" si="84"/>
        <v>0</v>
      </c>
      <c r="BU32" s="884"/>
      <c r="BV32" s="885"/>
      <c r="BX32" s="884"/>
      <c r="BY32" s="884"/>
    </row>
    <row r="33" spans="1:16356" s="412" customFormat="1" ht="22.5" customHeight="1">
      <c r="A33" s="835" t="s">
        <v>85</v>
      </c>
      <c r="B33" s="836" t="s">
        <v>86</v>
      </c>
      <c r="C33" s="837">
        <f t="shared" ref="C33:AK33" si="85">C32/C5</f>
        <v>0.38463837417812313</v>
      </c>
      <c r="D33" s="837">
        <f t="shared" si="85"/>
        <v>0.377836929111796</v>
      </c>
      <c r="E33" s="837">
        <f t="shared" si="85"/>
        <v>0.4</v>
      </c>
      <c r="F33" s="837">
        <f t="shared" si="85"/>
        <v>0.32933653077537983</v>
      </c>
      <c r="G33" s="838">
        <f t="shared" si="85"/>
        <v>0.37151290450307745</v>
      </c>
      <c r="H33" s="839">
        <f t="shared" si="85"/>
        <v>0.35200114761153339</v>
      </c>
      <c r="I33" s="837">
        <f t="shared" si="85"/>
        <v>0.34963989672509854</v>
      </c>
      <c r="J33" s="837">
        <f t="shared" si="85"/>
        <v>0.39598405433338257</v>
      </c>
      <c r="K33" s="837">
        <f t="shared" si="85"/>
        <v>0.34403497813866329</v>
      </c>
      <c r="L33" s="838">
        <f t="shared" si="85"/>
        <v>0.35944757454995196</v>
      </c>
      <c r="M33" s="839">
        <f t="shared" si="85"/>
        <v>0.38987971795935272</v>
      </c>
      <c r="N33" s="837">
        <f t="shared" si="85"/>
        <v>0.40603700097370976</v>
      </c>
      <c r="O33" s="837">
        <f t="shared" si="85"/>
        <v>0.37613655149611497</v>
      </c>
      <c r="P33" s="837">
        <f t="shared" si="85"/>
        <v>0.33211693308476481</v>
      </c>
      <c r="Q33" s="838">
        <f t="shared" si="85"/>
        <v>0.36954614772129168</v>
      </c>
      <c r="R33" s="837">
        <f t="shared" si="85"/>
        <v>0.38497209102619145</v>
      </c>
      <c r="S33" s="837">
        <f t="shared" si="85"/>
        <v>0.39567471245747615</v>
      </c>
      <c r="T33" s="837">
        <f t="shared" si="85"/>
        <v>0.3852747525777464</v>
      </c>
      <c r="U33" s="837">
        <f t="shared" si="85"/>
        <v>0.33759914172956829</v>
      </c>
      <c r="V33" s="838">
        <f t="shared" si="85"/>
        <v>0.37515015779293487</v>
      </c>
      <c r="W33" s="837">
        <f t="shared" si="85"/>
        <v>0.35807952622673433</v>
      </c>
      <c r="X33" s="837">
        <f t="shared" si="85"/>
        <v>0.3827418232428671</v>
      </c>
      <c r="Y33" s="840">
        <f t="shared" si="85"/>
        <v>0.4007873356227491</v>
      </c>
      <c r="Z33" s="840">
        <f t="shared" si="85"/>
        <v>0.35592284328034396</v>
      </c>
      <c r="AA33" s="838">
        <f t="shared" si="85"/>
        <v>0.37419063084544396</v>
      </c>
      <c r="AB33" s="837">
        <f t="shared" si="85"/>
        <v>0.38914008205643491</v>
      </c>
      <c r="AC33" s="837">
        <f t="shared" si="85"/>
        <v>0.39017773998947319</v>
      </c>
      <c r="AD33" s="837">
        <f t="shared" si="85"/>
        <v>0.35597473754653058</v>
      </c>
      <c r="AE33" s="837">
        <f t="shared" si="85"/>
        <v>0.33836073200992561</v>
      </c>
      <c r="AF33" s="838">
        <f t="shared" si="85"/>
        <v>0.36800765114054906</v>
      </c>
      <c r="AG33" s="837">
        <f t="shared" si="85"/>
        <v>0.3892065912653026</v>
      </c>
      <c r="AH33" s="837">
        <f t="shared" si="85"/>
        <v>0.37450038354394599</v>
      </c>
      <c r="AI33" s="837">
        <f t="shared" si="85"/>
        <v>0.34840272645150699</v>
      </c>
      <c r="AJ33" s="837">
        <f t="shared" si="85"/>
        <v>0.3156599552572707</v>
      </c>
      <c r="AK33" s="838">
        <f t="shared" si="85"/>
        <v>0.35575087895529878</v>
      </c>
      <c r="AL33" s="479"/>
      <c r="AM33" s="839">
        <f t="shared" ref="AM33:BP33" si="86">AM32/AM5</f>
        <v>0.37938531054179631</v>
      </c>
      <c r="AN33" s="837">
        <f t="shared" si="86"/>
        <v>0.36355255070682235</v>
      </c>
      <c r="AO33" s="837">
        <f t="shared" si="86"/>
        <v>0.33638025594149901</v>
      </c>
      <c r="AP33" s="837">
        <f t="shared" si="86"/>
        <v>0.31355762824783479</v>
      </c>
      <c r="AQ33" s="838">
        <f t="shared" si="86"/>
        <v>0.3460289535003418</v>
      </c>
      <c r="AR33" s="839">
        <f t="shared" si="86"/>
        <v>0.33136860264519846</v>
      </c>
      <c r="AS33" s="837">
        <f t="shared" si="86"/>
        <v>0.32952282869893579</v>
      </c>
      <c r="AT33" s="837">
        <f t="shared" si="86"/>
        <v>0.31266696735246147</v>
      </c>
      <c r="AU33" s="837">
        <f t="shared" si="86"/>
        <v>0.30670153644982046</v>
      </c>
      <c r="AV33" s="838">
        <f t="shared" si="86"/>
        <v>0.31978997482104055</v>
      </c>
      <c r="AW33" s="839">
        <f t="shared" si="86"/>
        <v>0.37193724029230529</v>
      </c>
      <c r="AX33" s="837">
        <f t="shared" si="86"/>
        <v>0.36814916182004787</v>
      </c>
      <c r="AY33" s="837">
        <f t="shared" si="86"/>
        <v>0.35282118655787575</v>
      </c>
      <c r="AZ33" s="837">
        <f t="shared" si="86"/>
        <v>0.34596461503372328</v>
      </c>
      <c r="BA33" s="838">
        <f t="shared" si="86"/>
        <v>0.35942652084171944</v>
      </c>
      <c r="BB33" s="839">
        <f t="shared" si="86"/>
        <v>0.36043139424960502</v>
      </c>
      <c r="BC33" s="837">
        <f t="shared" si="86"/>
        <v>0.33534774862891703</v>
      </c>
      <c r="BD33" s="837">
        <f t="shared" si="86"/>
        <v>0.35921425004161806</v>
      </c>
      <c r="BE33" s="837">
        <f t="shared" si="86"/>
        <v>0.34674589003140205</v>
      </c>
      <c r="BF33" s="841">
        <f t="shared" si="86"/>
        <v>0.35040741179145513</v>
      </c>
      <c r="BG33" s="839">
        <f t="shared" si="86"/>
        <v>0.36242217312713398</v>
      </c>
      <c r="BH33" s="837">
        <f t="shared" si="86"/>
        <v>0.3610785834098173</v>
      </c>
      <c r="BI33" s="837">
        <f t="shared" si="86"/>
        <v>1.5155513044625486</v>
      </c>
      <c r="BJ33" s="837">
        <f t="shared" si="86"/>
        <v>0.2698315467075037</v>
      </c>
      <c r="BK33" s="841">
        <f t="shared" si="86"/>
        <v>0.61873995499839274</v>
      </c>
      <c r="BL33" s="839">
        <f t="shared" si="86"/>
        <v>0.25667124250845413</v>
      </c>
      <c r="BM33" s="837">
        <f t="shared" si="86"/>
        <v>0.27672624763792941</v>
      </c>
      <c r="BN33" s="837">
        <f t="shared" si="86"/>
        <v>0.29135711883579463</v>
      </c>
      <c r="BO33" s="837">
        <f t="shared" si="86"/>
        <v>0.2502624212736177</v>
      </c>
      <c r="BP33" s="852">
        <f t="shared" si="86"/>
        <v>0.2687665017459912</v>
      </c>
      <c r="BQ33" s="879">
        <f t="shared" ref="BQ33:BT33" si="87">BQ32/BQ5</f>
        <v>0.23792704654143107</v>
      </c>
      <c r="BR33" s="837" t="e">
        <f t="shared" si="87"/>
        <v>#DIV/0!</v>
      </c>
      <c r="BS33" s="837" t="e">
        <f t="shared" si="87"/>
        <v>#DIV/0!</v>
      </c>
      <c r="BT33" s="880" t="e">
        <f t="shared" si="87"/>
        <v>#DIV/0!</v>
      </c>
      <c r="BU33" s="884"/>
      <c r="BV33" s="885"/>
      <c r="BX33" s="884"/>
      <c r="BY33" s="884"/>
    </row>
    <row r="34" spans="1:16356" s="53" customFormat="1" ht="20.149999999999999" customHeight="1">
      <c r="A34" s="49" t="s">
        <v>87</v>
      </c>
      <c r="B34" s="134" t="s">
        <v>88</v>
      </c>
      <c r="C34" s="131"/>
      <c r="D34" s="131"/>
      <c r="E34" s="131"/>
      <c r="F34" s="131"/>
      <c r="G34" s="203"/>
      <c r="H34" s="132"/>
      <c r="I34" s="131"/>
      <c r="J34" s="131"/>
      <c r="K34" s="131"/>
      <c r="L34" s="203"/>
      <c r="M34" s="132"/>
      <c r="N34" s="131"/>
      <c r="O34" s="131"/>
      <c r="P34" s="131"/>
      <c r="Q34" s="203"/>
      <c r="R34" s="131"/>
      <c r="S34" s="131"/>
      <c r="T34" s="131"/>
      <c r="U34" s="131"/>
      <c r="V34" s="203"/>
      <c r="W34" s="131"/>
      <c r="X34" s="131"/>
      <c r="Y34" s="133"/>
      <c r="Z34" s="133"/>
      <c r="AA34" s="203"/>
      <c r="AB34" s="131"/>
      <c r="AC34" s="131"/>
      <c r="AD34" s="131"/>
      <c r="AE34" s="131"/>
      <c r="AF34" s="203"/>
      <c r="AG34" s="131"/>
      <c r="AH34" s="131"/>
      <c r="AI34" s="131"/>
      <c r="AJ34" s="133"/>
      <c r="AK34" s="203"/>
      <c r="AL34" s="480"/>
      <c r="AM34" s="132"/>
      <c r="AN34" s="131"/>
      <c r="AO34" s="131"/>
      <c r="AP34" s="133"/>
      <c r="AQ34" s="203"/>
      <c r="AR34" s="132"/>
      <c r="AS34" s="131"/>
      <c r="AT34" s="131"/>
      <c r="AU34" s="131"/>
      <c r="AV34" s="203"/>
      <c r="AW34" s="132"/>
      <c r="AX34" s="131"/>
      <c r="AY34" s="131"/>
      <c r="AZ34" s="131"/>
      <c r="BA34" s="203"/>
      <c r="BB34" s="132"/>
      <c r="BC34" s="56">
        <v>-41.5</v>
      </c>
      <c r="BD34" s="56">
        <v>-3.3</v>
      </c>
      <c r="BE34" s="56">
        <v>-1.1000000000000001</v>
      </c>
      <c r="BF34" s="710">
        <f>SUM(BB34:BE34)</f>
        <v>-45.9</v>
      </c>
      <c r="BG34" s="691"/>
      <c r="BH34" s="107"/>
      <c r="BI34" s="107"/>
      <c r="BJ34" s="107"/>
      <c r="BK34" s="695">
        <f>SUM(BG34:BJ34)</f>
        <v>0</v>
      </c>
      <c r="BL34" s="46">
        <v>0</v>
      </c>
      <c r="BM34" s="46">
        <v>0</v>
      </c>
      <c r="BN34" s="46">
        <v>0</v>
      </c>
      <c r="BO34" s="56"/>
      <c r="BP34" s="845">
        <f>SUM(BL34:BO34)</f>
        <v>0</v>
      </c>
      <c r="BQ34" s="872"/>
      <c r="BR34" s="46"/>
      <c r="BS34" s="46"/>
      <c r="BT34" s="881"/>
      <c r="BU34" s="884"/>
      <c r="BV34" s="885"/>
      <c r="BX34" s="884"/>
      <c r="BY34" s="884"/>
    </row>
    <row r="35" spans="1:16356" s="53" customFormat="1" ht="20.149999999999999" customHeight="1">
      <c r="A35" s="49" t="s">
        <v>89</v>
      </c>
      <c r="B35" s="134" t="s">
        <v>90</v>
      </c>
      <c r="C35" s="131"/>
      <c r="D35" s="131"/>
      <c r="E35" s="131"/>
      <c r="F35" s="131"/>
      <c r="G35" s="203"/>
      <c r="H35" s="132"/>
      <c r="I35" s="131"/>
      <c r="J35" s="131"/>
      <c r="K35" s="131"/>
      <c r="L35" s="203"/>
      <c r="M35" s="132"/>
      <c r="N35" s="131"/>
      <c r="O35" s="131"/>
      <c r="P35" s="131"/>
      <c r="Q35" s="203"/>
      <c r="R35" s="131"/>
      <c r="S35" s="131"/>
      <c r="T35" s="131"/>
      <c r="U35" s="131"/>
      <c r="V35" s="203"/>
      <c r="W35" s="131"/>
      <c r="X35" s="131"/>
      <c r="Y35" s="133"/>
      <c r="Z35" s="133"/>
      <c r="AA35" s="203"/>
      <c r="AB35" s="131"/>
      <c r="AC35" s="131"/>
      <c r="AD35" s="131"/>
      <c r="AE35" s="131"/>
      <c r="AF35" s="203"/>
      <c r="AG35" s="131"/>
      <c r="AH35" s="131"/>
      <c r="AI35" s="131"/>
      <c r="AJ35" s="133"/>
      <c r="AK35" s="203"/>
      <c r="AL35" s="480"/>
      <c r="AM35" s="132"/>
      <c r="AN35" s="131"/>
      <c r="AO35" s="131"/>
      <c r="AP35" s="133"/>
      <c r="AQ35" s="203"/>
      <c r="AR35" s="132"/>
      <c r="AS35" s="131"/>
      <c r="AT35" s="131"/>
      <c r="AU35" s="131"/>
      <c r="AV35" s="203"/>
      <c r="AW35" s="132"/>
      <c r="AX35" s="131"/>
      <c r="AY35" s="131"/>
      <c r="AZ35" s="131"/>
      <c r="BA35" s="203"/>
      <c r="BB35" s="132"/>
      <c r="BC35" s="56"/>
      <c r="BD35" s="56"/>
      <c r="BE35" s="56"/>
      <c r="BF35" s="710"/>
      <c r="BG35" s="691"/>
      <c r="BH35" s="107"/>
      <c r="BI35" s="107"/>
      <c r="BJ35" s="107"/>
      <c r="BK35" s="695"/>
      <c r="BL35" s="56">
        <v>-34.1</v>
      </c>
      <c r="BM35" s="46">
        <v>0</v>
      </c>
      <c r="BN35" s="46">
        <v>0</v>
      </c>
      <c r="BO35" s="56"/>
      <c r="BP35" s="845">
        <f>SUM(BL35:BO35)</f>
        <v>-34.1</v>
      </c>
      <c r="BQ35" s="862"/>
      <c r="BR35" s="46"/>
      <c r="BS35" s="46"/>
      <c r="BT35" s="881"/>
      <c r="BU35" s="884"/>
      <c r="BV35" s="885"/>
      <c r="BX35" s="884"/>
      <c r="BY35" s="884"/>
    </row>
    <row r="36" spans="1:16356" s="412" customFormat="1" ht="22.5" customHeight="1">
      <c r="A36" s="405" t="s">
        <v>91</v>
      </c>
      <c r="B36" s="406" t="s">
        <v>92</v>
      </c>
      <c r="C36" s="407"/>
      <c r="D36" s="407"/>
      <c r="E36" s="407"/>
      <c r="F36" s="407"/>
      <c r="G36" s="408"/>
      <c r="H36" s="409"/>
      <c r="I36" s="407"/>
      <c r="J36" s="407"/>
      <c r="K36" s="407"/>
      <c r="L36" s="408"/>
      <c r="M36" s="409"/>
      <c r="N36" s="407"/>
      <c r="O36" s="407"/>
      <c r="P36" s="407"/>
      <c r="Q36" s="408"/>
      <c r="R36" s="407"/>
      <c r="S36" s="407"/>
      <c r="T36" s="407"/>
      <c r="U36" s="407"/>
      <c r="V36" s="408"/>
      <c r="W36" s="407"/>
      <c r="X36" s="407"/>
      <c r="Y36" s="410"/>
      <c r="Z36" s="410"/>
      <c r="AA36" s="408"/>
      <c r="AB36" s="407"/>
      <c r="AC36" s="407"/>
      <c r="AD36" s="407"/>
      <c r="AE36" s="407"/>
      <c r="AF36" s="408"/>
      <c r="AG36" s="407"/>
      <c r="AH36" s="407"/>
      <c r="AI36" s="407"/>
      <c r="AJ36" s="411"/>
      <c r="AK36" s="408"/>
      <c r="AL36" s="413"/>
      <c r="AM36" s="409"/>
      <c r="AN36" s="407"/>
      <c r="AO36" s="407"/>
      <c r="AP36" s="411"/>
      <c r="AQ36" s="408"/>
      <c r="AR36" s="409"/>
      <c r="AS36" s="407"/>
      <c r="AT36" s="407"/>
      <c r="AU36" s="407"/>
      <c r="AV36" s="408"/>
      <c r="AW36" s="409"/>
      <c r="AX36" s="407"/>
      <c r="AY36" s="407"/>
      <c r="AZ36" s="407"/>
      <c r="BA36" s="408"/>
      <c r="BB36" s="409"/>
      <c r="BC36" s="407">
        <f t="shared" ref="BC36:BF36" si="88">BC32-BC34</f>
        <v>1001.5000000000008</v>
      </c>
      <c r="BD36" s="407">
        <f t="shared" si="88"/>
        <v>1082.1999999999998</v>
      </c>
      <c r="BE36" s="407">
        <f>BE32-BE34</f>
        <v>1127.4000000000001</v>
      </c>
      <c r="BF36" s="694">
        <f t="shared" si="88"/>
        <v>4237.7888265199981</v>
      </c>
      <c r="BG36" s="409">
        <f>BG32</f>
        <v>1082.7</v>
      </c>
      <c r="BH36" s="407">
        <f>BH32</f>
        <v>1140.8999999999999</v>
      </c>
      <c r="BI36" s="407">
        <f>BI32-BI34-BI19</f>
        <v>904.20000000000073</v>
      </c>
      <c r="BJ36" s="407">
        <f>BJ32-BJ34-BJ19</f>
        <v>891.1999999999997</v>
      </c>
      <c r="BK36" s="694">
        <f>SUM(BG36:BJ36)</f>
        <v>4019.0000000000005</v>
      </c>
      <c r="BL36" s="409">
        <f>BL32-SUM(BL34:BL35)</f>
        <v>800.7</v>
      </c>
      <c r="BM36" s="407">
        <f>BM32</f>
        <v>893.29999999999984</v>
      </c>
      <c r="BN36" s="407">
        <f>BN32-BN34-BN19</f>
        <v>839.60000000000082</v>
      </c>
      <c r="BO36" s="407">
        <f>BO32-BO34-BO19</f>
        <v>818.49999999999909</v>
      </c>
      <c r="BP36" s="850">
        <f>SUM(BL36:BO36)</f>
        <v>3352.1</v>
      </c>
      <c r="BQ36" s="875">
        <f>BQ32-SUM(BQ34:BQ35)</f>
        <v>761.2000000000005</v>
      </c>
      <c r="BR36" s="407">
        <f>BR32</f>
        <v>0</v>
      </c>
      <c r="BS36" s="407">
        <f>BS32-BS34-BS19</f>
        <v>0</v>
      </c>
      <c r="BT36" s="868">
        <f>BT32-BT34-BT19</f>
        <v>0</v>
      </c>
      <c r="BU36" s="884"/>
      <c r="BV36" s="885"/>
      <c r="BX36" s="884"/>
      <c r="BY36" s="884"/>
    </row>
    <row r="37" spans="1:16356" s="412" customFormat="1" ht="22.5" customHeight="1">
      <c r="A37" s="405" t="s">
        <v>93</v>
      </c>
      <c r="B37" s="406" t="s">
        <v>94</v>
      </c>
      <c r="C37" s="407"/>
      <c r="D37" s="407"/>
      <c r="E37" s="407"/>
      <c r="F37" s="407"/>
      <c r="G37" s="408"/>
      <c r="H37" s="409"/>
      <c r="I37" s="407"/>
      <c r="J37" s="407"/>
      <c r="K37" s="407"/>
      <c r="L37" s="408"/>
      <c r="M37" s="409"/>
      <c r="N37" s="407"/>
      <c r="O37" s="407"/>
      <c r="P37" s="407"/>
      <c r="Q37" s="408"/>
      <c r="R37" s="407"/>
      <c r="S37" s="407"/>
      <c r="T37" s="407"/>
      <c r="U37" s="407"/>
      <c r="V37" s="408"/>
      <c r="W37" s="407"/>
      <c r="X37" s="407"/>
      <c r="Y37" s="410"/>
      <c r="Z37" s="410"/>
      <c r="AA37" s="408"/>
      <c r="AB37" s="407"/>
      <c r="AC37" s="407"/>
      <c r="AD37" s="407"/>
      <c r="AE37" s="407"/>
      <c r="AF37" s="408"/>
      <c r="AG37" s="407"/>
      <c r="AH37" s="407"/>
      <c r="AI37" s="407"/>
      <c r="AJ37" s="411"/>
      <c r="AK37" s="408"/>
      <c r="AL37" s="413"/>
      <c r="AM37" s="409"/>
      <c r="AN37" s="407"/>
      <c r="AO37" s="407"/>
      <c r="AP37" s="411"/>
      <c r="AQ37" s="408"/>
      <c r="AR37" s="409"/>
      <c r="AS37" s="407"/>
      <c r="AT37" s="407"/>
      <c r="AU37" s="407"/>
      <c r="AV37" s="408"/>
      <c r="AW37" s="409"/>
      <c r="AX37" s="407"/>
      <c r="AY37" s="407"/>
      <c r="AZ37" s="407"/>
      <c r="BA37" s="408"/>
      <c r="BB37" s="409"/>
      <c r="BC37" s="842">
        <f t="shared" ref="BC37:BP37" si="89">BC36/BC5</f>
        <v>0.3498445523456879</v>
      </c>
      <c r="BD37" s="842">
        <f t="shared" si="89"/>
        <v>0.36031296820376224</v>
      </c>
      <c r="BE37" s="842">
        <f t="shared" si="89"/>
        <v>0.34708453912936393</v>
      </c>
      <c r="BF37" s="843">
        <f t="shared" si="89"/>
        <v>0.35424427409073034</v>
      </c>
      <c r="BG37" s="842">
        <f t="shared" si="89"/>
        <v>0.36242217312713398</v>
      </c>
      <c r="BH37" s="842">
        <f t="shared" si="89"/>
        <v>0.3610785834098173</v>
      </c>
      <c r="BI37" s="842">
        <f t="shared" si="89"/>
        <v>0.29822883340479589</v>
      </c>
      <c r="BJ37" s="842">
        <f t="shared" si="89"/>
        <v>0.27295558958652366</v>
      </c>
      <c r="BK37" s="843">
        <f t="shared" si="89"/>
        <v>0.32296689167470277</v>
      </c>
      <c r="BL37" s="842">
        <f t="shared" si="89"/>
        <v>0.26808852579770315</v>
      </c>
      <c r="BM37" s="842">
        <f t="shared" si="89"/>
        <v>0.27672624763792941</v>
      </c>
      <c r="BN37" s="842">
        <f t="shared" si="89"/>
        <v>0.2566877617781041</v>
      </c>
      <c r="BO37" s="842">
        <f t="shared" si="89"/>
        <v>0.23865756939584767</v>
      </c>
      <c r="BP37" s="853">
        <f t="shared" si="89"/>
        <v>0.25954488087771871</v>
      </c>
      <c r="BQ37" s="882">
        <f t="shared" ref="BQ37:BT37" si="90">BQ36/BQ5</f>
        <v>0.23792704654143107</v>
      </c>
      <c r="BR37" s="842" t="e">
        <f t="shared" si="90"/>
        <v>#DIV/0!</v>
      </c>
      <c r="BS37" s="842" t="e">
        <f t="shared" si="90"/>
        <v>#DIV/0!</v>
      </c>
      <c r="BT37" s="883" t="e">
        <f t="shared" si="90"/>
        <v>#DIV/0!</v>
      </c>
      <c r="BX37" s="884"/>
      <c r="BY37" s="884"/>
    </row>
    <row r="38" spans="1:16356" ht="15" customHeight="1">
      <c r="U38" s="6"/>
      <c r="V38" s="6"/>
      <c r="W38" s="6"/>
      <c r="X38" s="6"/>
      <c r="Y38" s="38"/>
      <c r="Z38" s="6"/>
      <c r="AA38" s="6"/>
      <c r="AB38" s="6"/>
      <c r="AC38" s="6"/>
      <c r="AD38" s="38"/>
      <c r="AE38" s="6"/>
      <c r="AF38" s="6"/>
      <c r="AG38" s="6"/>
      <c r="AH38" s="6"/>
      <c r="AI38" s="38"/>
      <c r="AJ38" s="6"/>
      <c r="AK38" s="98"/>
      <c r="AL38" s="5"/>
      <c r="AM38" s="6"/>
      <c r="AN38" s="77"/>
      <c r="AO38" s="38"/>
      <c r="AP38" s="6"/>
      <c r="AQ38" s="77"/>
      <c r="AR38" s="6"/>
      <c r="AS38" s="77"/>
      <c r="AT38" s="38"/>
      <c r="AU38" s="6"/>
      <c r="AV38" s="77"/>
      <c r="AW38" s="6"/>
      <c r="AX38" s="77"/>
      <c r="AY38" s="38"/>
      <c r="AZ38" s="6"/>
      <c r="BA38" s="77"/>
      <c r="BB38" s="6"/>
      <c r="BC38" s="77"/>
      <c r="BD38" s="38"/>
      <c r="BE38" s="6"/>
      <c r="BF38" s="703"/>
      <c r="BG38" s="6"/>
      <c r="BH38" s="77"/>
      <c r="BI38" s="38"/>
      <c r="BJ38" s="6"/>
      <c r="BK38" s="698"/>
      <c r="BL38" s="6"/>
      <c r="BM38" s="77"/>
      <c r="BN38" s="38"/>
      <c r="BO38" s="6"/>
      <c r="BP38" s="698"/>
      <c r="BQ38" s="6"/>
      <c r="BR38" s="77"/>
      <c r="BS38" s="38"/>
      <c r="BT38" s="6"/>
      <c r="BX38" s="884"/>
      <c r="BY38" s="884"/>
    </row>
    <row r="39" spans="1:16356" ht="23.25" customHeight="1">
      <c r="A39" s="118" t="s">
        <v>95</v>
      </c>
      <c r="B39" s="122" t="s">
        <v>96</v>
      </c>
      <c r="C39" s="121"/>
      <c r="D39" s="121"/>
      <c r="E39" s="121"/>
      <c r="F39" s="121"/>
      <c r="G39" s="121"/>
      <c r="H39" s="121"/>
      <c r="I39" s="121"/>
      <c r="J39" s="121"/>
      <c r="K39" s="121"/>
      <c r="L39" s="121"/>
      <c r="M39" s="121"/>
      <c r="N39" s="121"/>
      <c r="O39" s="118"/>
      <c r="P39" s="118"/>
      <c r="Q39" s="118"/>
      <c r="R39" s="118"/>
      <c r="S39" s="899"/>
      <c r="T39" s="899"/>
      <c r="U39" s="899"/>
      <c r="V39" s="899"/>
      <c r="W39" s="899"/>
      <c r="X39" s="899"/>
      <c r="Y39" s="899"/>
      <c r="Z39" s="899"/>
      <c r="AA39" s="899"/>
      <c r="AB39" s="899"/>
      <c r="AC39" s="899"/>
      <c r="AD39" s="899"/>
      <c r="AE39" s="899"/>
      <c r="AF39" s="899"/>
      <c r="AG39" s="899"/>
      <c r="AH39" s="7"/>
      <c r="AI39" s="35"/>
      <c r="AJ39" s="7"/>
      <c r="AK39" s="99"/>
      <c r="AL39" s="5"/>
      <c r="AM39" s="7"/>
      <c r="AN39" s="7"/>
      <c r="AO39" s="35"/>
      <c r="AP39" s="7"/>
      <c r="AQ39" s="7"/>
      <c r="AR39" s="7"/>
      <c r="AS39" s="7"/>
      <c r="AT39" s="35"/>
      <c r="AU39" s="7"/>
      <c r="AV39" s="7"/>
      <c r="AW39" s="7"/>
      <c r="AX39" s="899"/>
      <c r="AY39" s="899"/>
      <c r="AZ39" s="899"/>
      <c r="BA39" s="899"/>
      <c r="BB39" s="899"/>
      <c r="BC39" s="899"/>
      <c r="BD39" s="899"/>
      <c r="BE39" s="899"/>
      <c r="BF39" s="899"/>
      <c r="BG39" s="899"/>
      <c r="BH39" s="899"/>
      <c r="BI39" s="899"/>
      <c r="BJ39" s="899"/>
      <c r="BK39" s="899"/>
      <c r="BL39" s="899"/>
      <c r="BM39" s="899"/>
      <c r="BN39" s="899"/>
      <c r="BO39" s="899"/>
      <c r="BP39" s="899"/>
      <c r="BQ39" s="899"/>
      <c r="BR39" s="899"/>
      <c r="BS39" s="899"/>
      <c r="BT39" s="899"/>
      <c r="BU39" s="899"/>
      <c r="BV39" s="899"/>
      <c r="BW39" s="899"/>
      <c r="BX39" s="899"/>
      <c r="BY39" s="899"/>
      <c r="BZ39" s="899"/>
      <c r="CA39" s="899"/>
      <c r="CB39" s="899"/>
      <c r="CC39" s="899"/>
      <c r="CD39" s="899"/>
      <c r="CE39" s="899"/>
      <c r="CF39" s="899"/>
      <c r="CG39" s="899"/>
      <c r="CH39" s="899"/>
      <c r="CI39" s="899"/>
      <c r="CJ39" s="899"/>
      <c r="CK39" s="899"/>
      <c r="CL39" s="899"/>
      <c r="CM39" s="899"/>
      <c r="CN39" s="899"/>
      <c r="CO39" s="899"/>
      <c r="CP39" s="899"/>
      <c r="CQ39" s="899"/>
      <c r="CR39" s="899"/>
      <c r="CS39" s="899"/>
      <c r="CT39" s="899"/>
      <c r="CU39" s="899"/>
      <c r="CV39" s="899"/>
      <c r="CW39" s="899"/>
      <c r="CX39" s="899"/>
      <c r="CY39" s="899"/>
      <c r="CZ39" s="899"/>
      <c r="DA39" s="899"/>
      <c r="DB39" s="899"/>
      <c r="DC39" s="899"/>
      <c r="DD39" s="899"/>
      <c r="DE39" s="899"/>
      <c r="DF39" s="899"/>
      <c r="DG39" s="899"/>
      <c r="DH39" s="899"/>
      <c r="DI39" s="899"/>
      <c r="DJ39" s="899"/>
      <c r="DK39" s="899"/>
      <c r="DL39" s="899"/>
      <c r="DM39" s="899"/>
      <c r="DN39" s="899"/>
      <c r="DO39" s="899"/>
      <c r="DP39" s="899"/>
      <c r="DQ39" s="899"/>
      <c r="DR39" s="899"/>
      <c r="DS39" s="899"/>
      <c r="DT39" s="899"/>
      <c r="DU39" s="899"/>
      <c r="DV39" s="899"/>
      <c r="DW39" s="899"/>
      <c r="DX39" s="899"/>
      <c r="DY39" s="899"/>
      <c r="DZ39" s="899"/>
      <c r="EA39" s="899"/>
      <c r="EB39" s="899"/>
      <c r="EC39" s="899"/>
      <c r="ED39" s="899"/>
      <c r="EE39" s="899"/>
      <c r="EF39" s="899"/>
      <c r="EG39" s="899"/>
      <c r="EH39" s="899"/>
      <c r="EI39" s="899"/>
      <c r="EJ39" s="899"/>
      <c r="EK39" s="899"/>
      <c r="EL39" s="899"/>
      <c r="EM39" s="899"/>
      <c r="EN39" s="899"/>
      <c r="EO39" s="899"/>
      <c r="EP39" s="899"/>
      <c r="EQ39" s="899"/>
      <c r="ER39" s="899"/>
      <c r="ES39" s="899"/>
      <c r="ET39" s="899"/>
      <c r="EU39" s="899"/>
      <c r="EV39" s="899"/>
      <c r="EW39" s="899"/>
      <c r="EX39" s="899"/>
      <c r="EY39" s="899"/>
      <c r="EZ39" s="899"/>
      <c r="FA39" s="899"/>
      <c r="FB39" s="899"/>
      <c r="FC39" s="899"/>
      <c r="FD39" s="899"/>
      <c r="FE39" s="899"/>
      <c r="FF39" s="899"/>
      <c r="FG39" s="899"/>
      <c r="FH39" s="899"/>
      <c r="FI39" s="899"/>
      <c r="FJ39" s="899"/>
      <c r="FK39" s="899"/>
      <c r="FL39" s="899"/>
      <c r="FM39" s="899"/>
      <c r="FN39" s="899"/>
      <c r="FO39" s="899"/>
      <c r="FP39" s="899"/>
      <c r="FQ39" s="899"/>
      <c r="FR39" s="899"/>
      <c r="FS39" s="899"/>
      <c r="FT39" s="899"/>
      <c r="FU39" s="899"/>
      <c r="FV39" s="899"/>
      <c r="FW39" s="899"/>
      <c r="FX39" s="899"/>
      <c r="FY39" s="899"/>
      <c r="FZ39" s="899"/>
      <c r="GA39" s="899"/>
      <c r="GB39" s="899"/>
      <c r="GC39" s="899"/>
      <c r="GD39" s="899"/>
      <c r="GE39" s="899"/>
      <c r="GF39" s="899"/>
      <c r="GG39" s="899"/>
      <c r="GH39" s="899"/>
      <c r="GI39" s="899"/>
      <c r="GJ39" s="899"/>
      <c r="GK39" s="899"/>
      <c r="GL39" s="899"/>
      <c r="GM39" s="899"/>
      <c r="GN39" s="899"/>
      <c r="GO39" s="899"/>
      <c r="GP39" s="899"/>
      <c r="GQ39" s="899"/>
      <c r="GR39" s="899"/>
      <c r="GS39" s="899"/>
      <c r="GT39" s="899"/>
      <c r="GU39" s="899"/>
      <c r="GV39" s="899"/>
      <c r="GW39" s="899"/>
      <c r="GX39" s="899"/>
      <c r="GY39" s="899"/>
      <c r="GZ39" s="899"/>
      <c r="HA39" s="899"/>
      <c r="HB39" s="899"/>
      <c r="HC39" s="899"/>
      <c r="HD39" s="899"/>
      <c r="HE39" s="899"/>
      <c r="HF39" s="899"/>
      <c r="HG39" s="899"/>
      <c r="HH39" s="899"/>
      <c r="HI39" s="899"/>
      <c r="HJ39" s="899"/>
      <c r="HK39" s="899"/>
      <c r="HL39" s="899"/>
      <c r="HM39" s="899"/>
      <c r="HN39" s="899"/>
      <c r="HO39" s="899"/>
      <c r="HP39" s="899"/>
      <c r="HQ39" s="899"/>
      <c r="HR39" s="899"/>
      <c r="HS39" s="899"/>
      <c r="HT39" s="899"/>
      <c r="HU39" s="899"/>
      <c r="HV39" s="899"/>
      <c r="HW39" s="899"/>
      <c r="HX39" s="899"/>
      <c r="HY39" s="899"/>
      <c r="HZ39" s="899"/>
      <c r="IA39" s="899"/>
      <c r="IB39" s="899"/>
      <c r="IC39" s="899"/>
      <c r="ID39" s="899"/>
      <c r="IE39" s="899"/>
      <c r="IF39" s="899"/>
      <c r="IG39" s="899"/>
      <c r="IH39" s="899"/>
      <c r="II39" s="899"/>
      <c r="IJ39" s="899"/>
      <c r="IK39" s="899"/>
      <c r="IL39" s="899"/>
      <c r="IM39" s="899"/>
      <c r="IN39" s="899"/>
      <c r="IO39" s="899"/>
      <c r="IP39" s="899"/>
      <c r="IQ39" s="899"/>
      <c r="IR39" s="899"/>
      <c r="IS39" s="899"/>
      <c r="IT39" s="899"/>
      <c r="IU39" s="899"/>
      <c r="IV39" s="899"/>
      <c r="IW39" s="899"/>
      <c r="IX39" s="899"/>
      <c r="IY39" s="899"/>
      <c r="IZ39" s="899"/>
      <c r="JA39" s="899"/>
      <c r="JB39" s="899"/>
      <c r="JC39" s="899"/>
      <c r="JD39" s="899"/>
      <c r="JE39" s="899"/>
      <c r="JF39" s="899"/>
      <c r="JG39" s="899"/>
      <c r="JH39" s="899"/>
      <c r="JI39" s="899"/>
      <c r="JJ39" s="899"/>
      <c r="JK39" s="899"/>
      <c r="JL39" s="899"/>
      <c r="JM39" s="899"/>
      <c r="JN39" s="899"/>
      <c r="JO39" s="899"/>
      <c r="JP39" s="899"/>
      <c r="JQ39" s="899"/>
      <c r="JR39" s="899"/>
      <c r="JS39" s="899"/>
      <c r="JT39" s="899"/>
      <c r="JU39" s="899"/>
      <c r="JV39" s="899"/>
      <c r="JW39" s="899"/>
      <c r="JX39" s="899"/>
      <c r="JY39" s="899"/>
      <c r="JZ39" s="899"/>
      <c r="KA39" s="899"/>
      <c r="KB39" s="899"/>
      <c r="KC39" s="899"/>
      <c r="KD39" s="899"/>
      <c r="KE39" s="899"/>
      <c r="KF39" s="899"/>
      <c r="KG39" s="899"/>
      <c r="KH39" s="899"/>
      <c r="KI39" s="899"/>
      <c r="KJ39" s="899"/>
      <c r="KK39" s="899"/>
      <c r="KL39" s="899"/>
      <c r="KM39" s="899"/>
      <c r="KN39" s="899"/>
      <c r="KO39" s="899"/>
      <c r="KP39" s="899"/>
      <c r="KQ39" s="899"/>
      <c r="KR39" s="899"/>
      <c r="KS39" s="899"/>
      <c r="KT39" s="899"/>
      <c r="KU39" s="899"/>
      <c r="KV39" s="899"/>
      <c r="KW39" s="899"/>
      <c r="KX39" s="899"/>
      <c r="KY39" s="899"/>
      <c r="KZ39" s="899"/>
      <c r="LA39" s="899"/>
      <c r="LB39" s="899"/>
      <c r="LC39" s="899"/>
      <c r="LD39" s="899"/>
      <c r="LE39" s="899"/>
      <c r="LF39" s="899"/>
      <c r="LG39" s="899"/>
      <c r="LH39" s="899"/>
      <c r="LI39" s="899"/>
      <c r="LJ39" s="899"/>
      <c r="LK39" s="899"/>
      <c r="LL39" s="899"/>
      <c r="LM39" s="899"/>
      <c r="LN39" s="899"/>
      <c r="LO39" s="899"/>
      <c r="LP39" s="899"/>
      <c r="LQ39" s="899"/>
      <c r="LR39" s="899"/>
      <c r="LS39" s="899"/>
      <c r="LT39" s="899"/>
      <c r="LU39" s="899"/>
      <c r="LV39" s="899"/>
      <c r="LW39" s="899"/>
      <c r="LX39" s="899"/>
      <c r="LY39" s="899"/>
      <c r="LZ39" s="899"/>
      <c r="MA39" s="899"/>
      <c r="MB39" s="899"/>
      <c r="MC39" s="899"/>
      <c r="MD39" s="899"/>
      <c r="ME39" s="899"/>
      <c r="MF39" s="899"/>
      <c r="MG39" s="899"/>
      <c r="MH39" s="899"/>
      <c r="MI39" s="899"/>
      <c r="MJ39" s="899"/>
      <c r="MK39" s="899"/>
      <c r="ML39" s="899"/>
      <c r="MM39" s="899"/>
      <c r="MN39" s="899"/>
      <c r="MO39" s="899"/>
      <c r="MP39" s="899"/>
      <c r="MQ39" s="899"/>
      <c r="MR39" s="899"/>
      <c r="MS39" s="899"/>
      <c r="MT39" s="899"/>
      <c r="MU39" s="899"/>
      <c r="MV39" s="899"/>
      <c r="MW39" s="899"/>
      <c r="MX39" s="899"/>
      <c r="MY39" s="899"/>
      <c r="MZ39" s="899"/>
      <c r="NA39" s="899"/>
      <c r="NB39" s="899"/>
      <c r="NC39" s="899"/>
      <c r="ND39" s="899"/>
      <c r="NE39" s="899"/>
      <c r="NF39" s="899"/>
      <c r="NG39" s="899"/>
      <c r="NH39" s="899"/>
      <c r="NI39" s="899"/>
      <c r="NJ39" s="899"/>
      <c r="NK39" s="899"/>
      <c r="NL39" s="899"/>
      <c r="NM39" s="899"/>
      <c r="NN39" s="899"/>
      <c r="NO39" s="899"/>
      <c r="NP39" s="899"/>
      <c r="NQ39" s="899"/>
      <c r="NR39" s="899"/>
      <c r="NS39" s="899"/>
      <c r="NT39" s="899"/>
      <c r="NU39" s="899"/>
      <c r="NV39" s="899"/>
      <c r="NW39" s="899"/>
      <c r="NX39" s="899"/>
      <c r="NY39" s="899"/>
      <c r="NZ39" s="899"/>
      <c r="OA39" s="899"/>
      <c r="OB39" s="899"/>
      <c r="OC39" s="899"/>
      <c r="OD39" s="899"/>
      <c r="OE39" s="899"/>
      <c r="OF39" s="899"/>
      <c r="OG39" s="899"/>
      <c r="OH39" s="899"/>
      <c r="OI39" s="899"/>
      <c r="OJ39" s="899"/>
      <c r="OK39" s="899"/>
      <c r="OL39" s="899"/>
      <c r="OM39" s="899"/>
      <c r="ON39" s="899"/>
      <c r="OO39" s="899"/>
      <c r="OP39" s="899"/>
      <c r="OQ39" s="899"/>
      <c r="OR39" s="899"/>
      <c r="OS39" s="899"/>
      <c r="OT39" s="899"/>
      <c r="OU39" s="899"/>
      <c r="OV39" s="899"/>
      <c r="OW39" s="899"/>
      <c r="OX39" s="899"/>
      <c r="OY39" s="899"/>
      <c r="OZ39" s="899"/>
      <c r="PA39" s="899"/>
      <c r="PB39" s="899"/>
      <c r="PC39" s="899"/>
      <c r="PD39" s="899"/>
      <c r="PE39" s="899"/>
      <c r="PF39" s="899"/>
      <c r="PG39" s="899"/>
      <c r="PH39" s="899"/>
      <c r="PI39" s="899"/>
      <c r="PJ39" s="899"/>
      <c r="PK39" s="899"/>
      <c r="PL39" s="899"/>
      <c r="PM39" s="899"/>
      <c r="PN39" s="899"/>
      <c r="PO39" s="899"/>
      <c r="PP39" s="899"/>
      <c r="PQ39" s="899"/>
      <c r="PR39" s="899"/>
      <c r="PS39" s="899"/>
      <c r="PT39" s="899"/>
      <c r="PU39" s="899"/>
      <c r="PV39" s="899"/>
      <c r="PW39" s="899"/>
      <c r="PX39" s="899"/>
      <c r="PY39" s="899"/>
      <c r="PZ39" s="899"/>
      <c r="QA39" s="899"/>
      <c r="QB39" s="899"/>
      <c r="QC39" s="899"/>
      <c r="QD39" s="899"/>
      <c r="QE39" s="899"/>
      <c r="QF39" s="899"/>
      <c r="QG39" s="899"/>
      <c r="QH39" s="899"/>
      <c r="QI39" s="899"/>
      <c r="QJ39" s="899"/>
      <c r="QK39" s="899"/>
      <c r="QL39" s="899"/>
      <c r="QM39" s="899"/>
      <c r="QN39" s="899"/>
      <c r="QO39" s="899"/>
      <c r="QP39" s="899"/>
      <c r="QQ39" s="899"/>
      <c r="QR39" s="899"/>
      <c r="QS39" s="899"/>
      <c r="QT39" s="899"/>
      <c r="QU39" s="899"/>
      <c r="QV39" s="899"/>
      <c r="QW39" s="899"/>
      <c r="QX39" s="899"/>
      <c r="QY39" s="899"/>
      <c r="QZ39" s="899"/>
      <c r="RA39" s="899"/>
      <c r="RB39" s="899"/>
      <c r="RC39" s="899"/>
      <c r="RD39" s="899"/>
      <c r="RE39" s="899"/>
      <c r="RF39" s="899"/>
      <c r="RG39" s="899"/>
      <c r="RH39" s="899"/>
      <c r="RI39" s="899"/>
      <c r="RJ39" s="899"/>
      <c r="RK39" s="899"/>
      <c r="RL39" s="899"/>
      <c r="RM39" s="899"/>
      <c r="RN39" s="899"/>
      <c r="RO39" s="899"/>
      <c r="RP39" s="899"/>
      <c r="RQ39" s="899"/>
      <c r="RR39" s="899"/>
      <c r="RS39" s="899"/>
      <c r="RT39" s="899"/>
      <c r="RU39" s="899"/>
      <c r="RV39" s="899"/>
      <c r="RW39" s="899"/>
      <c r="RX39" s="899"/>
      <c r="RY39" s="899"/>
      <c r="RZ39" s="899"/>
      <c r="SA39" s="899"/>
      <c r="SB39" s="899"/>
      <c r="SC39" s="899"/>
      <c r="SD39" s="899"/>
      <c r="SE39" s="899"/>
      <c r="SF39" s="899"/>
      <c r="SG39" s="899"/>
      <c r="SH39" s="899"/>
      <c r="SI39" s="899"/>
      <c r="SJ39" s="899"/>
      <c r="SK39" s="899"/>
      <c r="SL39" s="899"/>
      <c r="SM39" s="899"/>
      <c r="SN39" s="899"/>
      <c r="SO39" s="899"/>
      <c r="SP39" s="899"/>
      <c r="SQ39" s="899"/>
      <c r="SR39" s="899"/>
      <c r="SS39" s="899"/>
      <c r="ST39" s="899"/>
      <c r="SU39" s="899"/>
      <c r="SV39" s="899"/>
      <c r="SW39" s="899"/>
      <c r="SX39" s="899"/>
      <c r="SY39" s="899"/>
      <c r="SZ39" s="899"/>
      <c r="TA39" s="899"/>
      <c r="TB39" s="899"/>
      <c r="TC39" s="899"/>
      <c r="TD39" s="899"/>
      <c r="TE39" s="899"/>
      <c r="TF39" s="899"/>
      <c r="TG39" s="899"/>
      <c r="TH39" s="899"/>
      <c r="TI39" s="899"/>
      <c r="TJ39" s="899"/>
      <c r="TK39" s="899"/>
      <c r="TL39" s="899"/>
      <c r="TM39" s="899"/>
      <c r="TN39" s="899"/>
      <c r="TO39" s="899"/>
      <c r="TP39" s="899"/>
      <c r="TQ39" s="899"/>
      <c r="TR39" s="899"/>
      <c r="TS39" s="899"/>
      <c r="TT39" s="899"/>
      <c r="TU39" s="899"/>
      <c r="TV39" s="899"/>
      <c r="TW39" s="899"/>
      <c r="TX39" s="899"/>
      <c r="TY39" s="899"/>
      <c r="TZ39" s="899"/>
      <c r="UA39" s="899"/>
      <c r="UB39" s="899"/>
      <c r="UC39" s="899"/>
      <c r="UD39" s="899"/>
      <c r="UE39" s="899"/>
      <c r="UF39" s="899"/>
      <c r="UG39" s="899"/>
      <c r="UH39" s="899"/>
      <c r="UI39" s="899"/>
      <c r="UJ39" s="899"/>
      <c r="UK39" s="899"/>
      <c r="UL39" s="899"/>
      <c r="UM39" s="899"/>
      <c r="UN39" s="899"/>
      <c r="UO39" s="899"/>
      <c r="UP39" s="899"/>
      <c r="UQ39" s="899"/>
      <c r="UR39" s="899"/>
      <c r="US39" s="899"/>
      <c r="UT39" s="899"/>
      <c r="UU39" s="899"/>
      <c r="UV39" s="899"/>
      <c r="UW39" s="899"/>
      <c r="UX39" s="899"/>
      <c r="UY39" s="899"/>
      <c r="UZ39" s="899"/>
      <c r="VA39" s="899"/>
      <c r="VB39" s="899"/>
      <c r="VC39" s="899"/>
      <c r="VD39" s="899"/>
      <c r="VE39" s="899"/>
      <c r="VF39" s="899"/>
      <c r="VG39" s="899"/>
      <c r="VH39" s="899"/>
      <c r="VI39" s="899"/>
      <c r="VJ39" s="899"/>
      <c r="VK39" s="899"/>
      <c r="VL39" s="899"/>
      <c r="VM39" s="899"/>
      <c r="VN39" s="899"/>
      <c r="VO39" s="899"/>
      <c r="VP39" s="899"/>
      <c r="VQ39" s="899"/>
      <c r="VR39" s="899"/>
      <c r="VS39" s="899"/>
      <c r="VT39" s="899"/>
      <c r="VU39" s="899"/>
      <c r="VV39" s="899"/>
      <c r="VW39" s="899"/>
      <c r="VX39" s="899"/>
      <c r="VY39" s="899"/>
      <c r="VZ39" s="899"/>
      <c r="WA39" s="899"/>
      <c r="WB39" s="899"/>
      <c r="WC39" s="899"/>
      <c r="WD39" s="899"/>
      <c r="WE39" s="899"/>
      <c r="WF39" s="899"/>
      <c r="WG39" s="899"/>
      <c r="WH39" s="899"/>
      <c r="WI39" s="899"/>
      <c r="WJ39" s="899"/>
      <c r="WK39" s="899"/>
      <c r="WL39" s="899"/>
      <c r="WM39" s="899"/>
      <c r="WN39" s="899"/>
      <c r="WO39" s="899"/>
      <c r="WP39" s="899"/>
      <c r="WQ39" s="899"/>
      <c r="WR39" s="899"/>
      <c r="WS39" s="899"/>
      <c r="WT39" s="899"/>
      <c r="WU39" s="899"/>
      <c r="WV39" s="899"/>
      <c r="WW39" s="899"/>
      <c r="WX39" s="899"/>
      <c r="WY39" s="899"/>
      <c r="WZ39" s="899"/>
      <c r="XA39" s="899"/>
      <c r="XB39" s="899"/>
      <c r="XC39" s="899"/>
      <c r="XD39" s="899"/>
      <c r="XE39" s="899"/>
      <c r="XF39" s="899"/>
      <c r="XG39" s="899"/>
      <c r="XH39" s="899"/>
      <c r="XI39" s="899"/>
      <c r="XJ39" s="899"/>
      <c r="XK39" s="899"/>
      <c r="XL39" s="899"/>
      <c r="XM39" s="899"/>
      <c r="XN39" s="899"/>
      <c r="XO39" s="899"/>
      <c r="XP39" s="899"/>
      <c r="XQ39" s="899"/>
      <c r="XR39" s="899"/>
      <c r="XS39" s="899"/>
      <c r="XT39" s="899"/>
      <c r="XU39" s="899"/>
      <c r="XV39" s="899"/>
      <c r="XW39" s="899"/>
      <c r="XX39" s="899"/>
      <c r="XY39" s="899"/>
      <c r="XZ39" s="899"/>
      <c r="YA39" s="899"/>
      <c r="YB39" s="899"/>
      <c r="YC39" s="899"/>
      <c r="YD39" s="899"/>
      <c r="YE39" s="899"/>
      <c r="YF39" s="899"/>
      <c r="YG39" s="899"/>
      <c r="YH39" s="899"/>
      <c r="YI39" s="899"/>
      <c r="YJ39" s="899"/>
      <c r="YK39" s="899"/>
      <c r="YL39" s="899"/>
      <c r="YM39" s="899"/>
      <c r="YN39" s="899"/>
      <c r="YO39" s="899"/>
      <c r="YP39" s="899"/>
      <c r="YQ39" s="899"/>
      <c r="YR39" s="899"/>
      <c r="YS39" s="899"/>
      <c r="YT39" s="899"/>
      <c r="YU39" s="899"/>
      <c r="YV39" s="899"/>
      <c r="YW39" s="899"/>
      <c r="YX39" s="899"/>
      <c r="YY39" s="899"/>
      <c r="YZ39" s="899"/>
      <c r="ZA39" s="899"/>
      <c r="ZB39" s="899"/>
      <c r="ZC39" s="899"/>
      <c r="ZD39" s="899"/>
      <c r="ZE39" s="899"/>
      <c r="ZF39" s="899"/>
      <c r="ZG39" s="899"/>
      <c r="ZH39" s="899"/>
      <c r="ZI39" s="899"/>
      <c r="ZJ39" s="899"/>
      <c r="ZK39" s="899"/>
      <c r="ZL39" s="899"/>
      <c r="ZM39" s="899"/>
      <c r="ZN39" s="899"/>
      <c r="ZO39" s="899"/>
      <c r="ZP39" s="899"/>
      <c r="ZQ39" s="899"/>
      <c r="ZR39" s="899"/>
      <c r="ZS39" s="899"/>
      <c r="ZT39" s="899"/>
      <c r="ZU39" s="899"/>
      <c r="ZV39" s="899"/>
      <c r="ZW39" s="899"/>
      <c r="ZX39" s="899"/>
      <c r="ZY39" s="899"/>
      <c r="ZZ39" s="899"/>
      <c r="AAA39" s="899"/>
      <c r="AAB39" s="899"/>
      <c r="AAC39" s="899"/>
      <c r="AAD39" s="899"/>
      <c r="AAE39" s="899"/>
      <c r="AAF39" s="899"/>
      <c r="AAG39" s="899"/>
      <c r="AAH39" s="899"/>
      <c r="AAI39" s="899"/>
      <c r="AAJ39" s="899"/>
      <c r="AAK39" s="899"/>
      <c r="AAL39" s="899"/>
      <c r="AAM39" s="899"/>
      <c r="AAN39" s="899"/>
      <c r="AAO39" s="899"/>
      <c r="AAP39" s="899"/>
      <c r="AAQ39" s="899"/>
      <c r="AAR39" s="899"/>
      <c r="AAS39" s="899"/>
      <c r="AAT39" s="899"/>
      <c r="AAU39" s="899"/>
      <c r="AAV39" s="899"/>
      <c r="AAW39" s="899"/>
      <c r="AAX39" s="899"/>
      <c r="AAY39" s="899"/>
      <c r="AAZ39" s="899"/>
      <c r="ABA39" s="899"/>
      <c r="ABB39" s="899"/>
      <c r="ABC39" s="899"/>
      <c r="ABD39" s="899"/>
      <c r="ABE39" s="899"/>
      <c r="ABF39" s="899"/>
      <c r="ABG39" s="899"/>
      <c r="ABH39" s="899"/>
      <c r="ABI39" s="899"/>
      <c r="ABJ39" s="899"/>
      <c r="ABK39" s="899"/>
      <c r="ABL39" s="899"/>
      <c r="ABM39" s="899"/>
      <c r="ABN39" s="899"/>
      <c r="ABO39" s="899"/>
      <c r="ABP39" s="899"/>
      <c r="ABQ39" s="899"/>
      <c r="ABR39" s="899"/>
      <c r="ABS39" s="899"/>
      <c r="ABT39" s="899"/>
      <c r="ABU39" s="899"/>
      <c r="ABV39" s="899"/>
      <c r="ABW39" s="899"/>
      <c r="ABX39" s="899"/>
      <c r="ABY39" s="899"/>
      <c r="ABZ39" s="899"/>
      <c r="ACA39" s="899"/>
      <c r="ACB39" s="899"/>
      <c r="ACC39" s="899"/>
      <c r="ACD39" s="899"/>
      <c r="ACE39" s="899"/>
      <c r="ACF39" s="899"/>
      <c r="ACG39" s="899"/>
      <c r="ACH39" s="899"/>
      <c r="ACI39" s="899"/>
      <c r="ACJ39" s="899"/>
      <c r="ACK39" s="899"/>
      <c r="ACL39" s="899"/>
      <c r="ACM39" s="899"/>
      <c r="ACN39" s="899"/>
      <c r="ACO39" s="899"/>
      <c r="ACP39" s="899"/>
      <c r="ACQ39" s="899"/>
      <c r="ACR39" s="899"/>
      <c r="ACS39" s="899"/>
      <c r="ACT39" s="899"/>
      <c r="ACU39" s="899"/>
      <c r="ACV39" s="899"/>
      <c r="ACW39" s="899"/>
      <c r="ACX39" s="899"/>
      <c r="ACY39" s="899"/>
      <c r="ACZ39" s="899"/>
      <c r="ADA39" s="899"/>
      <c r="ADB39" s="899"/>
      <c r="ADC39" s="899"/>
      <c r="ADD39" s="899"/>
      <c r="ADE39" s="899"/>
      <c r="ADF39" s="899"/>
      <c r="ADG39" s="899"/>
      <c r="ADH39" s="899"/>
      <c r="ADI39" s="899"/>
      <c r="ADJ39" s="899"/>
      <c r="ADK39" s="899"/>
      <c r="ADL39" s="899"/>
      <c r="ADM39" s="899"/>
      <c r="ADN39" s="899"/>
      <c r="ADO39" s="899"/>
      <c r="ADP39" s="899"/>
      <c r="ADQ39" s="899"/>
      <c r="ADR39" s="899"/>
      <c r="ADS39" s="899"/>
      <c r="ADT39" s="899"/>
      <c r="ADU39" s="899"/>
      <c r="ADV39" s="899"/>
      <c r="ADW39" s="899"/>
      <c r="ADX39" s="899"/>
      <c r="ADY39" s="899"/>
      <c r="ADZ39" s="899"/>
      <c r="AEA39" s="899"/>
      <c r="AEB39" s="899"/>
      <c r="AEC39" s="899"/>
      <c r="AED39" s="899"/>
      <c r="AEE39" s="899"/>
      <c r="AEF39" s="899"/>
      <c r="AEG39" s="899"/>
      <c r="AEH39" s="899"/>
      <c r="AEI39" s="899"/>
      <c r="AEJ39" s="899"/>
      <c r="AEK39" s="899"/>
      <c r="AEL39" s="899"/>
      <c r="AEM39" s="899"/>
      <c r="AEN39" s="899"/>
      <c r="AEO39" s="899"/>
      <c r="AEP39" s="899"/>
      <c r="AEQ39" s="899"/>
      <c r="AER39" s="899"/>
      <c r="AES39" s="899"/>
      <c r="AET39" s="899"/>
      <c r="AEU39" s="899"/>
      <c r="AEV39" s="899"/>
      <c r="AEW39" s="899"/>
      <c r="AEX39" s="899"/>
      <c r="AEY39" s="899"/>
      <c r="AEZ39" s="899"/>
      <c r="AFA39" s="899"/>
      <c r="AFB39" s="899"/>
      <c r="AFC39" s="899"/>
      <c r="AFD39" s="899"/>
      <c r="AFE39" s="899"/>
      <c r="AFF39" s="899"/>
      <c r="AFG39" s="899"/>
      <c r="AFH39" s="899"/>
      <c r="AFI39" s="899"/>
      <c r="AFJ39" s="899"/>
      <c r="AFK39" s="899"/>
      <c r="AFL39" s="899"/>
      <c r="AFM39" s="899"/>
      <c r="AFN39" s="899"/>
      <c r="AFO39" s="899"/>
      <c r="AFP39" s="899"/>
      <c r="AFQ39" s="899"/>
      <c r="AFR39" s="899"/>
      <c r="AFS39" s="899"/>
      <c r="AFT39" s="899"/>
      <c r="AFU39" s="899"/>
      <c r="AFV39" s="899"/>
      <c r="AFW39" s="899"/>
      <c r="AFX39" s="899"/>
      <c r="AFY39" s="899"/>
      <c r="AFZ39" s="899"/>
      <c r="AGA39" s="899"/>
      <c r="AGB39" s="899"/>
      <c r="AGC39" s="899"/>
      <c r="AGD39" s="899"/>
      <c r="AGE39" s="899"/>
      <c r="AGF39" s="899"/>
      <c r="AGG39" s="899"/>
      <c r="AGH39" s="899"/>
      <c r="AGI39" s="899"/>
      <c r="AGJ39" s="899"/>
      <c r="AGK39" s="899"/>
      <c r="AGL39" s="899"/>
      <c r="AGM39" s="899"/>
      <c r="AGN39" s="899"/>
      <c r="AGO39" s="899"/>
      <c r="AGP39" s="899"/>
      <c r="AGQ39" s="899"/>
      <c r="AGR39" s="899"/>
      <c r="AGS39" s="899"/>
      <c r="AGT39" s="899"/>
      <c r="AGU39" s="899"/>
      <c r="AGV39" s="899"/>
      <c r="AGW39" s="899"/>
      <c r="AGX39" s="899"/>
      <c r="AGY39" s="899"/>
      <c r="AGZ39" s="899"/>
      <c r="AHA39" s="899"/>
      <c r="AHB39" s="899"/>
      <c r="AHC39" s="899"/>
      <c r="AHD39" s="899"/>
      <c r="AHE39" s="899"/>
      <c r="AHF39" s="899"/>
      <c r="AHG39" s="899"/>
      <c r="AHH39" s="899"/>
      <c r="AHI39" s="899"/>
      <c r="AHJ39" s="899"/>
      <c r="AHK39" s="899"/>
      <c r="AHL39" s="899"/>
      <c r="AHM39" s="899"/>
      <c r="AHN39" s="899"/>
      <c r="AHO39" s="899"/>
      <c r="AHP39" s="899"/>
      <c r="AHQ39" s="899"/>
      <c r="AHR39" s="899"/>
      <c r="AHS39" s="899"/>
      <c r="AHT39" s="899"/>
      <c r="AHU39" s="899"/>
      <c r="AHV39" s="899"/>
      <c r="AHW39" s="899"/>
      <c r="AHX39" s="899"/>
      <c r="AHY39" s="899"/>
      <c r="AHZ39" s="899"/>
      <c r="AIA39" s="899"/>
      <c r="AIB39" s="899"/>
      <c r="AIC39" s="899"/>
      <c r="AID39" s="899"/>
      <c r="AIE39" s="899"/>
      <c r="AIF39" s="899"/>
      <c r="AIG39" s="899"/>
      <c r="AIH39" s="899"/>
      <c r="AII39" s="899"/>
      <c r="AIJ39" s="899"/>
      <c r="AIK39" s="899"/>
      <c r="AIL39" s="899"/>
      <c r="AIM39" s="899"/>
      <c r="AIN39" s="899"/>
      <c r="AIO39" s="899"/>
      <c r="AIP39" s="899"/>
      <c r="AIQ39" s="899"/>
      <c r="AIR39" s="899"/>
      <c r="AIS39" s="899"/>
      <c r="AIT39" s="899"/>
      <c r="AIU39" s="899"/>
      <c r="AIV39" s="899"/>
      <c r="AIW39" s="899"/>
      <c r="AIX39" s="899"/>
      <c r="AIY39" s="899"/>
      <c r="AIZ39" s="899"/>
      <c r="AJA39" s="899"/>
      <c r="AJB39" s="899"/>
      <c r="AJC39" s="899"/>
      <c r="AJD39" s="899"/>
      <c r="AJE39" s="899"/>
      <c r="AJF39" s="899"/>
      <c r="AJG39" s="899"/>
      <c r="AJH39" s="899"/>
      <c r="AJI39" s="899"/>
      <c r="AJJ39" s="899"/>
      <c r="AJK39" s="899"/>
      <c r="AJL39" s="899"/>
      <c r="AJM39" s="899"/>
      <c r="AJN39" s="899"/>
      <c r="AJO39" s="899"/>
      <c r="AJP39" s="899"/>
      <c r="AJQ39" s="899"/>
      <c r="AJR39" s="899"/>
      <c r="AJS39" s="899"/>
      <c r="AJT39" s="899"/>
      <c r="AJU39" s="899"/>
      <c r="AJV39" s="899"/>
      <c r="AJW39" s="899"/>
      <c r="AJX39" s="899"/>
      <c r="AJY39" s="899"/>
      <c r="AJZ39" s="899"/>
      <c r="AKA39" s="899"/>
      <c r="AKB39" s="899"/>
      <c r="AKC39" s="899"/>
      <c r="AKD39" s="899"/>
      <c r="AKE39" s="899"/>
      <c r="AKF39" s="899"/>
      <c r="AKG39" s="899"/>
      <c r="AKH39" s="899"/>
      <c r="AKI39" s="899"/>
      <c r="AKJ39" s="899"/>
      <c r="AKK39" s="899"/>
      <c r="AKL39" s="899"/>
      <c r="AKM39" s="899"/>
      <c r="AKN39" s="899"/>
      <c r="AKO39" s="899"/>
      <c r="AKP39" s="899"/>
      <c r="AKQ39" s="899"/>
      <c r="AKR39" s="899"/>
      <c r="AKS39" s="899"/>
      <c r="AKT39" s="899"/>
      <c r="AKU39" s="899"/>
      <c r="AKV39" s="899"/>
      <c r="AKW39" s="899"/>
      <c r="AKX39" s="899"/>
      <c r="AKY39" s="899"/>
      <c r="AKZ39" s="899"/>
      <c r="ALA39" s="899"/>
      <c r="ALB39" s="899"/>
      <c r="ALC39" s="899"/>
      <c r="ALD39" s="899"/>
      <c r="ALE39" s="899"/>
      <c r="ALF39" s="899"/>
      <c r="ALG39" s="899"/>
      <c r="ALH39" s="899"/>
      <c r="ALI39" s="899"/>
      <c r="ALJ39" s="899"/>
      <c r="ALK39" s="899"/>
      <c r="ALL39" s="899"/>
      <c r="ALM39" s="899"/>
      <c r="ALN39" s="899"/>
      <c r="ALO39" s="899"/>
      <c r="ALP39" s="899"/>
      <c r="ALQ39" s="899"/>
      <c r="ALR39" s="899"/>
      <c r="ALS39" s="899"/>
      <c r="ALT39" s="899"/>
      <c r="ALU39" s="899"/>
      <c r="ALV39" s="899"/>
      <c r="ALW39" s="899"/>
      <c r="ALX39" s="899"/>
      <c r="ALY39" s="899"/>
      <c r="ALZ39" s="899"/>
      <c r="AMA39" s="899"/>
      <c r="AMB39" s="899"/>
      <c r="AMC39" s="899"/>
      <c r="AMD39" s="899"/>
      <c r="AME39" s="899"/>
      <c r="AMF39" s="899"/>
      <c r="AMG39" s="899"/>
      <c r="AMH39" s="899"/>
      <c r="AMI39" s="899"/>
      <c r="AMJ39" s="899"/>
      <c r="AMK39" s="899"/>
      <c r="AML39" s="899"/>
      <c r="AMM39" s="899"/>
      <c r="AMN39" s="899"/>
      <c r="AMO39" s="899"/>
      <c r="AMP39" s="899"/>
      <c r="AMQ39" s="899"/>
      <c r="AMR39" s="899"/>
      <c r="AMS39" s="899"/>
      <c r="AMT39" s="899"/>
      <c r="AMU39" s="899"/>
      <c r="AMV39" s="899"/>
      <c r="AMW39" s="899"/>
      <c r="AMX39" s="899"/>
      <c r="AMY39" s="899"/>
      <c r="AMZ39" s="899"/>
      <c r="ANA39" s="899"/>
      <c r="ANB39" s="899"/>
      <c r="ANC39" s="899"/>
      <c r="AND39" s="899"/>
      <c r="ANE39" s="899"/>
      <c r="ANF39" s="899"/>
      <c r="ANG39" s="899"/>
      <c r="ANH39" s="899"/>
      <c r="ANI39" s="899"/>
      <c r="ANJ39" s="899"/>
      <c r="ANK39" s="899"/>
      <c r="ANL39" s="899"/>
      <c r="ANM39" s="899"/>
      <c r="ANN39" s="899"/>
      <c r="ANO39" s="899"/>
      <c r="ANP39" s="899"/>
      <c r="ANQ39" s="899"/>
      <c r="ANR39" s="899"/>
      <c r="ANS39" s="899"/>
      <c r="ANT39" s="899"/>
      <c r="ANU39" s="899"/>
      <c r="ANV39" s="899"/>
      <c r="ANW39" s="899"/>
      <c r="ANX39" s="899"/>
      <c r="ANY39" s="899"/>
      <c r="ANZ39" s="899"/>
      <c r="AOA39" s="899"/>
      <c r="AOB39" s="899"/>
      <c r="AOC39" s="899"/>
      <c r="AOD39" s="899"/>
      <c r="AOE39" s="899"/>
      <c r="AOF39" s="899"/>
      <c r="AOG39" s="899"/>
      <c r="AOH39" s="899"/>
      <c r="AOI39" s="899"/>
      <c r="AOJ39" s="899"/>
      <c r="AOK39" s="899"/>
      <c r="AOL39" s="899"/>
      <c r="AOM39" s="899"/>
      <c r="AON39" s="899"/>
      <c r="AOO39" s="899"/>
      <c r="AOP39" s="899"/>
      <c r="AOQ39" s="899"/>
      <c r="AOR39" s="899"/>
      <c r="AOS39" s="899"/>
      <c r="AOT39" s="899"/>
      <c r="AOU39" s="899"/>
      <c r="AOV39" s="899"/>
      <c r="AOW39" s="899"/>
      <c r="AOX39" s="899"/>
      <c r="AOY39" s="899"/>
      <c r="AOZ39" s="899"/>
      <c r="APA39" s="899"/>
      <c r="APB39" s="899"/>
      <c r="APC39" s="899"/>
      <c r="APD39" s="899"/>
      <c r="APE39" s="899"/>
      <c r="APF39" s="899"/>
      <c r="APG39" s="899"/>
      <c r="APH39" s="899"/>
      <c r="API39" s="899"/>
      <c r="APJ39" s="899"/>
      <c r="APK39" s="899"/>
      <c r="APL39" s="899"/>
      <c r="APM39" s="899"/>
      <c r="APN39" s="899"/>
      <c r="APO39" s="899"/>
      <c r="APP39" s="899"/>
      <c r="APQ39" s="899"/>
      <c r="APR39" s="899"/>
      <c r="APS39" s="899"/>
      <c r="APT39" s="899"/>
      <c r="APU39" s="899"/>
      <c r="APV39" s="899"/>
      <c r="APW39" s="899"/>
      <c r="APX39" s="899"/>
      <c r="APY39" s="899"/>
      <c r="APZ39" s="899"/>
      <c r="AQA39" s="899"/>
      <c r="AQB39" s="899"/>
      <c r="AQC39" s="899"/>
      <c r="AQD39" s="899"/>
      <c r="AQE39" s="899"/>
      <c r="AQF39" s="899"/>
      <c r="AQG39" s="899"/>
      <c r="AQH39" s="899"/>
      <c r="AQI39" s="899"/>
      <c r="AQJ39" s="899"/>
      <c r="AQK39" s="899"/>
      <c r="AQL39" s="899"/>
      <c r="AQM39" s="899"/>
      <c r="AQN39" s="899"/>
      <c r="AQO39" s="899"/>
      <c r="AQP39" s="899"/>
      <c r="AQQ39" s="899"/>
      <c r="AQR39" s="899"/>
      <c r="AQS39" s="899"/>
      <c r="AQT39" s="899"/>
      <c r="AQU39" s="899"/>
      <c r="AQV39" s="899"/>
      <c r="AQW39" s="899"/>
      <c r="AQX39" s="899"/>
      <c r="AQY39" s="899"/>
      <c r="AQZ39" s="899"/>
      <c r="ARA39" s="899"/>
      <c r="ARB39" s="899"/>
      <c r="ARC39" s="899"/>
      <c r="ARD39" s="899"/>
      <c r="ARE39" s="899"/>
      <c r="ARF39" s="899"/>
      <c r="ARG39" s="899"/>
      <c r="ARH39" s="899"/>
      <c r="ARI39" s="899"/>
      <c r="ARJ39" s="899"/>
      <c r="ARK39" s="899"/>
      <c r="ARL39" s="899"/>
      <c r="ARM39" s="899"/>
      <c r="ARN39" s="899"/>
      <c r="ARO39" s="899"/>
      <c r="ARP39" s="899"/>
      <c r="ARQ39" s="899"/>
      <c r="ARR39" s="899"/>
      <c r="ARS39" s="899"/>
      <c r="ART39" s="899"/>
      <c r="ARU39" s="899"/>
      <c r="ARV39" s="899"/>
      <c r="ARW39" s="899"/>
      <c r="ARX39" s="899"/>
      <c r="ARY39" s="899"/>
      <c r="ARZ39" s="899"/>
      <c r="ASA39" s="899"/>
      <c r="ASB39" s="899"/>
      <c r="ASC39" s="899"/>
      <c r="ASD39" s="899"/>
      <c r="ASE39" s="899"/>
      <c r="ASF39" s="899"/>
      <c r="ASG39" s="899"/>
      <c r="ASH39" s="899"/>
      <c r="ASI39" s="899"/>
      <c r="ASJ39" s="899"/>
      <c r="ASK39" s="899"/>
      <c r="ASL39" s="899"/>
      <c r="ASM39" s="899"/>
      <c r="ASN39" s="899"/>
      <c r="ASO39" s="899"/>
      <c r="ASP39" s="899"/>
      <c r="ASQ39" s="899"/>
      <c r="ASR39" s="899"/>
      <c r="ASS39" s="899"/>
      <c r="AST39" s="899"/>
      <c r="ASU39" s="899"/>
      <c r="ASV39" s="899"/>
      <c r="ASW39" s="899"/>
      <c r="ASX39" s="899"/>
      <c r="ASY39" s="899"/>
      <c r="ASZ39" s="899"/>
      <c r="ATA39" s="899"/>
      <c r="ATB39" s="899"/>
      <c r="ATC39" s="899"/>
      <c r="ATD39" s="899"/>
      <c r="ATE39" s="899"/>
      <c r="ATF39" s="899"/>
      <c r="ATG39" s="899"/>
      <c r="ATH39" s="899"/>
      <c r="ATI39" s="899"/>
      <c r="ATJ39" s="899"/>
      <c r="ATK39" s="899"/>
      <c r="ATL39" s="899"/>
      <c r="ATM39" s="899"/>
      <c r="ATN39" s="899"/>
      <c r="ATO39" s="899"/>
      <c r="ATP39" s="899"/>
      <c r="ATQ39" s="899"/>
      <c r="ATR39" s="899"/>
      <c r="ATS39" s="899"/>
      <c r="ATT39" s="899"/>
      <c r="ATU39" s="899"/>
      <c r="ATV39" s="899"/>
      <c r="ATW39" s="899"/>
      <c r="ATX39" s="899"/>
      <c r="ATY39" s="899"/>
      <c r="ATZ39" s="899"/>
      <c r="AUA39" s="899"/>
      <c r="AUB39" s="899"/>
      <c r="AUC39" s="899"/>
      <c r="AUD39" s="899"/>
      <c r="AUE39" s="899"/>
      <c r="AUF39" s="899"/>
      <c r="AUG39" s="899"/>
      <c r="AUH39" s="899"/>
      <c r="AUI39" s="899"/>
      <c r="AUJ39" s="899"/>
      <c r="AUK39" s="899"/>
      <c r="AUL39" s="899"/>
      <c r="AUM39" s="899"/>
      <c r="AUN39" s="899"/>
      <c r="AUO39" s="899"/>
      <c r="AUP39" s="899"/>
      <c r="AUQ39" s="899"/>
      <c r="AUR39" s="899"/>
      <c r="AUS39" s="899"/>
      <c r="AUT39" s="899"/>
      <c r="AUU39" s="899"/>
      <c r="AUV39" s="899"/>
      <c r="AUW39" s="899"/>
      <c r="AUX39" s="899"/>
      <c r="AUY39" s="899"/>
      <c r="AUZ39" s="899"/>
      <c r="AVA39" s="899"/>
      <c r="AVB39" s="899"/>
      <c r="AVC39" s="899"/>
      <c r="AVD39" s="899"/>
      <c r="AVE39" s="899"/>
      <c r="AVF39" s="899"/>
      <c r="AVG39" s="899"/>
      <c r="AVH39" s="899"/>
      <c r="AVI39" s="899"/>
      <c r="AVJ39" s="899"/>
      <c r="AVK39" s="899"/>
      <c r="AVL39" s="899"/>
      <c r="AVM39" s="899"/>
      <c r="AVN39" s="899"/>
      <c r="AVO39" s="899"/>
      <c r="AVP39" s="899"/>
      <c r="AVQ39" s="899"/>
      <c r="AVR39" s="899"/>
      <c r="AVS39" s="899"/>
      <c r="AVT39" s="899"/>
      <c r="AVU39" s="899"/>
      <c r="AVV39" s="899"/>
      <c r="AVW39" s="899"/>
      <c r="AVX39" s="899"/>
      <c r="AVY39" s="899"/>
      <c r="AVZ39" s="899"/>
      <c r="AWA39" s="899"/>
      <c r="AWB39" s="899"/>
      <c r="AWC39" s="899"/>
      <c r="AWD39" s="899"/>
      <c r="AWE39" s="899"/>
      <c r="AWF39" s="899"/>
      <c r="AWG39" s="899"/>
      <c r="AWH39" s="899"/>
      <c r="AWI39" s="899"/>
      <c r="AWJ39" s="899"/>
      <c r="AWK39" s="899"/>
      <c r="AWL39" s="899"/>
      <c r="AWM39" s="899"/>
      <c r="AWN39" s="899"/>
      <c r="AWO39" s="899"/>
      <c r="AWP39" s="899"/>
      <c r="AWQ39" s="899"/>
      <c r="AWR39" s="899"/>
      <c r="AWS39" s="899"/>
      <c r="AWT39" s="899"/>
      <c r="AWU39" s="899"/>
      <c r="AWV39" s="899"/>
      <c r="AWW39" s="899"/>
      <c r="AWX39" s="899"/>
      <c r="AWY39" s="899"/>
      <c r="AWZ39" s="899"/>
      <c r="AXA39" s="899"/>
      <c r="AXB39" s="899"/>
      <c r="AXC39" s="899"/>
      <c r="AXD39" s="899"/>
      <c r="AXE39" s="899"/>
      <c r="AXF39" s="899"/>
      <c r="AXG39" s="899"/>
      <c r="AXH39" s="899"/>
      <c r="AXI39" s="899"/>
      <c r="AXJ39" s="899"/>
      <c r="AXK39" s="899"/>
      <c r="AXL39" s="899"/>
      <c r="AXM39" s="899"/>
      <c r="AXN39" s="899"/>
      <c r="AXO39" s="899"/>
      <c r="AXP39" s="899"/>
      <c r="AXQ39" s="899"/>
      <c r="AXR39" s="899"/>
      <c r="AXS39" s="899"/>
      <c r="AXT39" s="899"/>
      <c r="AXU39" s="899"/>
      <c r="AXV39" s="899"/>
      <c r="AXW39" s="899"/>
      <c r="AXX39" s="899"/>
      <c r="AXY39" s="899"/>
      <c r="AXZ39" s="899"/>
      <c r="AYA39" s="899"/>
      <c r="AYB39" s="899"/>
      <c r="AYC39" s="899"/>
      <c r="AYD39" s="899"/>
      <c r="AYE39" s="899"/>
      <c r="AYF39" s="899"/>
      <c r="AYG39" s="899"/>
      <c r="AYH39" s="899"/>
      <c r="AYI39" s="899"/>
      <c r="AYJ39" s="899"/>
      <c r="AYK39" s="899"/>
      <c r="AYL39" s="899"/>
      <c r="AYM39" s="899"/>
      <c r="AYN39" s="899"/>
      <c r="AYO39" s="899"/>
      <c r="AYP39" s="899"/>
      <c r="AYQ39" s="899"/>
      <c r="AYR39" s="899"/>
      <c r="AYS39" s="899"/>
      <c r="AYT39" s="899"/>
      <c r="AYU39" s="899"/>
      <c r="AYV39" s="899"/>
      <c r="AYW39" s="899"/>
      <c r="AYX39" s="899"/>
      <c r="AYY39" s="899"/>
      <c r="AYZ39" s="899"/>
      <c r="AZA39" s="899"/>
      <c r="AZB39" s="899"/>
      <c r="AZC39" s="899"/>
      <c r="AZD39" s="899"/>
      <c r="AZE39" s="899"/>
      <c r="AZF39" s="899"/>
      <c r="AZG39" s="899"/>
      <c r="AZH39" s="899"/>
      <c r="AZI39" s="899"/>
      <c r="AZJ39" s="899"/>
      <c r="AZK39" s="899"/>
      <c r="AZL39" s="899"/>
      <c r="AZM39" s="899"/>
      <c r="AZN39" s="899"/>
      <c r="AZO39" s="899"/>
      <c r="AZP39" s="899"/>
      <c r="AZQ39" s="899"/>
      <c r="AZR39" s="899"/>
      <c r="AZS39" s="899"/>
      <c r="AZT39" s="899"/>
      <c r="AZU39" s="899"/>
      <c r="AZV39" s="899"/>
      <c r="AZW39" s="899"/>
      <c r="AZX39" s="899"/>
      <c r="AZY39" s="899"/>
      <c r="AZZ39" s="899"/>
      <c r="BAA39" s="899"/>
      <c r="BAB39" s="899"/>
      <c r="BAC39" s="899"/>
      <c r="BAD39" s="899"/>
      <c r="BAE39" s="899"/>
      <c r="BAF39" s="899"/>
      <c r="BAG39" s="899"/>
      <c r="BAH39" s="899"/>
      <c r="BAI39" s="899"/>
      <c r="BAJ39" s="899"/>
      <c r="BAK39" s="899"/>
      <c r="BAL39" s="899"/>
      <c r="BAM39" s="899"/>
      <c r="BAN39" s="899"/>
      <c r="BAO39" s="899"/>
      <c r="BAP39" s="899"/>
      <c r="BAQ39" s="899"/>
      <c r="BAR39" s="899"/>
      <c r="BAS39" s="899"/>
      <c r="BAT39" s="899"/>
      <c r="BAU39" s="899"/>
      <c r="BAV39" s="899"/>
      <c r="BAW39" s="899"/>
      <c r="BAX39" s="899"/>
      <c r="BAY39" s="899"/>
      <c r="BAZ39" s="899"/>
      <c r="BBA39" s="899"/>
      <c r="BBB39" s="899"/>
      <c r="BBC39" s="899"/>
      <c r="BBD39" s="899"/>
      <c r="BBE39" s="899"/>
      <c r="BBF39" s="899"/>
      <c r="BBG39" s="899"/>
      <c r="BBH39" s="899"/>
      <c r="BBI39" s="899"/>
      <c r="BBJ39" s="899"/>
      <c r="BBK39" s="899"/>
      <c r="BBL39" s="899"/>
      <c r="BBM39" s="899"/>
      <c r="BBN39" s="899"/>
      <c r="BBO39" s="899"/>
      <c r="BBP39" s="899"/>
      <c r="BBQ39" s="899"/>
      <c r="BBR39" s="899"/>
      <c r="BBS39" s="899"/>
      <c r="BBT39" s="899"/>
      <c r="BBU39" s="899"/>
      <c r="BBV39" s="899"/>
      <c r="BBW39" s="899"/>
      <c r="BBX39" s="899"/>
      <c r="BBY39" s="899"/>
      <c r="BBZ39" s="899"/>
      <c r="BCA39" s="899"/>
      <c r="BCB39" s="899"/>
      <c r="BCC39" s="899"/>
      <c r="BCD39" s="899"/>
      <c r="BCE39" s="899"/>
      <c r="BCF39" s="899"/>
      <c r="BCG39" s="899"/>
      <c r="BCH39" s="899"/>
      <c r="BCI39" s="899"/>
      <c r="BCJ39" s="899"/>
      <c r="BCK39" s="899"/>
      <c r="BCL39" s="899"/>
      <c r="BCM39" s="899"/>
      <c r="BCN39" s="899"/>
      <c r="BCO39" s="899"/>
      <c r="BCP39" s="899"/>
      <c r="BCQ39" s="899"/>
      <c r="BCR39" s="899"/>
      <c r="BCS39" s="899"/>
      <c r="BCT39" s="899"/>
      <c r="BCU39" s="899"/>
      <c r="BCV39" s="899"/>
      <c r="BCW39" s="899"/>
      <c r="BCX39" s="899"/>
      <c r="BCY39" s="899"/>
      <c r="BCZ39" s="899"/>
      <c r="BDA39" s="899"/>
      <c r="BDB39" s="899"/>
      <c r="BDC39" s="899"/>
      <c r="BDD39" s="899"/>
      <c r="BDE39" s="899"/>
      <c r="BDF39" s="899"/>
      <c r="BDG39" s="899"/>
      <c r="BDH39" s="899"/>
      <c r="BDI39" s="899"/>
      <c r="BDJ39" s="899"/>
      <c r="BDK39" s="899"/>
      <c r="BDL39" s="899"/>
      <c r="BDM39" s="899"/>
      <c r="BDN39" s="899"/>
      <c r="BDO39" s="899"/>
      <c r="BDP39" s="899"/>
      <c r="BDQ39" s="899"/>
      <c r="BDR39" s="899"/>
      <c r="BDS39" s="899"/>
      <c r="BDT39" s="899"/>
      <c r="BDU39" s="899"/>
      <c r="BDV39" s="899"/>
      <c r="BDW39" s="899"/>
      <c r="BDX39" s="899"/>
      <c r="BDY39" s="899"/>
      <c r="BDZ39" s="899"/>
      <c r="BEA39" s="899"/>
      <c r="BEB39" s="899"/>
      <c r="BEC39" s="899"/>
      <c r="BED39" s="899"/>
      <c r="BEE39" s="899"/>
      <c r="BEF39" s="899"/>
      <c r="BEG39" s="899"/>
      <c r="BEH39" s="899"/>
      <c r="BEI39" s="899"/>
      <c r="BEJ39" s="899"/>
      <c r="BEK39" s="899"/>
      <c r="BEL39" s="899"/>
      <c r="BEM39" s="899"/>
      <c r="BEN39" s="899"/>
      <c r="BEO39" s="899"/>
      <c r="BEP39" s="899"/>
      <c r="BEQ39" s="899"/>
      <c r="BER39" s="899"/>
      <c r="BES39" s="899"/>
      <c r="BET39" s="899"/>
      <c r="BEU39" s="899"/>
      <c r="BEV39" s="899"/>
      <c r="BEW39" s="899"/>
      <c r="BEX39" s="899"/>
      <c r="BEY39" s="899"/>
      <c r="BEZ39" s="899"/>
      <c r="BFA39" s="899"/>
      <c r="BFB39" s="899"/>
      <c r="BFC39" s="899"/>
      <c r="BFD39" s="899"/>
      <c r="BFE39" s="899"/>
      <c r="BFF39" s="899"/>
      <c r="BFG39" s="899"/>
      <c r="BFH39" s="899"/>
      <c r="BFI39" s="899"/>
      <c r="BFJ39" s="899"/>
      <c r="BFK39" s="899"/>
      <c r="BFL39" s="899"/>
      <c r="BFM39" s="899"/>
      <c r="BFN39" s="899"/>
      <c r="BFO39" s="899"/>
      <c r="BFP39" s="899"/>
      <c r="BFQ39" s="899"/>
      <c r="BFR39" s="899"/>
      <c r="BFS39" s="899"/>
      <c r="BFT39" s="899"/>
      <c r="BFU39" s="899"/>
      <c r="BFV39" s="899"/>
      <c r="BFW39" s="899"/>
      <c r="BFX39" s="899"/>
      <c r="BFY39" s="899"/>
      <c r="BFZ39" s="899"/>
      <c r="BGA39" s="899"/>
      <c r="BGB39" s="899"/>
      <c r="BGC39" s="899"/>
      <c r="BGD39" s="899"/>
      <c r="BGE39" s="899"/>
      <c r="BGF39" s="899"/>
      <c r="BGG39" s="899"/>
      <c r="BGH39" s="899"/>
      <c r="BGI39" s="899"/>
      <c r="BGJ39" s="899"/>
      <c r="BGK39" s="899"/>
      <c r="BGL39" s="899"/>
      <c r="BGM39" s="899"/>
      <c r="BGN39" s="899"/>
      <c r="BGO39" s="899"/>
      <c r="BGP39" s="899"/>
      <c r="BGQ39" s="899"/>
      <c r="BGR39" s="899"/>
      <c r="BGS39" s="899"/>
      <c r="BGT39" s="899"/>
      <c r="BGU39" s="899"/>
      <c r="BGV39" s="899"/>
      <c r="BGW39" s="899"/>
      <c r="BGX39" s="899"/>
      <c r="BGY39" s="899"/>
      <c r="BGZ39" s="899"/>
      <c r="BHA39" s="899"/>
      <c r="BHB39" s="899"/>
      <c r="BHC39" s="899"/>
      <c r="BHD39" s="899"/>
      <c r="BHE39" s="899"/>
      <c r="BHF39" s="899"/>
      <c r="BHG39" s="899"/>
      <c r="BHH39" s="899"/>
      <c r="BHI39" s="899"/>
      <c r="BHJ39" s="899"/>
      <c r="BHK39" s="899"/>
      <c r="BHL39" s="899"/>
      <c r="BHM39" s="899"/>
      <c r="BHN39" s="899"/>
      <c r="BHO39" s="899"/>
      <c r="BHP39" s="899"/>
      <c r="BHQ39" s="899"/>
      <c r="BHR39" s="899"/>
      <c r="BHS39" s="899"/>
      <c r="BHT39" s="899"/>
      <c r="BHU39" s="899"/>
      <c r="BHV39" s="899"/>
      <c r="BHW39" s="899"/>
      <c r="BHX39" s="899"/>
      <c r="BHY39" s="899"/>
      <c r="BHZ39" s="899"/>
      <c r="BIA39" s="899"/>
      <c r="BIB39" s="899"/>
      <c r="BIC39" s="899"/>
      <c r="BID39" s="899"/>
      <c r="BIE39" s="899"/>
      <c r="BIF39" s="899"/>
      <c r="BIG39" s="899"/>
      <c r="BIH39" s="899"/>
      <c r="BII39" s="899"/>
      <c r="BIJ39" s="899"/>
      <c r="BIK39" s="899"/>
      <c r="BIL39" s="899"/>
      <c r="BIM39" s="899"/>
      <c r="BIN39" s="899"/>
      <c r="BIO39" s="899"/>
      <c r="BIP39" s="899"/>
      <c r="BIQ39" s="899"/>
      <c r="BIR39" s="899"/>
      <c r="BIS39" s="899"/>
      <c r="BIT39" s="899"/>
      <c r="BIU39" s="899"/>
      <c r="BIV39" s="899"/>
      <c r="BIW39" s="899"/>
      <c r="BIX39" s="899"/>
      <c r="BIY39" s="899"/>
      <c r="BIZ39" s="899"/>
      <c r="BJA39" s="899"/>
      <c r="BJB39" s="899"/>
      <c r="BJC39" s="899"/>
      <c r="BJD39" s="899"/>
      <c r="BJE39" s="899"/>
      <c r="BJF39" s="899"/>
      <c r="BJG39" s="899"/>
      <c r="BJH39" s="899"/>
      <c r="BJI39" s="899"/>
      <c r="BJJ39" s="899"/>
      <c r="BJK39" s="899"/>
      <c r="BJL39" s="899"/>
      <c r="BJM39" s="899"/>
      <c r="BJN39" s="899"/>
      <c r="BJO39" s="899"/>
      <c r="BJP39" s="899"/>
      <c r="BJQ39" s="899"/>
      <c r="BJR39" s="899"/>
      <c r="BJS39" s="899"/>
      <c r="BJT39" s="899"/>
      <c r="BJU39" s="899"/>
      <c r="BJV39" s="899"/>
      <c r="BJW39" s="899"/>
      <c r="BJX39" s="899"/>
      <c r="BJY39" s="899"/>
      <c r="BJZ39" s="899"/>
      <c r="BKA39" s="899"/>
      <c r="BKB39" s="899"/>
      <c r="BKC39" s="899"/>
      <c r="BKD39" s="899"/>
      <c r="BKE39" s="899"/>
      <c r="BKF39" s="899"/>
      <c r="BKG39" s="899"/>
      <c r="BKH39" s="899"/>
      <c r="BKI39" s="899"/>
      <c r="BKJ39" s="899"/>
      <c r="BKK39" s="899"/>
      <c r="BKL39" s="899"/>
      <c r="BKM39" s="899"/>
      <c r="BKN39" s="899"/>
      <c r="BKO39" s="899"/>
      <c r="BKP39" s="899"/>
      <c r="BKQ39" s="899"/>
      <c r="BKR39" s="899"/>
      <c r="BKS39" s="899"/>
      <c r="BKT39" s="899"/>
      <c r="BKU39" s="899"/>
      <c r="BKV39" s="899"/>
      <c r="BKW39" s="899"/>
      <c r="BKX39" s="899"/>
      <c r="BKY39" s="899"/>
      <c r="BKZ39" s="899"/>
      <c r="BLA39" s="899"/>
      <c r="BLB39" s="899"/>
      <c r="BLC39" s="899"/>
      <c r="BLD39" s="899"/>
      <c r="BLE39" s="899"/>
      <c r="BLF39" s="899"/>
      <c r="BLG39" s="899"/>
      <c r="BLH39" s="899"/>
      <c r="BLI39" s="899"/>
      <c r="BLJ39" s="899"/>
      <c r="BLK39" s="899"/>
      <c r="BLL39" s="899"/>
      <c r="BLM39" s="899"/>
      <c r="BLN39" s="899"/>
      <c r="BLO39" s="899"/>
      <c r="BLP39" s="899"/>
      <c r="BLQ39" s="899"/>
      <c r="BLR39" s="899"/>
      <c r="BLS39" s="899"/>
      <c r="BLT39" s="899"/>
      <c r="BLU39" s="899"/>
      <c r="BLV39" s="899"/>
      <c r="BLW39" s="899"/>
      <c r="BLX39" s="899"/>
      <c r="BLY39" s="899"/>
      <c r="BLZ39" s="899"/>
      <c r="BMA39" s="899"/>
      <c r="BMB39" s="899"/>
      <c r="BMC39" s="899"/>
      <c r="BMD39" s="899"/>
      <c r="BME39" s="899"/>
      <c r="BMF39" s="899"/>
      <c r="BMG39" s="899"/>
      <c r="BMH39" s="899"/>
      <c r="BMI39" s="899"/>
      <c r="BMJ39" s="899"/>
      <c r="BMK39" s="899"/>
      <c r="BML39" s="899"/>
      <c r="BMM39" s="899"/>
      <c r="BMN39" s="899"/>
      <c r="BMO39" s="899"/>
      <c r="BMP39" s="899"/>
      <c r="BMQ39" s="899"/>
      <c r="BMR39" s="899"/>
      <c r="BMS39" s="899"/>
      <c r="BMT39" s="899"/>
      <c r="BMU39" s="899"/>
      <c r="BMV39" s="899"/>
      <c r="BMW39" s="899"/>
      <c r="BMX39" s="899"/>
      <c r="BMY39" s="899"/>
      <c r="BMZ39" s="899"/>
      <c r="BNA39" s="899"/>
      <c r="BNB39" s="899"/>
      <c r="BNC39" s="899"/>
      <c r="BND39" s="899"/>
      <c r="BNE39" s="899"/>
      <c r="BNF39" s="899"/>
      <c r="BNG39" s="899"/>
      <c r="BNH39" s="899"/>
      <c r="BNI39" s="899"/>
      <c r="BNJ39" s="899"/>
      <c r="BNK39" s="899"/>
      <c r="BNL39" s="899"/>
      <c r="BNM39" s="899"/>
      <c r="BNN39" s="899"/>
      <c r="BNO39" s="899"/>
      <c r="BNP39" s="899"/>
      <c r="BNQ39" s="899"/>
      <c r="BNR39" s="899"/>
      <c r="BNS39" s="899"/>
      <c r="BNT39" s="899"/>
      <c r="BNU39" s="899"/>
      <c r="BNV39" s="899"/>
      <c r="BNW39" s="899"/>
      <c r="BNX39" s="899"/>
      <c r="BNY39" s="899"/>
      <c r="BNZ39" s="899"/>
      <c r="BOA39" s="899"/>
      <c r="BOB39" s="899"/>
      <c r="BOC39" s="899"/>
      <c r="BOD39" s="899"/>
      <c r="BOE39" s="899"/>
      <c r="BOF39" s="899"/>
      <c r="BOG39" s="899"/>
      <c r="BOH39" s="899"/>
      <c r="BOI39" s="899"/>
      <c r="BOJ39" s="899"/>
      <c r="BOK39" s="899"/>
      <c r="BOL39" s="899"/>
      <c r="BOM39" s="899"/>
      <c r="BON39" s="899"/>
      <c r="BOO39" s="899"/>
      <c r="BOP39" s="899"/>
      <c r="BOQ39" s="899"/>
      <c r="BOR39" s="899"/>
      <c r="BOS39" s="899"/>
      <c r="BOT39" s="899"/>
      <c r="BOU39" s="899"/>
      <c r="BOV39" s="899"/>
      <c r="BOW39" s="899"/>
      <c r="BOX39" s="899"/>
      <c r="BOY39" s="899"/>
      <c r="BOZ39" s="899"/>
      <c r="BPA39" s="899"/>
      <c r="BPB39" s="899"/>
      <c r="BPC39" s="899"/>
      <c r="BPD39" s="899"/>
      <c r="BPE39" s="899"/>
      <c r="BPF39" s="899"/>
      <c r="BPG39" s="899"/>
      <c r="BPH39" s="899"/>
      <c r="BPI39" s="899"/>
      <c r="BPJ39" s="899"/>
      <c r="BPK39" s="899"/>
      <c r="BPL39" s="899"/>
      <c r="BPM39" s="899"/>
      <c r="BPN39" s="899"/>
      <c r="BPO39" s="899"/>
      <c r="BPP39" s="899"/>
      <c r="BPQ39" s="899"/>
      <c r="BPR39" s="899"/>
      <c r="BPS39" s="899"/>
      <c r="BPT39" s="899"/>
      <c r="BPU39" s="899"/>
      <c r="BPV39" s="899"/>
      <c r="BPW39" s="899"/>
      <c r="BPX39" s="899"/>
      <c r="BPY39" s="899"/>
      <c r="BPZ39" s="899"/>
      <c r="BQA39" s="899"/>
      <c r="BQB39" s="899"/>
      <c r="BQC39" s="899"/>
      <c r="BQD39" s="899"/>
      <c r="BQE39" s="899"/>
      <c r="BQF39" s="899"/>
      <c r="BQG39" s="899"/>
      <c r="BQH39" s="899"/>
      <c r="BQI39" s="899"/>
      <c r="BQJ39" s="899"/>
      <c r="BQK39" s="899"/>
      <c r="BQL39" s="899"/>
      <c r="BQM39" s="899"/>
      <c r="BQN39" s="899"/>
      <c r="BQO39" s="899"/>
      <c r="BQP39" s="899"/>
      <c r="BQQ39" s="899"/>
      <c r="BQR39" s="899"/>
      <c r="BQS39" s="899"/>
      <c r="BQT39" s="899"/>
      <c r="BQU39" s="899"/>
      <c r="BQV39" s="899"/>
      <c r="BQW39" s="899"/>
      <c r="BQX39" s="899"/>
      <c r="BQY39" s="899"/>
      <c r="BQZ39" s="899"/>
      <c r="BRA39" s="899"/>
      <c r="BRB39" s="899"/>
      <c r="BRC39" s="899"/>
      <c r="BRD39" s="899"/>
      <c r="BRE39" s="899"/>
      <c r="BRF39" s="899"/>
      <c r="BRG39" s="899"/>
      <c r="BRH39" s="899"/>
      <c r="BRI39" s="899"/>
      <c r="BRJ39" s="899"/>
      <c r="BRK39" s="899"/>
      <c r="BRL39" s="899"/>
      <c r="BRM39" s="899"/>
      <c r="BRN39" s="899"/>
      <c r="BRO39" s="899"/>
      <c r="BRP39" s="899"/>
      <c r="BRQ39" s="899"/>
      <c r="BRR39" s="899"/>
      <c r="BRS39" s="899"/>
      <c r="BRT39" s="899"/>
      <c r="BRU39" s="899"/>
      <c r="BRV39" s="899"/>
      <c r="BRW39" s="899"/>
      <c r="BRX39" s="899"/>
      <c r="BRY39" s="899"/>
      <c r="BRZ39" s="899"/>
      <c r="BSA39" s="899"/>
      <c r="BSB39" s="899"/>
      <c r="BSC39" s="899"/>
      <c r="BSD39" s="899"/>
      <c r="BSE39" s="899"/>
      <c r="BSF39" s="899"/>
      <c r="BSG39" s="899"/>
      <c r="BSH39" s="899"/>
      <c r="BSI39" s="899"/>
      <c r="BSJ39" s="899"/>
      <c r="BSK39" s="899"/>
      <c r="BSL39" s="899"/>
      <c r="BSM39" s="899"/>
      <c r="BSN39" s="899"/>
      <c r="BSO39" s="899"/>
      <c r="BSP39" s="899"/>
      <c r="BSQ39" s="899"/>
      <c r="BSR39" s="899"/>
      <c r="BSS39" s="899"/>
      <c r="BST39" s="899"/>
      <c r="BSU39" s="899"/>
      <c r="BSV39" s="899"/>
      <c r="BSW39" s="899"/>
      <c r="BSX39" s="899"/>
      <c r="BSY39" s="899"/>
      <c r="BSZ39" s="899"/>
      <c r="BTA39" s="899"/>
      <c r="BTB39" s="899"/>
      <c r="BTC39" s="899"/>
      <c r="BTD39" s="899"/>
      <c r="BTE39" s="899"/>
      <c r="BTF39" s="899"/>
      <c r="BTG39" s="899"/>
      <c r="BTH39" s="899"/>
      <c r="BTI39" s="899"/>
      <c r="BTJ39" s="899"/>
      <c r="BTK39" s="899"/>
      <c r="BTL39" s="899"/>
      <c r="BTM39" s="899"/>
      <c r="BTN39" s="899"/>
      <c r="BTO39" s="899"/>
      <c r="BTP39" s="899"/>
      <c r="BTQ39" s="899"/>
      <c r="BTR39" s="899"/>
      <c r="BTS39" s="899"/>
      <c r="BTT39" s="899"/>
      <c r="BTU39" s="899"/>
      <c r="BTV39" s="899"/>
      <c r="BTW39" s="899"/>
      <c r="BTX39" s="899"/>
      <c r="BTY39" s="899"/>
      <c r="BTZ39" s="899"/>
      <c r="BUA39" s="899"/>
      <c r="BUB39" s="899"/>
      <c r="BUC39" s="899"/>
      <c r="BUD39" s="899"/>
      <c r="BUE39" s="899"/>
      <c r="BUF39" s="899"/>
      <c r="BUG39" s="899"/>
      <c r="BUH39" s="899"/>
      <c r="BUI39" s="899"/>
      <c r="BUJ39" s="899"/>
      <c r="BUK39" s="899"/>
      <c r="BUL39" s="899"/>
      <c r="BUM39" s="899"/>
      <c r="BUN39" s="899"/>
      <c r="BUO39" s="899"/>
      <c r="BUP39" s="899"/>
      <c r="BUQ39" s="899"/>
      <c r="BUR39" s="899"/>
      <c r="BUS39" s="899"/>
      <c r="BUT39" s="899"/>
      <c r="BUU39" s="899"/>
      <c r="BUV39" s="899"/>
      <c r="BUW39" s="899"/>
      <c r="BUX39" s="899"/>
      <c r="BUY39" s="899"/>
      <c r="BUZ39" s="899"/>
      <c r="BVA39" s="899"/>
      <c r="BVB39" s="899"/>
      <c r="BVC39" s="899"/>
      <c r="BVD39" s="899"/>
      <c r="BVE39" s="899"/>
      <c r="BVF39" s="899"/>
      <c r="BVG39" s="899"/>
      <c r="BVH39" s="899"/>
      <c r="BVI39" s="899"/>
      <c r="BVJ39" s="899"/>
      <c r="BVK39" s="899"/>
      <c r="BVL39" s="899"/>
      <c r="BVM39" s="899"/>
      <c r="BVN39" s="899"/>
      <c r="BVO39" s="899"/>
      <c r="BVP39" s="899"/>
      <c r="BVQ39" s="899"/>
      <c r="BVR39" s="899"/>
      <c r="BVS39" s="899"/>
      <c r="BVT39" s="899"/>
      <c r="BVU39" s="899"/>
      <c r="BVV39" s="899"/>
      <c r="BVW39" s="899"/>
      <c r="BVX39" s="899"/>
      <c r="BVY39" s="899"/>
      <c r="BVZ39" s="899"/>
      <c r="BWA39" s="899"/>
      <c r="BWB39" s="899"/>
      <c r="BWC39" s="899"/>
      <c r="BWD39" s="899"/>
      <c r="BWE39" s="899"/>
      <c r="BWF39" s="899"/>
      <c r="BWG39" s="899"/>
      <c r="BWH39" s="899"/>
      <c r="BWI39" s="899"/>
      <c r="BWJ39" s="899"/>
      <c r="BWK39" s="899"/>
      <c r="BWL39" s="899"/>
      <c r="BWM39" s="899"/>
      <c r="BWN39" s="899"/>
      <c r="BWO39" s="899"/>
      <c r="BWP39" s="899"/>
      <c r="BWQ39" s="899"/>
      <c r="BWR39" s="899"/>
      <c r="BWS39" s="899"/>
      <c r="BWT39" s="899"/>
      <c r="BWU39" s="899"/>
      <c r="BWV39" s="899"/>
      <c r="BWW39" s="899"/>
      <c r="BWX39" s="899"/>
      <c r="BWY39" s="899"/>
      <c r="BWZ39" s="899"/>
      <c r="BXA39" s="899"/>
      <c r="BXB39" s="899"/>
      <c r="BXC39" s="899"/>
      <c r="BXD39" s="899"/>
      <c r="BXE39" s="899"/>
      <c r="BXF39" s="899"/>
      <c r="BXG39" s="899"/>
      <c r="BXH39" s="899"/>
      <c r="BXI39" s="899"/>
      <c r="BXJ39" s="899"/>
      <c r="BXK39" s="899"/>
      <c r="BXL39" s="899"/>
      <c r="BXM39" s="899"/>
      <c r="BXN39" s="899"/>
      <c r="BXO39" s="899"/>
      <c r="BXP39" s="899"/>
      <c r="BXQ39" s="899"/>
      <c r="BXR39" s="899"/>
      <c r="BXS39" s="899"/>
      <c r="BXT39" s="899"/>
      <c r="BXU39" s="899"/>
      <c r="BXV39" s="899"/>
      <c r="BXW39" s="899"/>
      <c r="BXX39" s="899"/>
      <c r="BXY39" s="899"/>
      <c r="BXZ39" s="899"/>
      <c r="BYA39" s="899"/>
      <c r="BYB39" s="899"/>
      <c r="BYC39" s="899"/>
      <c r="BYD39" s="899"/>
      <c r="BYE39" s="899"/>
      <c r="BYF39" s="899"/>
      <c r="BYG39" s="899"/>
      <c r="BYH39" s="899"/>
      <c r="BYI39" s="899"/>
      <c r="BYJ39" s="899"/>
      <c r="BYK39" s="899"/>
      <c r="BYL39" s="899"/>
      <c r="BYM39" s="899"/>
      <c r="BYN39" s="899"/>
      <c r="BYO39" s="899"/>
      <c r="BYP39" s="899"/>
      <c r="BYQ39" s="899"/>
      <c r="BYR39" s="899"/>
      <c r="BYS39" s="899"/>
      <c r="BYT39" s="899"/>
      <c r="BYU39" s="899"/>
      <c r="BYV39" s="899"/>
      <c r="BYW39" s="899"/>
      <c r="BYX39" s="899"/>
      <c r="BYY39" s="899"/>
      <c r="BYZ39" s="899"/>
      <c r="BZA39" s="899"/>
      <c r="BZB39" s="899"/>
      <c r="BZC39" s="899"/>
      <c r="BZD39" s="899"/>
      <c r="BZE39" s="899"/>
      <c r="BZF39" s="899"/>
      <c r="BZG39" s="899"/>
      <c r="BZH39" s="899"/>
      <c r="BZI39" s="899"/>
      <c r="BZJ39" s="899"/>
      <c r="BZK39" s="899"/>
      <c r="BZL39" s="899"/>
      <c r="BZM39" s="899"/>
      <c r="BZN39" s="899"/>
      <c r="BZO39" s="899"/>
      <c r="BZP39" s="899"/>
      <c r="BZQ39" s="899"/>
      <c r="BZR39" s="899"/>
      <c r="BZS39" s="899"/>
      <c r="BZT39" s="899"/>
      <c r="BZU39" s="899"/>
      <c r="BZV39" s="899"/>
      <c r="BZW39" s="899"/>
      <c r="BZX39" s="899"/>
      <c r="BZY39" s="899"/>
      <c r="BZZ39" s="899"/>
      <c r="CAA39" s="899"/>
      <c r="CAB39" s="899"/>
      <c r="CAC39" s="899"/>
      <c r="CAD39" s="899"/>
      <c r="CAE39" s="899"/>
      <c r="CAF39" s="899"/>
      <c r="CAG39" s="899"/>
      <c r="CAH39" s="899"/>
      <c r="CAI39" s="899"/>
      <c r="CAJ39" s="899"/>
      <c r="CAK39" s="899"/>
      <c r="CAL39" s="899"/>
      <c r="CAM39" s="899"/>
      <c r="CAN39" s="899"/>
      <c r="CAO39" s="899"/>
      <c r="CAP39" s="899"/>
      <c r="CAQ39" s="899"/>
      <c r="CAR39" s="899"/>
      <c r="CAS39" s="899"/>
      <c r="CAT39" s="899"/>
      <c r="CAU39" s="899"/>
      <c r="CAV39" s="899"/>
      <c r="CAW39" s="899"/>
      <c r="CAX39" s="899"/>
      <c r="CAY39" s="899"/>
      <c r="CAZ39" s="899"/>
      <c r="CBA39" s="899"/>
      <c r="CBB39" s="899"/>
      <c r="CBC39" s="899"/>
      <c r="CBD39" s="899"/>
      <c r="CBE39" s="899"/>
      <c r="CBF39" s="899"/>
      <c r="CBG39" s="899"/>
      <c r="CBH39" s="899"/>
      <c r="CBI39" s="899"/>
      <c r="CBJ39" s="899"/>
      <c r="CBK39" s="899"/>
      <c r="CBL39" s="899"/>
      <c r="CBM39" s="899"/>
      <c r="CBN39" s="899"/>
      <c r="CBO39" s="899"/>
      <c r="CBP39" s="899"/>
      <c r="CBQ39" s="899"/>
      <c r="CBR39" s="899"/>
      <c r="CBS39" s="899"/>
      <c r="CBT39" s="899"/>
      <c r="CBU39" s="899"/>
      <c r="CBV39" s="899"/>
      <c r="CBW39" s="899"/>
      <c r="CBX39" s="899"/>
      <c r="CBY39" s="899"/>
      <c r="CBZ39" s="899"/>
      <c r="CCA39" s="899"/>
      <c r="CCB39" s="899"/>
      <c r="CCC39" s="899"/>
      <c r="CCD39" s="899"/>
      <c r="CCE39" s="899"/>
      <c r="CCF39" s="899"/>
      <c r="CCG39" s="899"/>
      <c r="CCH39" s="899"/>
      <c r="CCI39" s="899"/>
      <c r="CCJ39" s="899"/>
      <c r="CCK39" s="899"/>
      <c r="CCL39" s="899"/>
      <c r="CCM39" s="899"/>
      <c r="CCN39" s="899"/>
      <c r="CCO39" s="899"/>
      <c r="CCP39" s="899"/>
      <c r="CCQ39" s="899"/>
      <c r="CCR39" s="899"/>
      <c r="CCS39" s="899"/>
      <c r="CCT39" s="899"/>
      <c r="CCU39" s="899"/>
      <c r="CCV39" s="899"/>
      <c r="CCW39" s="899"/>
      <c r="CCX39" s="899"/>
      <c r="CCY39" s="899"/>
      <c r="CCZ39" s="899"/>
      <c r="CDA39" s="899"/>
      <c r="CDB39" s="899"/>
      <c r="CDC39" s="899"/>
      <c r="CDD39" s="899"/>
      <c r="CDE39" s="899"/>
      <c r="CDF39" s="899"/>
      <c r="CDG39" s="899"/>
      <c r="CDH39" s="899"/>
      <c r="CDI39" s="899"/>
      <c r="CDJ39" s="899"/>
      <c r="CDK39" s="899"/>
      <c r="CDL39" s="899"/>
      <c r="CDM39" s="899"/>
      <c r="CDN39" s="899"/>
      <c r="CDO39" s="899"/>
      <c r="CDP39" s="899"/>
      <c r="CDQ39" s="899"/>
      <c r="CDR39" s="899"/>
      <c r="CDS39" s="899"/>
      <c r="CDT39" s="899"/>
      <c r="CDU39" s="899"/>
      <c r="CDV39" s="899"/>
      <c r="CDW39" s="899"/>
      <c r="CDX39" s="899"/>
      <c r="CDY39" s="899"/>
      <c r="CDZ39" s="899"/>
      <c r="CEA39" s="899"/>
      <c r="CEB39" s="899"/>
      <c r="CEC39" s="899"/>
      <c r="CED39" s="899"/>
      <c r="CEE39" s="899"/>
      <c r="CEF39" s="899"/>
      <c r="CEG39" s="899"/>
      <c r="CEH39" s="899"/>
      <c r="CEI39" s="899"/>
      <c r="CEJ39" s="899"/>
      <c r="CEK39" s="899"/>
      <c r="CEL39" s="899"/>
      <c r="CEM39" s="899"/>
      <c r="CEN39" s="899"/>
      <c r="CEO39" s="899"/>
      <c r="CEP39" s="899"/>
      <c r="CEQ39" s="899"/>
      <c r="CER39" s="899"/>
      <c r="CES39" s="899"/>
      <c r="CET39" s="899"/>
      <c r="CEU39" s="899"/>
      <c r="CEV39" s="899"/>
      <c r="CEW39" s="899"/>
      <c r="CEX39" s="899"/>
      <c r="CEY39" s="899"/>
      <c r="CEZ39" s="899"/>
      <c r="CFA39" s="899"/>
      <c r="CFB39" s="899"/>
      <c r="CFC39" s="899"/>
      <c r="CFD39" s="899"/>
      <c r="CFE39" s="899"/>
      <c r="CFF39" s="899"/>
      <c r="CFG39" s="899"/>
      <c r="CFH39" s="899"/>
      <c r="CFI39" s="899"/>
      <c r="CFJ39" s="899"/>
      <c r="CFK39" s="899"/>
      <c r="CFL39" s="899"/>
      <c r="CFM39" s="899"/>
      <c r="CFN39" s="899"/>
      <c r="CFO39" s="899"/>
      <c r="CFP39" s="899"/>
      <c r="CFQ39" s="899"/>
      <c r="CFR39" s="899"/>
      <c r="CFS39" s="899"/>
      <c r="CFT39" s="899"/>
      <c r="CFU39" s="899"/>
      <c r="CFV39" s="899"/>
      <c r="CFW39" s="899"/>
      <c r="CFX39" s="899"/>
      <c r="CFY39" s="899"/>
      <c r="CFZ39" s="899"/>
      <c r="CGA39" s="899"/>
      <c r="CGB39" s="899"/>
      <c r="CGC39" s="899"/>
      <c r="CGD39" s="899"/>
      <c r="CGE39" s="899"/>
      <c r="CGF39" s="899"/>
      <c r="CGG39" s="899"/>
      <c r="CGH39" s="899"/>
      <c r="CGI39" s="899"/>
      <c r="CGJ39" s="899"/>
      <c r="CGK39" s="899"/>
      <c r="CGL39" s="899"/>
      <c r="CGM39" s="899"/>
      <c r="CGN39" s="899"/>
      <c r="CGO39" s="899"/>
      <c r="CGP39" s="899"/>
      <c r="CGQ39" s="899"/>
      <c r="CGR39" s="899"/>
      <c r="CGS39" s="899"/>
      <c r="CGT39" s="899"/>
      <c r="CGU39" s="899"/>
      <c r="CGV39" s="899"/>
      <c r="CGW39" s="899"/>
      <c r="CGX39" s="899"/>
      <c r="CGY39" s="899"/>
      <c r="CGZ39" s="899"/>
      <c r="CHA39" s="899"/>
      <c r="CHB39" s="899"/>
      <c r="CHC39" s="899"/>
      <c r="CHD39" s="899"/>
      <c r="CHE39" s="899"/>
      <c r="CHF39" s="899"/>
      <c r="CHG39" s="899"/>
      <c r="CHH39" s="899"/>
      <c r="CHI39" s="899"/>
      <c r="CHJ39" s="899"/>
      <c r="CHK39" s="899"/>
      <c r="CHL39" s="899"/>
      <c r="CHM39" s="899"/>
      <c r="CHN39" s="899"/>
      <c r="CHO39" s="899"/>
      <c r="CHP39" s="899"/>
      <c r="CHQ39" s="899"/>
      <c r="CHR39" s="899"/>
      <c r="CHS39" s="899"/>
      <c r="CHT39" s="899"/>
      <c r="CHU39" s="899"/>
      <c r="CHV39" s="899"/>
      <c r="CHW39" s="899"/>
      <c r="CHX39" s="899"/>
      <c r="CHY39" s="899"/>
      <c r="CHZ39" s="899"/>
      <c r="CIA39" s="899"/>
      <c r="CIB39" s="899"/>
      <c r="CIC39" s="899"/>
      <c r="CID39" s="899"/>
      <c r="CIE39" s="899"/>
      <c r="CIF39" s="899"/>
      <c r="CIG39" s="899"/>
      <c r="CIH39" s="899"/>
      <c r="CII39" s="899"/>
      <c r="CIJ39" s="899"/>
      <c r="CIK39" s="899"/>
      <c r="CIL39" s="899"/>
      <c r="CIM39" s="899"/>
      <c r="CIN39" s="899"/>
      <c r="CIO39" s="899"/>
      <c r="CIP39" s="899"/>
      <c r="CIQ39" s="899"/>
      <c r="CIR39" s="899"/>
      <c r="CIS39" s="899"/>
      <c r="CIT39" s="899"/>
      <c r="CIU39" s="899"/>
      <c r="CIV39" s="899"/>
      <c r="CIW39" s="899"/>
      <c r="CIX39" s="899"/>
      <c r="CIY39" s="899"/>
      <c r="CIZ39" s="899"/>
      <c r="CJA39" s="899"/>
      <c r="CJB39" s="899"/>
      <c r="CJC39" s="899"/>
      <c r="CJD39" s="899"/>
      <c r="CJE39" s="899"/>
      <c r="CJF39" s="899"/>
      <c r="CJG39" s="899"/>
      <c r="CJH39" s="899"/>
      <c r="CJI39" s="899"/>
      <c r="CJJ39" s="899"/>
      <c r="CJK39" s="899"/>
      <c r="CJL39" s="899"/>
      <c r="CJM39" s="899"/>
      <c r="CJN39" s="899"/>
      <c r="CJO39" s="899"/>
      <c r="CJP39" s="899"/>
      <c r="CJQ39" s="899"/>
      <c r="CJR39" s="899"/>
      <c r="CJS39" s="899"/>
      <c r="CJT39" s="899"/>
      <c r="CJU39" s="899"/>
      <c r="CJV39" s="899"/>
      <c r="CJW39" s="899"/>
      <c r="CJX39" s="899"/>
      <c r="CJY39" s="899"/>
      <c r="CJZ39" s="899"/>
      <c r="CKA39" s="899"/>
      <c r="CKB39" s="899"/>
      <c r="CKC39" s="899"/>
      <c r="CKD39" s="899"/>
      <c r="CKE39" s="899"/>
      <c r="CKF39" s="899"/>
      <c r="CKG39" s="899"/>
      <c r="CKH39" s="899"/>
      <c r="CKI39" s="899"/>
      <c r="CKJ39" s="899"/>
      <c r="CKK39" s="899"/>
      <c r="CKL39" s="899"/>
      <c r="CKM39" s="899"/>
      <c r="CKN39" s="899"/>
      <c r="CKO39" s="899"/>
      <c r="CKP39" s="899"/>
      <c r="CKQ39" s="899"/>
      <c r="CKR39" s="899"/>
      <c r="CKS39" s="899"/>
      <c r="CKT39" s="899"/>
      <c r="CKU39" s="899"/>
      <c r="CKV39" s="899"/>
      <c r="CKW39" s="899"/>
      <c r="CKX39" s="899"/>
      <c r="CKY39" s="899"/>
      <c r="CKZ39" s="899"/>
      <c r="CLA39" s="899"/>
      <c r="CLB39" s="899"/>
      <c r="CLC39" s="899"/>
      <c r="CLD39" s="899"/>
      <c r="CLE39" s="899"/>
      <c r="CLF39" s="899"/>
      <c r="CLG39" s="899"/>
      <c r="CLH39" s="899"/>
      <c r="CLI39" s="899"/>
      <c r="CLJ39" s="899"/>
      <c r="CLK39" s="899"/>
      <c r="CLL39" s="899"/>
      <c r="CLM39" s="899"/>
      <c r="CLN39" s="899"/>
      <c r="CLO39" s="899"/>
      <c r="CLP39" s="899"/>
      <c r="CLQ39" s="899"/>
      <c r="CLR39" s="899"/>
      <c r="CLS39" s="899"/>
      <c r="CLT39" s="899"/>
      <c r="CLU39" s="899"/>
      <c r="CLV39" s="899"/>
      <c r="CLW39" s="899"/>
      <c r="CLX39" s="899"/>
      <c r="CLY39" s="899"/>
      <c r="CLZ39" s="899"/>
      <c r="CMA39" s="899"/>
      <c r="CMB39" s="899"/>
      <c r="CMC39" s="899"/>
      <c r="CMD39" s="899"/>
      <c r="CME39" s="899"/>
      <c r="CMF39" s="899"/>
      <c r="CMG39" s="899"/>
      <c r="CMH39" s="899"/>
      <c r="CMI39" s="899"/>
      <c r="CMJ39" s="899"/>
      <c r="CMK39" s="899"/>
      <c r="CML39" s="899"/>
      <c r="CMM39" s="899"/>
      <c r="CMN39" s="899"/>
      <c r="CMO39" s="899"/>
      <c r="CMP39" s="899"/>
      <c r="CMQ39" s="899"/>
      <c r="CMR39" s="899"/>
      <c r="CMS39" s="899"/>
      <c r="CMT39" s="899"/>
      <c r="CMU39" s="899"/>
      <c r="CMV39" s="899"/>
      <c r="CMW39" s="899"/>
      <c r="CMX39" s="899"/>
      <c r="CMY39" s="899"/>
      <c r="CMZ39" s="899"/>
      <c r="CNA39" s="899"/>
      <c r="CNB39" s="899"/>
      <c r="CNC39" s="899"/>
      <c r="CND39" s="899"/>
      <c r="CNE39" s="899"/>
      <c r="CNF39" s="899"/>
      <c r="CNG39" s="899"/>
      <c r="CNH39" s="899"/>
      <c r="CNI39" s="899"/>
      <c r="CNJ39" s="899"/>
      <c r="CNK39" s="899"/>
      <c r="CNL39" s="899"/>
      <c r="CNM39" s="899"/>
      <c r="CNN39" s="899"/>
      <c r="CNO39" s="899"/>
      <c r="CNP39" s="899"/>
      <c r="CNQ39" s="899"/>
      <c r="CNR39" s="899"/>
      <c r="CNS39" s="899"/>
      <c r="CNT39" s="899"/>
      <c r="CNU39" s="899"/>
      <c r="CNV39" s="899"/>
      <c r="CNW39" s="899"/>
      <c r="CNX39" s="899"/>
      <c r="CNY39" s="899"/>
      <c r="CNZ39" s="899"/>
      <c r="COA39" s="899"/>
      <c r="COB39" s="899"/>
      <c r="COC39" s="899"/>
      <c r="COD39" s="899"/>
      <c r="COE39" s="899"/>
      <c r="COF39" s="899"/>
      <c r="COG39" s="899"/>
      <c r="COH39" s="899"/>
      <c r="COI39" s="899"/>
      <c r="COJ39" s="899"/>
      <c r="COK39" s="899"/>
      <c r="COL39" s="899"/>
      <c r="COM39" s="899"/>
      <c r="CON39" s="899"/>
      <c r="COO39" s="899"/>
      <c r="COP39" s="899"/>
      <c r="COQ39" s="899"/>
      <c r="COR39" s="899"/>
      <c r="COS39" s="899"/>
      <c r="COT39" s="899"/>
      <c r="COU39" s="899"/>
      <c r="COV39" s="899"/>
      <c r="COW39" s="899"/>
      <c r="COX39" s="899"/>
      <c r="COY39" s="899"/>
      <c r="COZ39" s="899"/>
      <c r="CPA39" s="899"/>
      <c r="CPB39" s="899"/>
      <c r="CPC39" s="899"/>
      <c r="CPD39" s="899"/>
      <c r="CPE39" s="899"/>
      <c r="CPF39" s="899"/>
      <c r="CPG39" s="899"/>
      <c r="CPH39" s="899"/>
      <c r="CPI39" s="899"/>
      <c r="CPJ39" s="899"/>
      <c r="CPK39" s="899"/>
      <c r="CPL39" s="899"/>
      <c r="CPM39" s="899"/>
      <c r="CPN39" s="899"/>
      <c r="CPO39" s="899"/>
      <c r="CPP39" s="899"/>
      <c r="CPQ39" s="899"/>
      <c r="CPR39" s="899"/>
      <c r="CPS39" s="899"/>
      <c r="CPT39" s="899"/>
      <c r="CPU39" s="899"/>
      <c r="CPV39" s="899"/>
      <c r="CPW39" s="899"/>
      <c r="CPX39" s="899"/>
      <c r="CPY39" s="899"/>
      <c r="CPZ39" s="899"/>
      <c r="CQA39" s="899"/>
      <c r="CQB39" s="899"/>
      <c r="CQC39" s="899"/>
      <c r="CQD39" s="899"/>
      <c r="CQE39" s="899"/>
      <c r="CQF39" s="899"/>
      <c r="CQG39" s="899"/>
      <c r="CQH39" s="899"/>
      <c r="CQI39" s="899"/>
      <c r="CQJ39" s="899"/>
      <c r="CQK39" s="899"/>
      <c r="CQL39" s="899"/>
      <c r="CQM39" s="899"/>
      <c r="CQN39" s="899"/>
      <c r="CQO39" s="899"/>
      <c r="CQP39" s="899"/>
      <c r="CQQ39" s="899"/>
      <c r="CQR39" s="899"/>
      <c r="CQS39" s="899"/>
      <c r="CQT39" s="899"/>
      <c r="CQU39" s="899"/>
      <c r="CQV39" s="899"/>
      <c r="CQW39" s="899"/>
      <c r="CQX39" s="899"/>
      <c r="CQY39" s="899"/>
      <c r="CQZ39" s="899"/>
      <c r="CRA39" s="899"/>
      <c r="CRB39" s="899"/>
      <c r="CRC39" s="899"/>
      <c r="CRD39" s="899"/>
      <c r="CRE39" s="899"/>
      <c r="CRF39" s="899"/>
      <c r="CRG39" s="899"/>
      <c r="CRH39" s="899"/>
      <c r="CRI39" s="899"/>
      <c r="CRJ39" s="899"/>
      <c r="CRK39" s="899"/>
      <c r="CRL39" s="899"/>
      <c r="CRM39" s="899"/>
      <c r="CRN39" s="899"/>
      <c r="CRO39" s="899"/>
      <c r="CRP39" s="899"/>
      <c r="CRQ39" s="899"/>
      <c r="CRR39" s="899"/>
      <c r="CRS39" s="899"/>
      <c r="CRT39" s="899"/>
      <c r="CRU39" s="899"/>
      <c r="CRV39" s="899"/>
      <c r="CRW39" s="899"/>
      <c r="CRX39" s="899"/>
      <c r="CRY39" s="899"/>
      <c r="CRZ39" s="899"/>
      <c r="CSA39" s="899"/>
      <c r="CSB39" s="899"/>
      <c r="CSC39" s="899"/>
      <c r="CSD39" s="899"/>
      <c r="CSE39" s="899"/>
      <c r="CSF39" s="899"/>
      <c r="CSG39" s="899"/>
      <c r="CSH39" s="899"/>
      <c r="CSI39" s="899"/>
      <c r="CSJ39" s="899"/>
      <c r="CSK39" s="899"/>
      <c r="CSL39" s="899"/>
      <c r="CSM39" s="899"/>
      <c r="CSN39" s="899"/>
      <c r="CSO39" s="899"/>
      <c r="CSP39" s="899"/>
      <c r="CSQ39" s="899"/>
      <c r="CSR39" s="899"/>
      <c r="CSS39" s="899"/>
      <c r="CST39" s="899"/>
      <c r="CSU39" s="899"/>
      <c r="CSV39" s="899"/>
      <c r="CSW39" s="899"/>
      <c r="CSX39" s="899"/>
      <c r="CSY39" s="899"/>
      <c r="CSZ39" s="899"/>
      <c r="CTA39" s="899"/>
      <c r="CTB39" s="899"/>
      <c r="CTC39" s="899"/>
      <c r="CTD39" s="899"/>
      <c r="CTE39" s="899"/>
      <c r="CTF39" s="899"/>
      <c r="CTG39" s="899"/>
      <c r="CTH39" s="899"/>
      <c r="CTI39" s="899"/>
      <c r="CTJ39" s="899"/>
      <c r="CTK39" s="899"/>
      <c r="CTL39" s="899"/>
      <c r="CTM39" s="899"/>
      <c r="CTN39" s="899"/>
      <c r="CTO39" s="899"/>
      <c r="CTP39" s="899"/>
      <c r="CTQ39" s="899"/>
      <c r="CTR39" s="899"/>
      <c r="CTS39" s="899"/>
      <c r="CTT39" s="899"/>
      <c r="CTU39" s="899"/>
      <c r="CTV39" s="899"/>
      <c r="CTW39" s="899"/>
      <c r="CTX39" s="899"/>
      <c r="CTY39" s="899"/>
      <c r="CTZ39" s="899"/>
      <c r="CUA39" s="899"/>
      <c r="CUB39" s="899"/>
      <c r="CUC39" s="899"/>
      <c r="CUD39" s="899"/>
      <c r="CUE39" s="899"/>
      <c r="CUF39" s="899"/>
      <c r="CUG39" s="899"/>
      <c r="CUH39" s="899"/>
      <c r="CUI39" s="899"/>
      <c r="CUJ39" s="899"/>
      <c r="CUK39" s="899"/>
      <c r="CUL39" s="899"/>
      <c r="CUM39" s="899"/>
      <c r="CUN39" s="899"/>
      <c r="CUO39" s="899"/>
      <c r="CUP39" s="899"/>
      <c r="CUQ39" s="899"/>
      <c r="CUR39" s="899"/>
      <c r="CUS39" s="899"/>
      <c r="CUT39" s="899"/>
      <c r="CUU39" s="899"/>
      <c r="CUV39" s="899"/>
      <c r="CUW39" s="899"/>
      <c r="CUX39" s="899"/>
      <c r="CUY39" s="899"/>
      <c r="CUZ39" s="899"/>
      <c r="CVA39" s="899"/>
      <c r="CVB39" s="899"/>
      <c r="CVC39" s="899"/>
      <c r="CVD39" s="899"/>
      <c r="CVE39" s="899"/>
      <c r="CVF39" s="899"/>
      <c r="CVG39" s="899"/>
      <c r="CVH39" s="899"/>
      <c r="CVI39" s="899"/>
      <c r="CVJ39" s="899"/>
      <c r="CVK39" s="899"/>
      <c r="CVL39" s="899"/>
      <c r="CVM39" s="899"/>
      <c r="CVN39" s="899"/>
      <c r="CVO39" s="899"/>
      <c r="CVP39" s="899"/>
      <c r="CVQ39" s="899"/>
      <c r="CVR39" s="899"/>
      <c r="CVS39" s="899"/>
      <c r="CVT39" s="899"/>
      <c r="CVU39" s="899"/>
      <c r="CVV39" s="899"/>
      <c r="CVW39" s="899"/>
      <c r="CVX39" s="899"/>
      <c r="CVY39" s="899"/>
      <c r="CVZ39" s="899"/>
      <c r="CWA39" s="899"/>
      <c r="CWB39" s="899"/>
      <c r="CWC39" s="899"/>
      <c r="CWD39" s="899"/>
      <c r="CWE39" s="899"/>
      <c r="CWF39" s="899"/>
      <c r="CWG39" s="899"/>
      <c r="CWH39" s="899"/>
      <c r="CWI39" s="899"/>
      <c r="CWJ39" s="899"/>
      <c r="CWK39" s="899"/>
      <c r="CWL39" s="899"/>
      <c r="CWM39" s="899"/>
      <c r="CWN39" s="899"/>
      <c r="CWO39" s="899"/>
      <c r="CWP39" s="899"/>
      <c r="CWQ39" s="899"/>
      <c r="CWR39" s="899"/>
      <c r="CWS39" s="899"/>
      <c r="CWT39" s="899"/>
      <c r="CWU39" s="899"/>
      <c r="CWV39" s="899"/>
      <c r="CWW39" s="899"/>
      <c r="CWX39" s="899"/>
      <c r="CWY39" s="899"/>
      <c r="CWZ39" s="899"/>
      <c r="CXA39" s="899"/>
      <c r="CXB39" s="899"/>
      <c r="CXC39" s="899"/>
      <c r="CXD39" s="899"/>
      <c r="CXE39" s="899"/>
      <c r="CXF39" s="899"/>
      <c r="CXG39" s="899"/>
      <c r="CXH39" s="899"/>
      <c r="CXI39" s="899"/>
      <c r="CXJ39" s="899"/>
      <c r="CXK39" s="899"/>
      <c r="CXL39" s="899"/>
      <c r="CXM39" s="899"/>
      <c r="CXN39" s="899"/>
      <c r="CXO39" s="899"/>
      <c r="CXP39" s="899"/>
      <c r="CXQ39" s="899"/>
      <c r="CXR39" s="899"/>
      <c r="CXS39" s="899"/>
      <c r="CXT39" s="899"/>
      <c r="CXU39" s="899"/>
      <c r="CXV39" s="899"/>
      <c r="CXW39" s="899"/>
      <c r="CXX39" s="899"/>
      <c r="CXY39" s="899"/>
      <c r="CXZ39" s="899"/>
      <c r="CYA39" s="899"/>
      <c r="CYB39" s="899"/>
      <c r="CYC39" s="899"/>
      <c r="CYD39" s="899"/>
      <c r="CYE39" s="899"/>
      <c r="CYF39" s="899"/>
      <c r="CYG39" s="899"/>
      <c r="CYH39" s="899"/>
      <c r="CYI39" s="899"/>
      <c r="CYJ39" s="899"/>
      <c r="CYK39" s="899"/>
      <c r="CYL39" s="899"/>
      <c r="CYM39" s="899"/>
      <c r="CYN39" s="899"/>
      <c r="CYO39" s="899"/>
      <c r="CYP39" s="899"/>
      <c r="CYQ39" s="899"/>
      <c r="CYR39" s="899"/>
      <c r="CYS39" s="899"/>
      <c r="CYT39" s="899"/>
      <c r="CYU39" s="899"/>
      <c r="CYV39" s="899"/>
      <c r="CYW39" s="899"/>
      <c r="CYX39" s="899"/>
      <c r="CYY39" s="899"/>
      <c r="CYZ39" s="899"/>
      <c r="CZA39" s="899"/>
      <c r="CZB39" s="899"/>
      <c r="CZC39" s="899"/>
      <c r="CZD39" s="899"/>
      <c r="CZE39" s="899"/>
      <c r="CZF39" s="899"/>
      <c r="CZG39" s="899"/>
      <c r="CZH39" s="899"/>
      <c r="CZI39" s="899"/>
      <c r="CZJ39" s="899"/>
      <c r="CZK39" s="899"/>
      <c r="CZL39" s="899"/>
      <c r="CZM39" s="899"/>
      <c r="CZN39" s="899"/>
      <c r="CZO39" s="899"/>
      <c r="CZP39" s="899"/>
      <c r="CZQ39" s="899"/>
      <c r="CZR39" s="899"/>
      <c r="CZS39" s="899"/>
      <c r="CZT39" s="899"/>
      <c r="CZU39" s="899"/>
      <c r="CZV39" s="899"/>
      <c r="CZW39" s="899"/>
      <c r="CZX39" s="899"/>
      <c r="CZY39" s="899"/>
      <c r="CZZ39" s="899"/>
      <c r="DAA39" s="899"/>
      <c r="DAB39" s="899"/>
      <c r="DAC39" s="899"/>
      <c r="DAD39" s="899"/>
      <c r="DAE39" s="899"/>
      <c r="DAF39" s="899"/>
      <c r="DAG39" s="899"/>
      <c r="DAH39" s="899"/>
      <c r="DAI39" s="899"/>
      <c r="DAJ39" s="899"/>
      <c r="DAK39" s="899"/>
      <c r="DAL39" s="899"/>
      <c r="DAM39" s="899"/>
      <c r="DAN39" s="899"/>
      <c r="DAO39" s="899"/>
      <c r="DAP39" s="899"/>
      <c r="DAQ39" s="899"/>
      <c r="DAR39" s="899"/>
      <c r="DAS39" s="899"/>
      <c r="DAT39" s="899"/>
      <c r="DAU39" s="899"/>
      <c r="DAV39" s="899"/>
      <c r="DAW39" s="899"/>
      <c r="DAX39" s="899"/>
      <c r="DAY39" s="899"/>
      <c r="DAZ39" s="899"/>
      <c r="DBA39" s="899"/>
      <c r="DBB39" s="899"/>
      <c r="DBC39" s="899"/>
      <c r="DBD39" s="899"/>
      <c r="DBE39" s="899"/>
      <c r="DBF39" s="899"/>
      <c r="DBG39" s="899"/>
      <c r="DBH39" s="899"/>
      <c r="DBI39" s="899"/>
      <c r="DBJ39" s="899"/>
      <c r="DBK39" s="899"/>
      <c r="DBL39" s="899"/>
      <c r="DBM39" s="899"/>
      <c r="DBN39" s="899"/>
      <c r="DBO39" s="899"/>
      <c r="DBP39" s="899"/>
      <c r="DBQ39" s="899"/>
      <c r="DBR39" s="899"/>
      <c r="DBS39" s="899"/>
      <c r="DBT39" s="899"/>
      <c r="DBU39" s="899"/>
      <c r="DBV39" s="899"/>
      <c r="DBW39" s="899"/>
      <c r="DBX39" s="899"/>
      <c r="DBY39" s="899"/>
      <c r="DBZ39" s="899"/>
      <c r="DCA39" s="899"/>
      <c r="DCB39" s="899"/>
      <c r="DCC39" s="899"/>
      <c r="DCD39" s="899"/>
      <c r="DCE39" s="899"/>
      <c r="DCF39" s="899"/>
      <c r="DCG39" s="899"/>
      <c r="DCH39" s="899"/>
      <c r="DCI39" s="899"/>
      <c r="DCJ39" s="899"/>
      <c r="DCK39" s="899"/>
      <c r="DCL39" s="899"/>
      <c r="DCM39" s="899"/>
      <c r="DCN39" s="899"/>
      <c r="DCO39" s="899"/>
      <c r="DCP39" s="899"/>
      <c r="DCQ39" s="899"/>
      <c r="DCR39" s="899"/>
      <c r="DCS39" s="899"/>
      <c r="DCT39" s="899"/>
      <c r="DCU39" s="899"/>
      <c r="DCV39" s="899"/>
      <c r="DCW39" s="899"/>
      <c r="DCX39" s="899"/>
      <c r="DCY39" s="899"/>
      <c r="DCZ39" s="899"/>
      <c r="DDA39" s="899"/>
      <c r="DDB39" s="899"/>
      <c r="DDC39" s="899"/>
      <c r="DDD39" s="899"/>
      <c r="DDE39" s="899"/>
      <c r="DDF39" s="899"/>
      <c r="DDG39" s="899"/>
      <c r="DDH39" s="899"/>
      <c r="DDI39" s="899"/>
      <c r="DDJ39" s="899"/>
      <c r="DDK39" s="899"/>
      <c r="DDL39" s="899"/>
      <c r="DDM39" s="899"/>
      <c r="DDN39" s="899"/>
      <c r="DDO39" s="899"/>
      <c r="DDP39" s="899"/>
      <c r="DDQ39" s="899"/>
      <c r="DDR39" s="899"/>
      <c r="DDS39" s="899"/>
      <c r="DDT39" s="899"/>
      <c r="DDU39" s="899"/>
      <c r="DDV39" s="899"/>
      <c r="DDW39" s="899"/>
      <c r="DDX39" s="899"/>
      <c r="DDY39" s="899"/>
      <c r="DDZ39" s="899"/>
      <c r="DEA39" s="899"/>
      <c r="DEB39" s="899"/>
      <c r="DEC39" s="899"/>
      <c r="DED39" s="899"/>
      <c r="DEE39" s="899"/>
      <c r="DEF39" s="899"/>
      <c r="DEG39" s="899"/>
      <c r="DEH39" s="899"/>
      <c r="DEI39" s="899"/>
      <c r="DEJ39" s="899"/>
      <c r="DEK39" s="899"/>
      <c r="DEL39" s="899"/>
      <c r="DEM39" s="899"/>
      <c r="DEN39" s="899"/>
      <c r="DEO39" s="899"/>
      <c r="DEP39" s="899"/>
      <c r="DEQ39" s="899"/>
      <c r="DER39" s="899"/>
      <c r="DES39" s="899"/>
      <c r="DET39" s="899"/>
      <c r="DEU39" s="899"/>
      <c r="DEV39" s="899"/>
      <c r="DEW39" s="899"/>
      <c r="DEX39" s="899"/>
      <c r="DEY39" s="899"/>
      <c r="DEZ39" s="899"/>
      <c r="DFA39" s="899"/>
      <c r="DFB39" s="899"/>
      <c r="DFC39" s="899"/>
      <c r="DFD39" s="899"/>
      <c r="DFE39" s="899"/>
      <c r="DFF39" s="899"/>
      <c r="DFG39" s="899"/>
      <c r="DFH39" s="899"/>
      <c r="DFI39" s="899"/>
      <c r="DFJ39" s="899"/>
      <c r="DFK39" s="899"/>
      <c r="DFL39" s="899"/>
      <c r="DFM39" s="899"/>
      <c r="DFN39" s="899"/>
      <c r="DFO39" s="899"/>
      <c r="DFP39" s="899"/>
      <c r="DFQ39" s="899"/>
      <c r="DFR39" s="899"/>
      <c r="DFS39" s="899"/>
      <c r="DFT39" s="899"/>
      <c r="DFU39" s="899"/>
      <c r="DFV39" s="899"/>
      <c r="DFW39" s="899"/>
      <c r="DFX39" s="899"/>
      <c r="DFY39" s="899"/>
      <c r="DFZ39" s="899"/>
      <c r="DGA39" s="899"/>
      <c r="DGB39" s="899"/>
      <c r="DGC39" s="899"/>
      <c r="DGD39" s="899"/>
      <c r="DGE39" s="899"/>
      <c r="DGF39" s="899"/>
      <c r="DGG39" s="899"/>
      <c r="DGH39" s="899"/>
      <c r="DGI39" s="899"/>
      <c r="DGJ39" s="899"/>
      <c r="DGK39" s="899"/>
      <c r="DGL39" s="899"/>
      <c r="DGM39" s="899"/>
      <c r="DGN39" s="899"/>
      <c r="DGO39" s="899"/>
      <c r="DGP39" s="899"/>
      <c r="DGQ39" s="899"/>
      <c r="DGR39" s="899"/>
      <c r="DGS39" s="899"/>
      <c r="DGT39" s="899"/>
      <c r="DGU39" s="899"/>
      <c r="DGV39" s="899"/>
      <c r="DGW39" s="899"/>
      <c r="DGX39" s="899"/>
      <c r="DGY39" s="899"/>
      <c r="DGZ39" s="899"/>
      <c r="DHA39" s="899"/>
      <c r="DHB39" s="899"/>
      <c r="DHC39" s="899"/>
      <c r="DHD39" s="899"/>
      <c r="DHE39" s="899"/>
      <c r="DHF39" s="899"/>
      <c r="DHG39" s="899"/>
      <c r="DHH39" s="899"/>
      <c r="DHI39" s="899"/>
      <c r="DHJ39" s="899"/>
      <c r="DHK39" s="899"/>
      <c r="DHL39" s="899"/>
      <c r="DHM39" s="899"/>
      <c r="DHN39" s="899"/>
      <c r="DHO39" s="899"/>
      <c r="DHP39" s="899"/>
      <c r="DHQ39" s="899"/>
      <c r="DHR39" s="899"/>
      <c r="DHS39" s="899"/>
      <c r="DHT39" s="899"/>
      <c r="DHU39" s="899"/>
      <c r="DHV39" s="899"/>
      <c r="DHW39" s="899"/>
      <c r="DHX39" s="899"/>
      <c r="DHY39" s="899"/>
      <c r="DHZ39" s="899"/>
      <c r="DIA39" s="899"/>
      <c r="DIB39" s="899"/>
      <c r="DIC39" s="899"/>
      <c r="DID39" s="899"/>
      <c r="DIE39" s="899"/>
      <c r="DIF39" s="899"/>
      <c r="DIG39" s="899"/>
      <c r="DIH39" s="899"/>
      <c r="DII39" s="899"/>
      <c r="DIJ39" s="899"/>
      <c r="DIK39" s="899"/>
      <c r="DIL39" s="899"/>
      <c r="DIM39" s="899"/>
      <c r="DIN39" s="899"/>
      <c r="DIO39" s="899"/>
      <c r="DIP39" s="899"/>
      <c r="DIQ39" s="899"/>
      <c r="DIR39" s="899"/>
      <c r="DIS39" s="899"/>
      <c r="DIT39" s="899"/>
      <c r="DIU39" s="899"/>
      <c r="DIV39" s="899"/>
      <c r="DIW39" s="899"/>
      <c r="DIX39" s="899"/>
      <c r="DIY39" s="899"/>
      <c r="DIZ39" s="899"/>
      <c r="DJA39" s="899"/>
      <c r="DJB39" s="899"/>
      <c r="DJC39" s="899"/>
      <c r="DJD39" s="899"/>
      <c r="DJE39" s="899"/>
      <c r="DJF39" s="899"/>
      <c r="DJG39" s="899"/>
      <c r="DJH39" s="899"/>
      <c r="DJI39" s="899"/>
      <c r="DJJ39" s="899"/>
      <c r="DJK39" s="899"/>
      <c r="DJL39" s="899"/>
      <c r="DJM39" s="899"/>
      <c r="DJN39" s="899"/>
      <c r="DJO39" s="899"/>
      <c r="DJP39" s="899"/>
      <c r="DJQ39" s="899"/>
      <c r="DJR39" s="899"/>
      <c r="DJS39" s="899"/>
      <c r="DJT39" s="899"/>
      <c r="DJU39" s="899"/>
      <c r="DJV39" s="899"/>
      <c r="DJW39" s="899"/>
      <c r="DJX39" s="899"/>
      <c r="DJY39" s="899"/>
      <c r="DJZ39" s="899"/>
      <c r="DKA39" s="899"/>
      <c r="DKB39" s="899"/>
      <c r="DKC39" s="899"/>
      <c r="DKD39" s="899"/>
      <c r="DKE39" s="899"/>
      <c r="DKF39" s="899"/>
      <c r="DKG39" s="899"/>
      <c r="DKH39" s="899"/>
      <c r="DKI39" s="899"/>
      <c r="DKJ39" s="899"/>
      <c r="DKK39" s="899"/>
      <c r="DKL39" s="899"/>
      <c r="DKM39" s="899"/>
      <c r="DKN39" s="899"/>
      <c r="DKO39" s="899"/>
      <c r="DKP39" s="899"/>
      <c r="DKQ39" s="899"/>
      <c r="DKR39" s="899"/>
      <c r="DKS39" s="899"/>
      <c r="DKT39" s="899"/>
      <c r="DKU39" s="899"/>
      <c r="DKV39" s="899"/>
      <c r="DKW39" s="899"/>
      <c r="DKX39" s="899"/>
      <c r="DKY39" s="899"/>
      <c r="DKZ39" s="899"/>
      <c r="DLA39" s="899"/>
      <c r="DLB39" s="899"/>
      <c r="DLC39" s="899"/>
      <c r="DLD39" s="899"/>
      <c r="DLE39" s="899"/>
      <c r="DLF39" s="899"/>
      <c r="DLG39" s="899"/>
      <c r="DLH39" s="899"/>
      <c r="DLI39" s="899"/>
      <c r="DLJ39" s="899"/>
      <c r="DLK39" s="899"/>
      <c r="DLL39" s="899"/>
      <c r="DLM39" s="899"/>
      <c r="DLN39" s="899"/>
      <c r="DLO39" s="899"/>
      <c r="DLP39" s="899"/>
      <c r="DLQ39" s="899"/>
      <c r="DLR39" s="899"/>
      <c r="DLS39" s="899"/>
      <c r="DLT39" s="899"/>
      <c r="DLU39" s="899"/>
      <c r="DLV39" s="899"/>
      <c r="DLW39" s="899"/>
      <c r="DLX39" s="899"/>
      <c r="DLY39" s="899"/>
      <c r="DLZ39" s="899"/>
      <c r="DMA39" s="899"/>
      <c r="DMB39" s="899"/>
      <c r="DMC39" s="899"/>
      <c r="DMD39" s="899"/>
      <c r="DME39" s="899"/>
      <c r="DMF39" s="899"/>
      <c r="DMG39" s="899"/>
      <c r="DMH39" s="899"/>
      <c r="DMI39" s="899"/>
      <c r="DMJ39" s="899"/>
      <c r="DMK39" s="899"/>
      <c r="DML39" s="899"/>
      <c r="DMM39" s="899"/>
      <c r="DMN39" s="899"/>
      <c r="DMO39" s="899"/>
      <c r="DMP39" s="899"/>
      <c r="DMQ39" s="899"/>
      <c r="DMR39" s="899"/>
      <c r="DMS39" s="899"/>
      <c r="DMT39" s="899"/>
      <c r="DMU39" s="899"/>
      <c r="DMV39" s="899"/>
      <c r="DMW39" s="899"/>
      <c r="DMX39" s="899"/>
      <c r="DMY39" s="899"/>
      <c r="DMZ39" s="899"/>
      <c r="DNA39" s="899"/>
      <c r="DNB39" s="899"/>
      <c r="DNC39" s="899"/>
      <c r="DND39" s="899"/>
      <c r="DNE39" s="899"/>
      <c r="DNF39" s="899"/>
      <c r="DNG39" s="899"/>
      <c r="DNH39" s="899"/>
      <c r="DNI39" s="899"/>
      <c r="DNJ39" s="899"/>
      <c r="DNK39" s="899"/>
      <c r="DNL39" s="899"/>
      <c r="DNM39" s="899"/>
      <c r="DNN39" s="899"/>
      <c r="DNO39" s="899"/>
      <c r="DNP39" s="899"/>
      <c r="DNQ39" s="899"/>
      <c r="DNR39" s="899"/>
      <c r="DNS39" s="899"/>
      <c r="DNT39" s="899"/>
      <c r="DNU39" s="899"/>
      <c r="DNV39" s="899"/>
      <c r="DNW39" s="899"/>
      <c r="DNX39" s="899"/>
      <c r="DNY39" s="899"/>
      <c r="DNZ39" s="899"/>
      <c r="DOA39" s="899"/>
      <c r="DOB39" s="899"/>
      <c r="DOC39" s="899"/>
      <c r="DOD39" s="899"/>
      <c r="DOE39" s="899"/>
      <c r="DOF39" s="899"/>
      <c r="DOG39" s="899"/>
      <c r="DOH39" s="899"/>
      <c r="DOI39" s="899"/>
      <c r="DOJ39" s="899"/>
      <c r="DOK39" s="899"/>
      <c r="DOL39" s="899"/>
      <c r="DOM39" s="899"/>
      <c r="DON39" s="899"/>
      <c r="DOO39" s="899"/>
      <c r="DOP39" s="899"/>
      <c r="DOQ39" s="899"/>
      <c r="DOR39" s="899"/>
      <c r="DOS39" s="899"/>
      <c r="DOT39" s="899"/>
      <c r="DOU39" s="899"/>
      <c r="DOV39" s="899"/>
      <c r="DOW39" s="899"/>
      <c r="DOX39" s="899"/>
      <c r="DOY39" s="899"/>
      <c r="DOZ39" s="899"/>
      <c r="DPA39" s="899"/>
      <c r="DPB39" s="899"/>
      <c r="DPC39" s="899"/>
      <c r="DPD39" s="899"/>
      <c r="DPE39" s="899"/>
      <c r="DPF39" s="899"/>
      <c r="DPG39" s="899"/>
      <c r="DPH39" s="899"/>
      <c r="DPI39" s="899"/>
      <c r="DPJ39" s="899"/>
      <c r="DPK39" s="899"/>
      <c r="DPL39" s="899"/>
      <c r="DPM39" s="899"/>
      <c r="DPN39" s="899"/>
      <c r="DPO39" s="899"/>
      <c r="DPP39" s="899"/>
      <c r="DPQ39" s="899"/>
      <c r="DPR39" s="899"/>
      <c r="DPS39" s="899"/>
      <c r="DPT39" s="899"/>
      <c r="DPU39" s="899"/>
      <c r="DPV39" s="899"/>
      <c r="DPW39" s="899"/>
      <c r="DPX39" s="899"/>
      <c r="DPY39" s="899"/>
      <c r="DPZ39" s="899"/>
      <c r="DQA39" s="899"/>
      <c r="DQB39" s="899"/>
      <c r="DQC39" s="899"/>
      <c r="DQD39" s="899"/>
      <c r="DQE39" s="899"/>
      <c r="DQF39" s="899"/>
      <c r="DQG39" s="899"/>
      <c r="DQH39" s="899"/>
      <c r="DQI39" s="899"/>
      <c r="DQJ39" s="899"/>
      <c r="DQK39" s="899"/>
      <c r="DQL39" s="899"/>
      <c r="DQM39" s="899"/>
      <c r="DQN39" s="899"/>
      <c r="DQO39" s="899"/>
      <c r="DQP39" s="899"/>
      <c r="DQQ39" s="899"/>
      <c r="DQR39" s="899"/>
      <c r="DQS39" s="899"/>
      <c r="DQT39" s="899"/>
      <c r="DQU39" s="899"/>
      <c r="DQV39" s="899"/>
      <c r="DQW39" s="899"/>
      <c r="DQX39" s="899"/>
      <c r="DQY39" s="899"/>
      <c r="DQZ39" s="899"/>
      <c r="DRA39" s="899"/>
      <c r="DRB39" s="899"/>
      <c r="DRC39" s="899"/>
      <c r="DRD39" s="899"/>
      <c r="DRE39" s="899"/>
      <c r="DRF39" s="899"/>
      <c r="DRG39" s="899"/>
      <c r="DRH39" s="899"/>
      <c r="DRI39" s="899"/>
      <c r="DRJ39" s="899"/>
      <c r="DRK39" s="899"/>
      <c r="DRL39" s="899"/>
      <c r="DRM39" s="899"/>
      <c r="DRN39" s="899"/>
      <c r="DRO39" s="899"/>
      <c r="DRP39" s="899"/>
      <c r="DRQ39" s="899"/>
      <c r="DRR39" s="899"/>
      <c r="DRS39" s="899"/>
      <c r="DRT39" s="899"/>
      <c r="DRU39" s="899"/>
      <c r="DRV39" s="899"/>
      <c r="DRW39" s="899"/>
      <c r="DRX39" s="899"/>
      <c r="DRY39" s="899"/>
      <c r="DRZ39" s="899"/>
      <c r="DSA39" s="899"/>
      <c r="DSB39" s="899"/>
      <c r="DSC39" s="899"/>
      <c r="DSD39" s="899"/>
      <c r="DSE39" s="899"/>
      <c r="DSF39" s="899"/>
      <c r="DSG39" s="899"/>
      <c r="DSH39" s="899"/>
      <c r="DSI39" s="899"/>
      <c r="DSJ39" s="899"/>
      <c r="DSK39" s="899"/>
      <c r="DSL39" s="899"/>
      <c r="DSM39" s="899"/>
      <c r="DSN39" s="899"/>
      <c r="DSO39" s="899"/>
      <c r="DSP39" s="899"/>
      <c r="DSQ39" s="899"/>
      <c r="DSR39" s="899"/>
      <c r="DSS39" s="899"/>
      <c r="DST39" s="899"/>
      <c r="DSU39" s="899"/>
      <c r="DSV39" s="899"/>
      <c r="DSW39" s="899"/>
      <c r="DSX39" s="899"/>
      <c r="DSY39" s="899"/>
      <c r="DSZ39" s="899"/>
      <c r="DTA39" s="899"/>
      <c r="DTB39" s="899"/>
      <c r="DTC39" s="899"/>
      <c r="DTD39" s="899"/>
      <c r="DTE39" s="899"/>
      <c r="DTF39" s="899"/>
      <c r="DTG39" s="899"/>
      <c r="DTH39" s="899"/>
      <c r="DTI39" s="899"/>
      <c r="DTJ39" s="899"/>
      <c r="DTK39" s="899"/>
      <c r="DTL39" s="899"/>
      <c r="DTM39" s="899"/>
      <c r="DTN39" s="899"/>
      <c r="DTO39" s="899"/>
      <c r="DTP39" s="899"/>
      <c r="DTQ39" s="899"/>
      <c r="DTR39" s="899"/>
      <c r="DTS39" s="899"/>
      <c r="DTT39" s="899"/>
      <c r="DTU39" s="899"/>
      <c r="DTV39" s="899"/>
      <c r="DTW39" s="899"/>
      <c r="DTX39" s="899"/>
      <c r="DTY39" s="899"/>
      <c r="DTZ39" s="899"/>
      <c r="DUA39" s="899"/>
      <c r="DUB39" s="899"/>
      <c r="DUC39" s="899"/>
      <c r="DUD39" s="899"/>
      <c r="DUE39" s="899"/>
      <c r="DUF39" s="899"/>
      <c r="DUG39" s="899"/>
      <c r="DUH39" s="899"/>
      <c r="DUI39" s="899"/>
      <c r="DUJ39" s="899"/>
      <c r="DUK39" s="899"/>
      <c r="DUL39" s="899"/>
      <c r="DUM39" s="899"/>
      <c r="DUN39" s="899"/>
      <c r="DUO39" s="899"/>
      <c r="DUP39" s="899"/>
      <c r="DUQ39" s="899"/>
      <c r="DUR39" s="899"/>
      <c r="DUS39" s="899"/>
      <c r="DUT39" s="899"/>
      <c r="DUU39" s="899"/>
      <c r="DUV39" s="899"/>
      <c r="DUW39" s="899"/>
      <c r="DUX39" s="899"/>
      <c r="DUY39" s="899"/>
      <c r="DUZ39" s="899"/>
      <c r="DVA39" s="899"/>
      <c r="DVB39" s="899"/>
      <c r="DVC39" s="899"/>
      <c r="DVD39" s="899"/>
      <c r="DVE39" s="899"/>
      <c r="DVF39" s="899"/>
      <c r="DVG39" s="899"/>
      <c r="DVH39" s="899"/>
      <c r="DVI39" s="899"/>
      <c r="DVJ39" s="899"/>
      <c r="DVK39" s="899"/>
      <c r="DVL39" s="899"/>
      <c r="DVM39" s="899"/>
      <c r="DVN39" s="899"/>
      <c r="DVO39" s="899"/>
      <c r="DVP39" s="899"/>
      <c r="DVQ39" s="899"/>
      <c r="DVR39" s="899"/>
      <c r="DVS39" s="899"/>
      <c r="DVT39" s="899"/>
      <c r="DVU39" s="899"/>
      <c r="DVV39" s="899"/>
      <c r="DVW39" s="899"/>
      <c r="DVX39" s="899"/>
      <c r="DVY39" s="899"/>
      <c r="DVZ39" s="899"/>
      <c r="DWA39" s="899"/>
      <c r="DWB39" s="899"/>
      <c r="DWC39" s="899"/>
      <c r="DWD39" s="899"/>
      <c r="DWE39" s="899"/>
      <c r="DWF39" s="899"/>
      <c r="DWG39" s="899"/>
      <c r="DWH39" s="899"/>
      <c r="DWI39" s="899"/>
      <c r="DWJ39" s="899"/>
      <c r="DWK39" s="899"/>
      <c r="DWL39" s="899"/>
      <c r="DWM39" s="899"/>
      <c r="DWN39" s="899"/>
      <c r="DWO39" s="899"/>
      <c r="DWP39" s="899"/>
      <c r="DWQ39" s="899"/>
      <c r="DWR39" s="899"/>
      <c r="DWS39" s="899"/>
      <c r="DWT39" s="899"/>
      <c r="DWU39" s="899"/>
      <c r="DWV39" s="899"/>
      <c r="DWW39" s="899"/>
      <c r="DWX39" s="899"/>
      <c r="DWY39" s="899"/>
      <c r="DWZ39" s="899"/>
      <c r="DXA39" s="899"/>
      <c r="DXB39" s="899"/>
      <c r="DXC39" s="899"/>
      <c r="DXD39" s="899"/>
      <c r="DXE39" s="899"/>
      <c r="DXF39" s="899"/>
      <c r="DXG39" s="899"/>
      <c r="DXH39" s="899"/>
      <c r="DXI39" s="899"/>
      <c r="DXJ39" s="899"/>
      <c r="DXK39" s="899"/>
      <c r="DXL39" s="899"/>
      <c r="DXM39" s="899"/>
      <c r="DXN39" s="899"/>
      <c r="DXO39" s="899"/>
      <c r="DXP39" s="899"/>
      <c r="DXQ39" s="899"/>
      <c r="DXR39" s="899"/>
      <c r="DXS39" s="899"/>
      <c r="DXT39" s="899"/>
      <c r="DXU39" s="899"/>
      <c r="DXV39" s="899"/>
      <c r="DXW39" s="899"/>
      <c r="DXX39" s="899"/>
      <c r="DXY39" s="899"/>
      <c r="DXZ39" s="899"/>
      <c r="DYA39" s="899"/>
      <c r="DYB39" s="899"/>
      <c r="DYC39" s="899"/>
      <c r="DYD39" s="899"/>
      <c r="DYE39" s="899"/>
      <c r="DYF39" s="899"/>
      <c r="DYG39" s="899"/>
      <c r="DYH39" s="899"/>
      <c r="DYI39" s="899"/>
      <c r="DYJ39" s="899"/>
      <c r="DYK39" s="899"/>
      <c r="DYL39" s="899"/>
      <c r="DYM39" s="899"/>
      <c r="DYN39" s="899"/>
      <c r="DYO39" s="899"/>
      <c r="DYP39" s="899"/>
      <c r="DYQ39" s="899"/>
      <c r="DYR39" s="899"/>
      <c r="DYS39" s="899"/>
      <c r="DYT39" s="899"/>
      <c r="DYU39" s="899"/>
      <c r="DYV39" s="899"/>
      <c r="DYW39" s="899"/>
      <c r="DYX39" s="899"/>
      <c r="DYY39" s="899"/>
      <c r="DYZ39" s="899"/>
      <c r="DZA39" s="899"/>
      <c r="DZB39" s="899"/>
      <c r="DZC39" s="899"/>
      <c r="DZD39" s="899"/>
      <c r="DZE39" s="899"/>
      <c r="DZF39" s="899"/>
      <c r="DZG39" s="899"/>
      <c r="DZH39" s="899"/>
      <c r="DZI39" s="899"/>
      <c r="DZJ39" s="899"/>
      <c r="DZK39" s="899"/>
      <c r="DZL39" s="899"/>
      <c r="DZM39" s="899"/>
      <c r="DZN39" s="899"/>
      <c r="DZO39" s="899"/>
      <c r="DZP39" s="899"/>
      <c r="DZQ39" s="899"/>
      <c r="DZR39" s="899"/>
      <c r="DZS39" s="899"/>
      <c r="DZT39" s="899"/>
      <c r="DZU39" s="899"/>
      <c r="DZV39" s="899"/>
      <c r="DZW39" s="899"/>
      <c r="DZX39" s="899"/>
      <c r="DZY39" s="899"/>
      <c r="DZZ39" s="899"/>
      <c r="EAA39" s="899"/>
      <c r="EAB39" s="899"/>
      <c r="EAC39" s="899"/>
      <c r="EAD39" s="899"/>
      <c r="EAE39" s="899"/>
      <c r="EAF39" s="899"/>
      <c r="EAG39" s="899"/>
      <c r="EAH39" s="899"/>
      <c r="EAI39" s="899"/>
      <c r="EAJ39" s="899"/>
      <c r="EAK39" s="899"/>
      <c r="EAL39" s="899"/>
      <c r="EAM39" s="899"/>
      <c r="EAN39" s="899"/>
      <c r="EAO39" s="899"/>
      <c r="EAP39" s="899"/>
      <c r="EAQ39" s="899"/>
      <c r="EAR39" s="899"/>
      <c r="EAS39" s="899"/>
      <c r="EAT39" s="899"/>
      <c r="EAU39" s="899"/>
      <c r="EAV39" s="899"/>
      <c r="EAW39" s="899"/>
      <c r="EAX39" s="899"/>
      <c r="EAY39" s="899"/>
      <c r="EAZ39" s="899"/>
      <c r="EBA39" s="899"/>
      <c r="EBB39" s="899"/>
      <c r="EBC39" s="899"/>
      <c r="EBD39" s="899"/>
      <c r="EBE39" s="899"/>
      <c r="EBF39" s="899"/>
      <c r="EBG39" s="899"/>
      <c r="EBH39" s="899"/>
      <c r="EBI39" s="899"/>
      <c r="EBJ39" s="899"/>
      <c r="EBK39" s="899"/>
      <c r="EBL39" s="899"/>
      <c r="EBM39" s="899"/>
      <c r="EBN39" s="899"/>
      <c r="EBO39" s="899"/>
      <c r="EBP39" s="899"/>
      <c r="EBQ39" s="899"/>
      <c r="EBR39" s="899"/>
      <c r="EBS39" s="899"/>
      <c r="EBT39" s="899"/>
      <c r="EBU39" s="899"/>
      <c r="EBV39" s="899"/>
      <c r="EBW39" s="899"/>
      <c r="EBX39" s="899"/>
      <c r="EBY39" s="899"/>
      <c r="EBZ39" s="899"/>
      <c r="ECA39" s="899"/>
      <c r="ECB39" s="899"/>
      <c r="ECC39" s="899"/>
      <c r="ECD39" s="899"/>
      <c r="ECE39" s="899"/>
      <c r="ECF39" s="899"/>
      <c r="ECG39" s="899"/>
      <c r="ECH39" s="899"/>
      <c r="ECI39" s="899"/>
      <c r="ECJ39" s="899"/>
      <c r="ECK39" s="899"/>
      <c r="ECL39" s="899"/>
      <c r="ECM39" s="899"/>
      <c r="ECN39" s="899"/>
      <c r="ECO39" s="899"/>
      <c r="ECP39" s="899"/>
      <c r="ECQ39" s="899"/>
      <c r="ECR39" s="899"/>
      <c r="ECS39" s="899"/>
      <c r="ECT39" s="899"/>
      <c r="ECU39" s="899"/>
      <c r="ECV39" s="899"/>
      <c r="ECW39" s="899"/>
      <c r="ECX39" s="899"/>
      <c r="ECY39" s="899"/>
      <c r="ECZ39" s="899"/>
      <c r="EDA39" s="899"/>
      <c r="EDB39" s="899"/>
      <c r="EDC39" s="899"/>
      <c r="EDD39" s="899"/>
      <c r="EDE39" s="899"/>
      <c r="EDF39" s="899"/>
      <c r="EDG39" s="899"/>
      <c r="EDH39" s="899"/>
      <c r="EDI39" s="899"/>
      <c r="EDJ39" s="899"/>
      <c r="EDK39" s="899"/>
      <c r="EDL39" s="899"/>
      <c r="EDM39" s="899"/>
      <c r="EDN39" s="899"/>
      <c r="EDO39" s="899"/>
      <c r="EDP39" s="899"/>
      <c r="EDQ39" s="899"/>
      <c r="EDR39" s="899"/>
      <c r="EDS39" s="899"/>
      <c r="EDT39" s="899"/>
      <c r="EDU39" s="899"/>
      <c r="EDV39" s="899"/>
      <c r="EDW39" s="899"/>
      <c r="EDX39" s="899"/>
      <c r="EDY39" s="899"/>
      <c r="EDZ39" s="899"/>
      <c r="EEA39" s="899"/>
      <c r="EEB39" s="899"/>
      <c r="EEC39" s="899"/>
      <c r="EED39" s="899"/>
      <c r="EEE39" s="899"/>
      <c r="EEF39" s="899"/>
      <c r="EEG39" s="899"/>
      <c r="EEH39" s="899"/>
      <c r="EEI39" s="899"/>
      <c r="EEJ39" s="899"/>
      <c r="EEK39" s="899"/>
      <c r="EEL39" s="899"/>
      <c r="EEM39" s="899"/>
      <c r="EEN39" s="899"/>
      <c r="EEO39" s="899"/>
      <c r="EEP39" s="899"/>
      <c r="EEQ39" s="899"/>
      <c r="EER39" s="899"/>
      <c r="EES39" s="899"/>
      <c r="EET39" s="899"/>
      <c r="EEU39" s="899"/>
      <c r="EEV39" s="899"/>
      <c r="EEW39" s="899"/>
      <c r="EEX39" s="899"/>
      <c r="EEY39" s="899"/>
      <c r="EEZ39" s="899"/>
      <c r="EFA39" s="899"/>
      <c r="EFB39" s="899"/>
      <c r="EFC39" s="899"/>
      <c r="EFD39" s="899"/>
      <c r="EFE39" s="899"/>
      <c r="EFF39" s="899"/>
      <c r="EFG39" s="899"/>
      <c r="EFH39" s="899"/>
      <c r="EFI39" s="899"/>
      <c r="EFJ39" s="899"/>
      <c r="EFK39" s="899"/>
      <c r="EFL39" s="899"/>
      <c r="EFM39" s="899"/>
      <c r="EFN39" s="899"/>
      <c r="EFO39" s="899"/>
      <c r="EFP39" s="899"/>
      <c r="EFQ39" s="899"/>
      <c r="EFR39" s="899"/>
      <c r="EFS39" s="899"/>
      <c r="EFT39" s="899"/>
      <c r="EFU39" s="899"/>
      <c r="EFV39" s="899"/>
      <c r="EFW39" s="899"/>
      <c r="EFX39" s="899"/>
      <c r="EFY39" s="899"/>
      <c r="EFZ39" s="899"/>
      <c r="EGA39" s="899"/>
      <c r="EGB39" s="899"/>
      <c r="EGC39" s="899"/>
      <c r="EGD39" s="899"/>
      <c r="EGE39" s="899"/>
      <c r="EGF39" s="899"/>
      <c r="EGG39" s="899"/>
      <c r="EGH39" s="899"/>
      <c r="EGI39" s="899"/>
      <c r="EGJ39" s="899"/>
      <c r="EGK39" s="899"/>
      <c r="EGL39" s="899"/>
      <c r="EGM39" s="899"/>
      <c r="EGN39" s="899"/>
      <c r="EGO39" s="899"/>
      <c r="EGP39" s="899"/>
      <c r="EGQ39" s="899"/>
      <c r="EGR39" s="899"/>
      <c r="EGS39" s="899"/>
      <c r="EGT39" s="899"/>
      <c r="EGU39" s="899"/>
      <c r="EGV39" s="899"/>
      <c r="EGW39" s="899"/>
      <c r="EGX39" s="899"/>
      <c r="EGY39" s="899"/>
      <c r="EGZ39" s="899"/>
      <c r="EHA39" s="899"/>
      <c r="EHB39" s="899"/>
      <c r="EHC39" s="899"/>
      <c r="EHD39" s="899"/>
      <c r="EHE39" s="899"/>
      <c r="EHF39" s="899"/>
      <c r="EHG39" s="899"/>
      <c r="EHH39" s="899"/>
      <c r="EHI39" s="899"/>
      <c r="EHJ39" s="899"/>
      <c r="EHK39" s="899"/>
      <c r="EHL39" s="899"/>
      <c r="EHM39" s="899"/>
      <c r="EHN39" s="899"/>
      <c r="EHO39" s="899"/>
      <c r="EHP39" s="899"/>
      <c r="EHQ39" s="899"/>
      <c r="EHR39" s="899"/>
      <c r="EHS39" s="899"/>
      <c r="EHT39" s="899"/>
      <c r="EHU39" s="899"/>
      <c r="EHV39" s="899"/>
      <c r="EHW39" s="899"/>
      <c r="EHX39" s="899"/>
      <c r="EHY39" s="899"/>
      <c r="EHZ39" s="899"/>
      <c r="EIA39" s="899"/>
      <c r="EIB39" s="899"/>
      <c r="EIC39" s="899"/>
      <c r="EID39" s="899"/>
      <c r="EIE39" s="899"/>
      <c r="EIF39" s="899"/>
      <c r="EIG39" s="899"/>
      <c r="EIH39" s="899"/>
      <c r="EII39" s="899"/>
      <c r="EIJ39" s="899"/>
      <c r="EIK39" s="899"/>
      <c r="EIL39" s="899"/>
      <c r="EIM39" s="899"/>
      <c r="EIN39" s="899"/>
      <c r="EIO39" s="899"/>
      <c r="EIP39" s="899"/>
      <c r="EIQ39" s="899"/>
      <c r="EIR39" s="899"/>
      <c r="EIS39" s="899"/>
      <c r="EIT39" s="899"/>
      <c r="EIU39" s="899"/>
      <c r="EIV39" s="899"/>
      <c r="EIW39" s="899"/>
      <c r="EIX39" s="899"/>
      <c r="EIY39" s="899"/>
      <c r="EIZ39" s="899"/>
      <c r="EJA39" s="899"/>
      <c r="EJB39" s="899"/>
      <c r="EJC39" s="899"/>
      <c r="EJD39" s="899"/>
      <c r="EJE39" s="899"/>
      <c r="EJF39" s="899"/>
      <c r="EJG39" s="899"/>
      <c r="EJH39" s="899"/>
      <c r="EJI39" s="899"/>
      <c r="EJJ39" s="899"/>
      <c r="EJK39" s="899"/>
      <c r="EJL39" s="899"/>
      <c r="EJM39" s="899"/>
      <c r="EJN39" s="899"/>
      <c r="EJO39" s="899"/>
      <c r="EJP39" s="899"/>
      <c r="EJQ39" s="899"/>
      <c r="EJR39" s="899"/>
      <c r="EJS39" s="899"/>
      <c r="EJT39" s="899"/>
      <c r="EJU39" s="899"/>
      <c r="EJV39" s="899"/>
      <c r="EJW39" s="899"/>
      <c r="EJX39" s="899"/>
      <c r="EJY39" s="899"/>
      <c r="EJZ39" s="899"/>
      <c r="EKA39" s="899"/>
      <c r="EKB39" s="899"/>
      <c r="EKC39" s="899"/>
      <c r="EKD39" s="899"/>
      <c r="EKE39" s="899"/>
      <c r="EKF39" s="899"/>
      <c r="EKG39" s="899"/>
      <c r="EKH39" s="899"/>
      <c r="EKI39" s="899"/>
      <c r="EKJ39" s="899"/>
      <c r="EKK39" s="899"/>
      <c r="EKL39" s="899"/>
      <c r="EKM39" s="899"/>
      <c r="EKN39" s="899"/>
      <c r="EKO39" s="899"/>
      <c r="EKP39" s="899"/>
      <c r="EKQ39" s="899"/>
      <c r="EKR39" s="899"/>
      <c r="EKS39" s="899"/>
      <c r="EKT39" s="899"/>
      <c r="EKU39" s="899"/>
      <c r="EKV39" s="899"/>
      <c r="EKW39" s="899"/>
      <c r="EKX39" s="899"/>
      <c r="EKY39" s="899"/>
      <c r="EKZ39" s="899"/>
      <c r="ELA39" s="899"/>
      <c r="ELB39" s="899"/>
      <c r="ELC39" s="899"/>
      <c r="ELD39" s="899"/>
      <c r="ELE39" s="899"/>
      <c r="ELF39" s="899"/>
      <c r="ELG39" s="899"/>
      <c r="ELH39" s="899"/>
      <c r="ELI39" s="899"/>
      <c r="ELJ39" s="899"/>
      <c r="ELK39" s="899"/>
      <c r="ELL39" s="899"/>
      <c r="ELM39" s="899"/>
      <c r="ELN39" s="899"/>
      <c r="ELO39" s="899"/>
      <c r="ELP39" s="899"/>
      <c r="ELQ39" s="899"/>
      <c r="ELR39" s="899"/>
      <c r="ELS39" s="899"/>
      <c r="ELT39" s="899"/>
      <c r="ELU39" s="899"/>
      <c r="ELV39" s="899"/>
      <c r="ELW39" s="899"/>
      <c r="ELX39" s="899"/>
      <c r="ELY39" s="899"/>
      <c r="ELZ39" s="899"/>
      <c r="EMA39" s="899"/>
      <c r="EMB39" s="899"/>
      <c r="EMC39" s="899"/>
      <c r="EMD39" s="899"/>
      <c r="EME39" s="899"/>
      <c r="EMF39" s="899"/>
      <c r="EMG39" s="899"/>
      <c r="EMH39" s="899"/>
      <c r="EMI39" s="899"/>
      <c r="EMJ39" s="899"/>
      <c r="EMK39" s="899"/>
      <c r="EML39" s="899"/>
      <c r="EMM39" s="899"/>
      <c r="EMN39" s="899"/>
      <c r="EMO39" s="899"/>
      <c r="EMP39" s="899"/>
      <c r="EMQ39" s="899"/>
      <c r="EMR39" s="899"/>
      <c r="EMS39" s="899"/>
      <c r="EMT39" s="899"/>
      <c r="EMU39" s="899"/>
      <c r="EMV39" s="899"/>
      <c r="EMW39" s="899"/>
      <c r="EMX39" s="899"/>
      <c r="EMY39" s="899"/>
      <c r="EMZ39" s="899"/>
      <c r="ENA39" s="899"/>
      <c r="ENB39" s="899"/>
      <c r="ENC39" s="899"/>
      <c r="END39" s="899"/>
      <c r="ENE39" s="899"/>
      <c r="ENF39" s="899"/>
      <c r="ENG39" s="899"/>
      <c r="ENH39" s="899"/>
      <c r="ENI39" s="899"/>
      <c r="ENJ39" s="899"/>
      <c r="ENK39" s="899"/>
      <c r="ENL39" s="899"/>
      <c r="ENM39" s="899"/>
      <c r="ENN39" s="899"/>
      <c r="ENO39" s="899"/>
      <c r="ENP39" s="899"/>
      <c r="ENQ39" s="899"/>
      <c r="ENR39" s="899"/>
      <c r="ENS39" s="899"/>
      <c r="ENT39" s="899"/>
      <c r="ENU39" s="899"/>
      <c r="ENV39" s="899"/>
      <c r="ENW39" s="899"/>
      <c r="ENX39" s="899"/>
      <c r="ENY39" s="899"/>
      <c r="ENZ39" s="899"/>
      <c r="EOA39" s="899"/>
      <c r="EOB39" s="899"/>
      <c r="EOC39" s="899"/>
      <c r="EOD39" s="899"/>
      <c r="EOE39" s="899"/>
      <c r="EOF39" s="899"/>
      <c r="EOG39" s="899"/>
      <c r="EOH39" s="899"/>
      <c r="EOI39" s="899"/>
      <c r="EOJ39" s="899"/>
      <c r="EOK39" s="899"/>
      <c r="EOL39" s="899"/>
      <c r="EOM39" s="899"/>
      <c r="EON39" s="899"/>
      <c r="EOO39" s="899"/>
      <c r="EOP39" s="899"/>
      <c r="EOQ39" s="899"/>
      <c r="EOR39" s="899"/>
      <c r="EOS39" s="899"/>
      <c r="EOT39" s="899"/>
      <c r="EOU39" s="899"/>
      <c r="EOV39" s="899"/>
      <c r="EOW39" s="899"/>
      <c r="EOX39" s="899"/>
      <c r="EOY39" s="899"/>
      <c r="EOZ39" s="899"/>
      <c r="EPA39" s="899"/>
      <c r="EPB39" s="899"/>
      <c r="EPC39" s="899"/>
      <c r="EPD39" s="899"/>
      <c r="EPE39" s="899"/>
      <c r="EPF39" s="899"/>
      <c r="EPG39" s="899"/>
      <c r="EPH39" s="899"/>
      <c r="EPI39" s="899"/>
      <c r="EPJ39" s="899"/>
      <c r="EPK39" s="899"/>
      <c r="EPL39" s="899"/>
      <c r="EPM39" s="899"/>
      <c r="EPN39" s="899"/>
      <c r="EPO39" s="899"/>
      <c r="EPP39" s="899"/>
      <c r="EPQ39" s="899"/>
      <c r="EPR39" s="899"/>
      <c r="EPS39" s="899"/>
      <c r="EPT39" s="899"/>
      <c r="EPU39" s="899"/>
      <c r="EPV39" s="899"/>
      <c r="EPW39" s="899"/>
      <c r="EPX39" s="899"/>
      <c r="EPY39" s="899"/>
      <c r="EPZ39" s="899"/>
      <c r="EQA39" s="899"/>
      <c r="EQB39" s="899"/>
      <c r="EQC39" s="899"/>
      <c r="EQD39" s="899"/>
      <c r="EQE39" s="899"/>
      <c r="EQF39" s="899"/>
      <c r="EQG39" s="899"/>
      <c r="EQH39" s="899"/>
      <c r="EQI39" s="899"/>
      <c r="EQJ39" s="899"/>
      <c r="EQK39" s="899"/>
      <c r="EQL39" s="899"/>
      <c r="EQM39" s="899"/>
      <c r="EQN39" s="899"/>
      <c r="EQO39" s="899"/>
      <c r="EQP39" s="899"/>
      <c r="EQQ39" s="899"/>
      <c r="EQR39" s="899"/>
      <c r="EQS39" s="899"/>
      <c r="EQT39" s="899"/>
      <c r="EQU39" s="899"/>
      <c r="EQV39" s="899"/>
      <c r="EQW39" s="899"/>
      <c r="EQX39" s="899"/>
      <c r="EQY39" s="899"/>
      <c r="EQZ39" s="899"/>
      <c r="ERA39" s="899"/>
      <c r="ERB39" s="899"/>
      <c r="ERC39" s="899"/>
      <c r="ERD39" s="899"/>
      <c r="ERE39" s="899"/>
      <c r="ERF39" s="899"/>
      <c r="ERG39" s="899"/>
      <c r="ERH39" s="899"/>
      <c r="ERI39" s="899"/>
      <c r="ERJ39" s="899"/>
      <c r="ERK39" s="899"/>
      <c r="ERL39" s="899"/>
      <c r="ERM39" s="899"/>
      <c r="ERN39" s="899"/>
      <c r="ERO39" s="899"/>
      <c r="ERP39" s="899"/>
      <c r="ERQ39" s="899"/>
      <c r="ERR39" s="899"/>
      <c r="ERS39" s="899"/>
      <c r="ERT39" s="899"/>
      <c r="ERU39" s="899"/>
      <c r="ERV39" s="899"/>
      <c r="ERW39" s="899"/>
      <c r="ERX39" s="899"/>
      <c r="ERY39" s="899"/>
      <c r="ERZ39" s="899"/>
      <c r="ESA39" s="899"/>
      <c r="ESB39" s="899"/>
      <c r="ESC39" s="899"/>
      <c r="ESD39" s="899"/>
      <c r="ESE39" s="899"/>
      <c r="ESF39" s="899"/>
      <c r="ESG39" s="899"/>
      <c r="ESH39" s="899"/>
      <c r="ESI39" s="899"/>
      <c r="ESJ39" s="899"/>
      <c r="ESK39" s="899"/>
      <c r="ESL39" s="899"/>
      <c r="ESM39" s="899"/>
      <c r="ESN39" s="899"/>
      <c r="ESO39" s="899"/>
      <c r="ESP39" s="899"/>
      <c r="ESQ39" s="899"/>
      <c r="ESR39" s="899"/>
      <c r="ESS39" s="899"/>
      <c r="EST39" s="899"/>
      <c r="ESU39" s="899"/>
      <c r="ESV39" s="899"/>
      <c r="ESW39" s="899"/>
      <c r="ESX39" s="899"/>
      <c r="ESY39" s="899"/>
      <c r="ESZ39" s="899"/>
      <c r="ETA39" s="899"/>
      <c r="ETB39" s="899"/>
      <c r="ETC39" s="899"/>
      <c r="ETD39" s="899"/>
      <c r="ETE39" s="899"/>
      <c r="ETF39" s="899"/>
      <c r="ETG39" s="899"/>
      <c r="ETH39" s="899"/>
      <c r="ETI39" s="899"/>
      <c r="ETJ39" s="899"/>
      <c r="ETK39" s="899"/>
      <c r="ETL39" s="899"/>
      <c r="ETM39" s="899"/>
      <c r="ETN39" s="899"/>
      <c r="ETO39" s="899"/>
      <c r="ETP39" s="899"/>
      <c r="ETQ39" s="899"/>
      <c r="ETR39" s="899"/>
      <c r="ETS39" s="899"/>
      <c r="ETT39" s="899"/>
      <c r="ETU39" s="899"/>
      <c r="ETV39" s="899"/>
      <c r="ETW39" s="899"/>
      <c r="ETX39" s="899"/>
      <c r="ETY39" s="899"/>
      <c r="ETZ39" s="899"/>
      <c r="EUA39" s="899"/>
      <c r="EUB39" s="899"/>
      <c r="EUC39" s="899"/>
      <c r="EUD39" s="899"/>
      <c r="EUE39" s="899"/>
      <c r="EUF39" s="899"/>
      <c r="EUG39" s="899"/>
      <c r="EUH39" s="899"/>
      <c r="EUI39" s="899"/>
      <c r="EUJ39" s="899"/>
      <c r="EUK39" s="899"/>
      <c r="EUL39" s="899"/>
      <c r="EUM39" s="899"/>
      <c r="EUN39" s="899"/>
      <c r="EUO39" s="899"/>
      <c r="EUP39" s="899"/>
      <c r="EUQ39" s="899"/>
      <c r="EUR39" s="899"/>
      <c r="EUS39" s="899"/>
      <c r="EUT39" s="899"/>
      <c r="EUU39" s="899"/>
      <c r="EUV39" s="899"/>
      <c r="EUW39" s="899"/>
      <c r="EUX39" s="899"/>
      <c r="EUY39" s="899"/>
      <c r="EUZ39" s="899"/>
      <c r="EVA39" s="899"/>
      <c r="EVB39" s="899"/>
      <c r="EVC39" s="899"/>
      <c r="EVD39" s="899"/>
      <c r="EVE39" s="899"/>
      <c r="EVF39" s="899"/>
      <c r="EVG39" s="899"/>
      <c r="EVH39" s="899"/>
      <c r="EVI39" s="899"/>
      <c r="EVJ39" s="899"/>
      <c r="EVK39" s="899"/>
      <c r="EVL39" s="899"/>
      <c r="EVM39" s="899"/>
      <c r="EVN39" s="899"/>
      <c r="EVO39" s="899"/>
      <c r="EVP39" s="899"/>
      <c r="EVQ39" s="899"/>
      <c r="EVR39" s="899"/>
      <c r="EVS39" s="899"/>
      <c r="EVT39" s="899"/>
      <c r="EVU39" s="899"/>
      <c r="EVV39" s="899"/>
      <c r="EVW39" s="899"/>
      <c r="EVX39" s="899"/>
      <c r="EVY39" s="899"/>
      <c r="EVZ39" s="899"/>
      <c r="EWA39" s="899"/>
      <c r="EWB39" s="899"/>
      <c r="EWC39" s="899"/>
      <c r="EWD39" s="899"/>
      <c r="EWE39" s="899"/>
      <c r="EWF39" s="899"/>
      <c r="EWG39" s="899"/>
      <c r="EWH39" s="899"/>
      <c r="EWI39" s="899"/>
      <c r="EWJ39" s="899"/>
      <c r="EWK39" s="899"/>
      <c r="EWL39" s="899"/>
      <c r="EWM39" s="899"/>
      <c r="EWN39" s="899"/>
      <c r="EWO39" s="899"/>
      <c r="EWP39" s="899"/>
      <c r="EWQ39" s="899"/>
      <c r="EWR39" s="899"/>
      <c r="EWS39" s="899"/>
      <c r="EWT39" s="899"/>
      <c r="EWU39" s="899"/>
      <c r="EWV39" s="899"/>
      <c r="EWW39" s="899"/>
      <c r="EWX39" s="899"/>
      <c r="EWY39" s="899"/>
      <c r="EWZ39" s="899"/>
      <c r="EXA39" s="899"/>
      <c r="EXB39" s="899"/>
      <c r="EXC39" s="899"/>
      <c r="EXD39" s="899"/>
      <c r="EXE39" s="899"/>
      <c r="EXF39" s="899"/>
      <c r="EXG39" s="899"/>
      <c r="EXH39" s="899"/>
      <c r="EXI39" s="899"/>
      <c r="EXJ39" s="899"/>
      <c r="EXK39" s="899"/>
      <c r="EXL39" s="899"/>
      <c r="EXM39" s="899"/>
      <c r="EXN39" s="899"/>
      <c r="EXO39" s="899"/>
      <c r="EXP39" s="899"/>
      <c r="EXQ39" s="899"/>
      <c r="EXR39" s="899"/>
      <c r="EXS39" s="899"/>
      <c r="EXT39" s="899"/>
      <c r="EXU39" s="899"/>
      <c r="EXV39" s="899"/>
      <c r="EXW39" s="899"/>
      <c r="EXX39" s="899"/>
      <c r="EXY39" s="899"/>
      <c r="EXZ39" s="899"/>
      <c r="EYA39" s="899"/>
      <c r="EYB39" s="899"/>
      <c r="EYC39" s="899"/>
      <c r="EYD39" s="899"/>
      <c r="EYE39" s="899"/>
      <c r="EYF39" s="899"/>
      <c r="EYG39" s="899"/>
      <c r="EYH39" s="899"/>
      <c r="EYI39" s="899"/>
      <c r="EYJ39" s="899"/>
      <c r="EYK39" s="899"/>
      <c r="EYL39" s="899"/>
      <c r="EYM39" s="899"/>
      <c r="EYN39" s="899"/>
      <c r="EYO39" s="899"/>
      <c r="EYP39" s="899"/>
      <c r="EYQ39" s="899"/>
      <c r="EYR39" s="899"/>
      <c r="EYS39" s="899"/>
      <c r="EYT39" s="899"/>
      <c r="EYU39" s="899"/>
      <c r="EYV39" s="899"/>
      <c r="EYW39" s="899"/>
      <c r="EYX39" s="899"/>
      <c r="EYY39" s="899"/>
      <c r="EYZ39" s="899"/>
      <c r="EZA39" s="899"/>
      <c r="EZB39" s="899"/>
      <c r="EZC39" s="899"/>
      <c r="EZD39" s="899"/>
      <c r="EZE39" s="899"/>
      <c r="EZF39" s="899"/>
      <c r="EZG39" s="899"/>
      <c r="EZH39" s="899"/>
      <c r="EZI39" s="899"/>
      <c r="EZJ39" s="899"/>
      <c r="EZK39" s="899"/>
      <c r="EZL39" s="899"/>
      <c r="EZM39" s="899"/>
      <c r="EZN39" s="899"/>
      <c r="EZO39" s="899"/>
      <c r="EZP39" s="899"/>
      <c r="EZQ39" s="899"/>
      <c r="EZR39" s="899"/>
      <c r="EZS39" s="899"/>
      <c r="EZT39" s="899"/>
      <c r="EZU39" s="899"/>
      <c r="EZV39" s="899"/>
      <c r="EZW39" s="899"/>
      <c r="EZX39" s="899"/>
      <c r="EZY39" s="899"/>
      <c r="EZZ39" s="899"/>
      <c r="FAA39" s="899"/>
      <c r="FAB39" s="899"/>
      <c r="FAC39" s="899"/>
      <c r="FAD39" s="899"/>
      <c r="FAE39" s="899"/>
      <c r="FAF39" s="899"/>
      <c r="FAG39" s="899"/>
      <c r="FAH39" s="899"/>
      <c r="FAI39" s="899"/>
      <c r="FAJ39" s="899"/>
      <c r="FAK39" s="899"/>
      <c r="FAL39" s="899"/>
      <c r="FAM39" s="899"/>
      <c r="FAN39" s="899"/>
      <c r="FAO39" s="899"/>
      <c r="FAP39" s="899"/>
      <c r="FAQ39" s="899"/>
      <c r="FAR39" s="899"/>
      <c r="FAS39" s="899"/>
      <c r="FAT39" s="899"/>
      <c r="FAU39" s="899"/>
      <c r="FAV39" s="899"/>
      <c r="FAW39" s="899"/>
      <c r="FAX39" s="899"/>
      <c r="FAY39" s="899"/>
      <c r="FAZ39" s="899"/>
      <c r="FBA39" s="899"/>
      <c r="FBB39" s="899"/>
      <c r="FBC39" s="899"/>
      <c r="FBD39" s="899"/>
      <c r="FBE39" s="899"/>
      <c r="FBF39" s="899"/>
      <c r="FBG39" s="899"/>
      <c r="FBH39" s="899"/>
      <c r="FBI39" s="899"/>
      <c r="FBJ39" s="899"/>
      <c r="FBK39" s="899"/>
      <c r="FBL39" s="899"/>
      <c r="FBM39" s="899"/>
      <c r="FBN39" s="899"/>
      <c r="FBO39" s="899"/>
      <c r="FBP39" s="899"/>
      <c r="FBQ39" s="899"/>
      <c r="FBR39" s="899"/>
      <c r="FBS39" s="899"/>
      <c r="FBT39" s="899"/>
      <c r="FBU39" s="899"/>
      <c r="FBV39" s="899"/>
      <c r="FBW39" s="899"/>
      <c r="FBX39" s="899"/>
      <c r="FBY39" s="899"/>
      <c r="FBZ39" s="899"/>
      <c r="FCA39" s="899"/>
      <c r="FCB39" s="899"/>
      <c r="FCC39" s="899"/>
      <c r="FCD39" s="899"/>
      <c r="FCE39" s="899"/>
      <c r="FCF39" s="899"/>
      <c r="FCG39" s="899"/>
      <c r="FCH39" s="899"/>
      <c r="FCI39" s="899"/>
      <c r="FCJ39" s="899"/>
      <c r="FCK39" s="899"/>
      <c r="FCL39" s="899"/>
      <c r="FCM39" s="899"/>
      <c r="FCN39" s="899"/>
      <c r="FCO39" s="899"/>
      <c r="FCP39" s="899"/>
      <c r="FCQ39" s="899"/>
      <c r="FCR39" s="899"/>
      <c r="FCS39" s="899"/>
      <c r="FCT39" s="899"/>
      <c r="FCU39" s="899"/>
      <c r="FCV39" s="899"/>
      <c r="FCW39" s="899"/>
      <c r="FCX39" s="899"/>
      <c r="FCY39" s="899"/>
      <c r="FCZ39" s="899"/>
      <c r="FDA39" s="899"/>
      <c r="FDB39" s="899"/>
      <c r="FDC39" s="899"/>
      <c r="FDD39" s="899"/>
      <c r="FDE39" s="899"/>
      <c r="FDF39" s="899"/>
      <c r="FDG39" s="899"/>
      <c r="FDH39" s="899"/>
      <c r="FDI39" s="899"/>
      <c r="FDJ39" s="899"/>
      <c r="FDK39" s="899"/>
      <c r="FDL39" s="899"/>
      <c r="FDM39" s="899"/>
      <c r="FDN39" s="899"/>
      <c r="FDO39" s="899"/>
      <c r="FDP39" s="899"/>
      <c r="FDQ39" s="899"/>
      <c r="FDR39" s="899"/>
      <c r="FDS39" s="899"/>
      <c r="FDT39" s="899"/>
      <c r="FDU39" s="899"/>
      <c r="FDV39" s="899"/>
      <c r="FDW39" s="899"/>
      <c r="FDX39" s="899"/>
      <c r="FDY39" s="899"/>
      <c r="FDZ39" s="899"/>
      <c r="FEA39" s="899"/>
      <c r="FEB39" s="899"/>
      <c r="FEC39" s="899"/>
      <c r="FED39" s="899"/>
      <c r="FEE39" s="899"/>
      <c r="FEF39" s="899"/>
      <c r="FEG39" s="899"/>
      <c r="FEH39" s="899"/>
      <c r="FEI39" s="899"/>
      <c r="FEJ39" s="899"/>
      <c r="FEK39" s="899"/>
      <c r="FEL39" s="899"/>
      <c r="FEM39" s="899"/>
      <c r="FEN39" s="899"/>
      <c r="FEO39" s="899"/>
      <c r="FEP39" s="899"/>
      <c r="FEQ39" s="899"/>
      <c r="FER39" s="899"/>
      <c r="FES39" s="899"/>
      <c r="FET39" s="899"/>
      <c r="FEU39" s="899"/>
      <c r="FEV39" s="899"/>
      <c r="FEW39" s="899"/>
      <c r="FEX39" s="899"/>
      <c r="FEY39" s="899"/>
      <c r="FEZ39" s="899"/>
      <c r="FFA39" s="899"/>
      <c r="FFB39" s="899"/>
      <c r="FFC39" s="899"/>
      <c r="FFD39" s="899"/>
      <c r="FFE39" s="899"/>
      <c r="FFF39" s="899"/>
      <c r="FFG39" s="899"/>
      <c r="FFH39" s="899"/>
      <c r="FFI39" s="899"/>
      <c r="FFJ39" s="899"/>
      <c r="FFK39" s="899"/>
      <c r="FFL39" s="899"/>
      <c r="FFM39" s="899"/>
      <c r="FFN39" s="899"/>
      <c r="FFO39" s="899"/>
      <c r="FFP39" s="899"/>
      <c r="FFQ39" s="899"/>
      <c r="FFR39" s="899"/>
      <c r="FFS39" s="899"/>
      <c r="FFT39" s="899"/>
      <c r="FFU39" s="899"/>
      <c r="FFV39" s="899"/>
      <c r="FFW39" s="899"/>
      <c r="FFX39" s="899"/>
      <c r="FFY39" s="899"/>
      <c r="FFZ39" s="899"/>
      <c r="FGA39" s="899"/>
      <c r="FGB39" s="899"/>
      <c r="FGC39" s="899"/>
      <c r="FGD39" s="899"/>
      <c r="FGE39" s="899"/>
      <c r="FGF39" s="899"/>
      <c r="FGG39" s="899"/>
      <c r="FGH39" s="899"/>
      <c r="FGI39" s="899"/>
      <c r="FGJ39" s="899"/>
      <c r="FGK39" s="899"/>
      <c r="FGL39" s="899"/>
      <c r="FGM39" s="899"/>
      <c r="FGN39" s="899"/>
      <c r="FGO39" s="899"/>
      <c r="FGP39" s="899"/>
      <c r="FGQ39" s="899"/>
      <c r="FGR39" s="899"/>
      <c r="FGS39" s="899"/>
      <c r="FGT39" s="899"/>
      <c r="FGU39" s="899"/>
      <c r="FGV39" s="899"/>
      <c r="FGW39" s="899"/>
      <c r="FGX39" s="899"/>
      <c r="FGY39" s="899"/>
      <c r="FGZ39" s="899"/>
      <c r="FHA39" s="899"/>
      <c r="FHB39" s="899"/>
      <c r="FHC39" s="899"/>
      <c r="FHD39" s="899"/>
      <c r="FHE39" s="899"/>
      <c r="FHF39" s="899"/>
      <c r="FHG39" s="899"/>
      <c r="FHH39" s="899"/>
      <c r="FHI39" s="899"/>
      <c r="FHJ39" s="899"/>
      <c r="FHK39" s="899"/>
      <c r="FHL39" s="899"/>
      <c r="FHM39" s="899"/>
      <c r="FHN39" s="899"/>
      <c r="FHO39" s="899"/>
      <c r="FHP39" s="899"/>
      <c r="FHQ39" s="899"/>
      <c r="FHR39" s="899"/>
      <c r="FHS39" s="899"/>
      <c r="FHT39" s="899"/>
      <c r="FHU39" s="899"/>
      <c r="FHV39" s="899"/>
      <c r="FHW39" s="899"/>
      <c r="FHX39" s="899"/>
      <c r="FHY39" s="899"/>
      <c r="FHZ39" s="899"/>
      <c r="FIA39" s="899"/>
      <c r="FIB39" s="899"/>
      <c r="FIC39" s="899"/>
      <c r="FID39" s="899"/>
      <c r="FIE39" s="899"/>
      <c r="FIF39" s="899"/>
      <c r="FIG39" s="899"/>
      <c r="FIH39" s="899"/>
      <c r="FII39" s="899"/>
      <c r="FIJ39" s="899"/>
      <c r="FIK39" s="899"/>
      <c r="FIL39" s="899"/>
      <c r="FIM39" s="899"/>
      <c r="FIN39" s="899"/>
      <c r="FIO39" s="899"/>
      <c r="FIP39" s="899"/>
      <c r="FIQ39" s="899"/>
      <c r="FIR39" s="899"/>
      <c r="FIS39" s="899"/>
      <c r="FIT39" s="899"/>
      <c r="FIU39" s="899"/>
      <c r="FIV39" s="899"/>
      <c r="FIW39" s="899"/>
      <c r="FIX39" s="899"/>
      <c r="FIY39" s="899"/>
      <c r="FIZ39" s="899"/>
      <c r="FJA39" s="899"/>
      <c r="FJB39" s="899"/>
      <c r="FJC39" s="899"/>
      <c r="FJD39" s="899"/>
      <c r="FJE39" s="899"/>
      <c r="FJF39" s="899"/>
      <c r="FJG39" s="899"/>
      <c r="FJH39" s="899"/>
      <c r="FJI39" s="899"/>
      <c r="FJJ39" s="899"/>
      <c r="FJK39" s="899"/>
      <c r="FJL39" s="899"/>
      <c r="FJM39" s="899"/>
      <c r="FJN39" s="899"/>
      <c r="FJO39" s="899"/>
      <c r="FJP39" s="899"/>
      <c r="FJQ39" s="899"/>
      <c r="FJR39" s="899"/>
      <c r="FJS39" s="899"/>
      <c r="FJT39" s="899"/>
      <c r="FJU39" s="899"/>
      <c r="FJV39" s="899"/>
      <c r="FJW39" s="899"/>
      <c r="FJX39" s="899"/>
      <c r="FJY39" s="899"/>
      <c r="FJZ39" s="899"/>
      <c r="FKA39" s="899"/>
      <c r="FKB39" s="899"/>
      <c r="FKC39" s="899"/>
      <c r="FKD39" s="899"/>
      <c r="FKE39" s="899"/>
      <c r="FKF39" s="899"/>
      <c r="FKG39" s="899"/>
      <c r="FKH39" s="899"/>
      <c r="FKI39" s="899"/>
      <c r="FKJ39" s="899"/>
      <c r="FKK39" s="899"/>
      <c r="FKL39" s="899"/>
      <c r="FKM39" s="899"/>
      <c r="FKN39" s="899"/>
      <c r="FKO39" s="899"/>
      <c r="FKP39" s="899"/>
      <c r="FKQ39" s="899"/>
      <c r="FKR39" s="899"/>
      <c r="FKS39" s="899"/>
      <c r="FKT39" s="899"/>
      <c r="FKU39" s="899"/>
      <c r="FKV39" s="899"/>
      <c r="FKW39" s="899"/>
      <c r="FKX39" s="899"/>
      <c r="FKY39" s="899"/>
      <c r="FKZ39" s="899"/>
      <c r="FLA39" s="899"/>
      <c r="FLB39" s="899"/>
      <c r="FLC39" s="899"/>
      <c r="FLD39" s="899"/>
      <c r="FLE39" s="899"/>
      <c r="FLF39" s="899"/>
      <c r="FLG39" s="899"/>
      <c r="FLH39" s="899"/>
      <c r="FLI39" s="899"/>
      <c r="FLJ39" s="899"/>
      <c r="FLK39" s="899"/>
      <c r="FLL39" s="899"/>
      <c r="FLM39" s="899"/>
      <c r="FLN39" s="899"/>
      <c r="FLO39" s="899"/>
      <c r="FLP39" s="899"/>
      <c r="FLQ39" s="899"/>
      <c r="FLR39" s="899"/>
      <c r="FLS39" s="899"/>
      <c r="FLT39" s="899"/>
      <c r="FLU39" s="899"/>
      <c r="FLV39" s="899"/>
      <c r="FLW39" s="899"/>
      <c r="FLX39" s="899"/>
      <c r="FLY39" s="899"/>
      <c r="FLZ39" s="899"/>
      <c r="FMA39" s="899"/>
      <c r="FMB39" s="899"/>
      <c r="FMC39" s="899"/>
      <c r="FMD39" s="899"/>
      <c r="FME39" s="899"/>
      <c r="FMF39" s="899"/>
      <c r="FMG39" s="899"/>
      <c r="FMH39" s="899"/>
      <c r="FMI39" s="899"/>
      <c r="FMJ39" s="899"/>
      <c r="FMK39" s="899"/>
      <c r="FML39" s="899"/>
      <c r="FMM39" s="899"/>
      <c r="FMN39" s="899"/>
      <c r="FMO39" s="899"/>
      <c r="FMP39" s="899"/>
      <c r="FMQ39" s="899"/>
      <c r="FMR39" s="899"/>
      <c r="FMS39" s="899"/>
      <c r="FMT39" s="899"/>
      <c r="FMU39" s="899"/>
      <c r="FMV39" s="899"/>
      <c r="FMW39" s="899"/>
      <c r="FMX39" s="899"/>
      <c r="FMY39" s="899"/>
      <c r="FMZ39" s="899"/>
      <c r="FNA39" s="899"/>
      <c r="FNB39" s="899"/>
      <c r="FNC39" s="899"/>
      <c r="FND39" s="899"/>
      <c r="FNE39" s="899"/>
      <c r="FNF39" s="899"/>
      <c r="FNG39" s="899"/>
      <c r="FNH39" s="899"/>
      <c r="FNI39" s="899"/>
      <c r="FNJ39" s="899"/>
      <c r="FNK39" s="899"/>
      <c r="FNL39" s="899"/>
      <c r="FNM39" s="899"/>
      <c r="FNN39" s="899"/>
      <c r="FNO39" s="899"/>
      <c r="FNP39" s="899"/>
      <c r="FNQ39" s="899"/>
      <c r="FNR39" s="899"/>
      <c r="FNS39" s="899"/>
      <c r="FNT39" s="899"/>
      <c r="FNU39" s="899"/>
      <c r="FNV39" s="899"/>
      <c r="FNW39" s="899"/>
      <c r="FNX39" s="899"/>
      <c r="FNY39" s="899"/>
      <c r="FNZ39" s="899"/>
      <c r="FOA39" s="899"/>
      <c r="FOB39" s="899"/>
      <c r="FOC39" s="899"/>
      <c r="FOD39" s="899"/>
      <c r="FOE39" s="899"/>
      <c r="FOF39" s="899"/>
      <c r="FOG39" s="899"/>
      <c r="FOH39" s="899"/>
      <c r="FOI39" s="899"/>
      <c r="FOJ39" s="899"/>
      <c r="FOK39" s="899"/>
      <c r="FOL39" s="899"/>
      <c r="FOM39" s="899"/>
      <c r="FON39" s="899"/>
      <c r="FOO39" s="899"/>
      <c r="FOP39" s="899"/>
      <c r="FOQ39" s="899"/>
      <c r="FOR39" s="899"/>
      <c r="FOS39" s="899"/>
      <c r="FOT39" s="899"/>
      <c r="FOU39" s="899"/>
      <c r="FOV39" s="899"/>
      <c r="FOW39" s="899"/>
      <c r="FOX39" s="899"/>
      <c r="FOY39" s="899"/>
      <c r="FOZ39" s="899"/>
      <c r="FPA39" s="899"/>
      <c r="FPB39" s="899"/>
      <c r="FPC39" s="899"/>
      <c r="FPD39" s="899"/>
      <c r="FPE39" s="899"/>
      <c r="FPF39" s="899"/>
      <c r="FPG39" s="899"/>
      <c r="FPH39" s="899"/>
      <c r="FPI39" s="899"/>
      <c r="FPJ39" s="899"/>
      <c r="FPK39" s="899"/>
      <c r="FPL39" s="899"/>
      <c r="FPM39" s="899"/>
      <c r="FPN39" s="899"/>
      <c r="FPO39" s="899"/>
      <c r="FPP39" s="899"/>
      <c r="FPQ39" s="899"/>
      <c r="FPR39" s="899"/>
      <c r="FPS39" s="899"/>
      <c r="FPT39" s="899"/>
      <c r="FPU39" s="899"/>
      <c r="FPV39" s="899"/>
      <c r="FPW39" s="899"/>
      <c r="FPX39" s="899"/>
      <c r="FPY39" s="899"/>
      <c r="FPZ39" s="899"/>
      <c r="FQA39" s="899"/>
      <c r="FQB39" s="899"/>
      <c r="FQC39" s="899"/>
      <c r="FQD39" s="899"/>
      <c r="FQE39" s="899"/>
      <c r="FQF39" s="899"/>
      <c r="FQG39" s="899"/>
      <c r="FQH39" s="899"/>
      <c r="FQI39" s="899"/>
      <c r="FQJ39" s="899"/>
      <c r="FQK39" s="899"/>
      <c r="FQL39" s="899"/>
      <c r="FQM39" s="899"/>
      <c r="FQN39" s="899"/>
      <c r="FQO39" s="899"/>
      <c r="FQP39" s="899"/>
      <c r="FQQ39" s="899"/>
      <c r="FQR39" s="899"/>
      <c r="FQS39" s="899"/>
      <c r="FQT39" s="899"/>
      <c r="FQU39" s="899"/>
      <c r="FQV39" s="899"/>
      <c r="FQW39" s="899"/>
      <c r="FQX39" s="899"/>
      <c r="FQY39" s="899"/>
      <c r="FQZ39" s="899"/>
      <c r="FRA39" s="899"/>
      <c r="FRB39" s="899"/>
      <c r="FRC39" s="899"/>
      <c r="FRD39" s="899"/>
      <c r="FRE39" s="899"/>
      <c r="FRF39" s="899"/>
      <c r="FRG39" s="899"/>
      <c r="FRH39" s="899"/>
      <c r="FRI39" s="899"/>
      <c r="FRJ39" s="899"/>
      <c r="FRK39" s="899"/>
      <c r="FRL39" s="899"/>
      <c r="FRM39" s="899"/>
      <c r="FRN39" s="899"/>
      <c r="FRO39" s="899"/>
      <c r="FRP39" s="899"/>
      <c r="FRQ39" s="899"/>
      <c r="FRR39" s="899"/>
      <c r="FRS39" s="899"/>
      <c r="FRT39" s="899"/>
      <c r="FRU39" s="899"/>
      <c r="FRV39" s="899"/>
      <c r="FRW39" s="899"/>
      <c r="FRX39" s="899"/>
      <c r="FRY39" s="899"/>
      <c r="FRZ39" s="899"/>
      <c r="FSA39" s="899"/>
      <c r="FSB39" s="899"/>
      <c r="FSC39" s="899"/>
      <c r="FSD39" s="899"/>
      <c r="FSE39" s="899"/>
      <c r="FSF39" s="899"/>
      <c r="FSG39" s="899"/>
      <c r="FSH39" s="899"/>
      <c r="FSI39" s="899"/>
      <c r="FSJ39" s="899"/>
      <c r="FSK39" s="899"/>
      <c r="FSL39" s="899"/>
      <c r="FSM39" s="899"/>
      <c r="FSN39" s="899"/>
      <c r="FSO39" s="899"/>
      <c r="FSP39" s="899"/>
      <c r="FSQ39" s="899"/>
      <c r="FSR39" s="899"/>
      <c r="FSS39" s="899"/>
      <c r="FST39" s="899"/>
      <c r="FSU39" s="899"/>
      <c r="FSV39" s="899"/>
      <c r="FSW39" s="899"/>
      <c r="FSX39" s="899"/>
      <c r="FSY39" s="899"/>
      <c r="FSZ39" s="899"/>
      <c r="FTA39" s="899"/>
      <c r="FTB39" s="899"/>
      <c r="FTC39" s="899"/>
      <c r="FTD39" s="899"/>
      <c r="FTE39" s="899"/>
      <c r="FTF39" s="899"/>
      <c r="FTG39" s="899"/>
      <c r="FTH39" s="899"/>
      <c r="FTI39" s="899"/>
      <c r="FTJ39" s="899"/>
      <c r="FTK39" s="899"/>
      <c r="FTL39" s="899"/>
      <c r="FTM39" s="899"/>
      <c r="FTN39" s="899"/>
      <c r="FTO39" s="899"/>
      <c r="FTP39" s="899"/>
      <c r="FTQ39" s="899"/>
      <c r="FTR39" s="899"/>
      <c r="FTS39" s="899"/>
      <c r="FTT39" s="899"/>
      <c r="FTU39" s="899"/>
      <c r="FTV39" s="899"/>
      <c r="FTW39" s="899"/>
      <c r="FTX39" s="899"/>
      <c r="FTY39" s="899"/>
      <c r="FTZ39" s="899"/>
      <c r="FUA39" s="899"/>
      <c r="FUB39" s="899"/>
      <c r="FUC39" s="899"/>
      <c r="FUD39" s="899"/>
      <c r="FUE39" s="899"/>
      <c r="FUF39" s="899"/>
      <c r="FUG39" s="899"/>
      <c r="FUH39" s="899"/>
      <c r="FUI39" s="899"/>
      <c r="FUJ39" s="899"/>
      <c r="FUK39" s="899"/>
      <c r="FUL39" s="899"/>
      <c r="FUM39" s="899"/>
      <c r="FUN39" s="899"/>
      <c r="FUO39" s="899"/>
      <c r="FUP39" s="899"/>
      <c r="FUQ39" s="899"/>
      <c r="FUR39" s="899"/>
      <c r="FUS39" s="899"/>
      <c r="FUT39" s="899"/>
      <c r="FUU39" s="899"/>
      <c r="FUV39" s="899"/>
      <c r="FUW39" s="899"/>
      <c r="FUX39" s="899"/>
      <c r="FUY39" s="899"/>
      <c r="FUZ39" s="899"/>
      <c r="FVA39" s="899"/>
      <c r="FVB39" s="899"/>
      <c r="FVC39" s="899"/>
      <c r="FVD39" s="899"/>
      <c r="FVE39" s="899"/>
      <c r="FVF39" s="899"/>
      <c r="FVG39" s="899"/>
      <c r="FVH39" s="899"/>
      <c r="FVI39" s="899"/>
      <c r="FVJ39" s="899"/>
      <c r="FVK39" s="899"/>
      <c r="FVL39" s="899"/>
      <c r="FVM39" s="899"/>
      <c r="FVN39" s="899"/>
      <c r="FVO39" s="899"/>
      <c r="FVP39" s="899"/>
      <c r="FVQ39" s="899"/>
      <c r="FVR39" s="899"/>
      <c r="FVS39" s="899"/>
      <c r="FVT39" s="899"/>
      <c r="FVU39" s="899"/>
      <c r="FVV39" s="899"/>
      <c r="FVW39" s="899"/>
      <c r="FVX39" s="899"/>
      <c r="FVY39" s="899"/>
      <c r="FVZ39" s="899"/>
      <c r="FWA39" s="899"/>
      <c r="FWB39" s="899"/>
      <c r="FWC39" s="899"/>
      <c r="FWD39" s="899"/>
      <c r="FWE39" s="899"/>
      <c r="FWF39" s="899"/>
      <c r="FWG39" s="899"/>
      <c r="FWH39" s="899"/>
      <c r="FWI39" s="899"/>
      <c r="FWJ39" s="899"/>
      <c r="FWK39" s="899"/>
      <c r="FWL39" s="899"/>
      <c r="FWM39" s="899"/>
      <c r="FWN39" s="899"/>
      <c r="FWO39" s="899"/>
      <c r="FWP39" s="899"/>
      <c r="FWQ39" s="899"/>
      <c r="FWR39" s="899"/>
      <c r="FWS39" s="899"/>
      <c r="FWT39" s="899"/>
      <c r="FWU39" s="899"/>
      <c r="FWV39" s="899"/>
      <c r="FWW39" s="899"/>
      <c r="FWX39" s="899"/>
      <c r="FWY39" s="899"/>
      <c r="FWZ39" s="899"/>
      <c r="FXA39" s="899"/>
      <c r="FXB39" s="899"/>
      <c r="FXC39" s="899"/>
      <c r="FXD39" s="899"/>
      <c r="FXE39" s="899"/>
      <c r="FXF39" s="899"/>
      <c r="FXG39" s="899"/>
      <c r="FXH39" s="899"/>
      <c r="FXI39" s="899"/>
      <c r="FXJ39" s="899"/>
      <c r="FXK39" s="899"/>
      <c r="FXL39" s="899"/>
      <c r="FXM39" s="899"/>
      <c r="FXN39" s="899"/>
      <c r="FXO39" s="899"/>
      <c r="FXP39" s="899"/>
      <c r="FXQ39" s="899"/>
      <c r="FXR39" s="899"/>
      <c r="FXS39" s="899"/>
      <c r="FXT39" s="899"/>
      <c r="FXU39" s="899"/>
      <c r="FXV39" s="899"/>
      <c r="FXW39" s="899"/>
      <c r="FXX39" s="899"/>
      <c r="FXY39" s="899"/>
      <c r="FXZ39" s="899"/>
      <c r="FYA39" s="899"/>
      <c r="FYB39" s="899"/>
      <c r="FYC39" s="899"/>
      <c r="FYD39" s="899"/>
      <c r="FYE39" s="899"/>
      <c r="FYF39" s="899"/>
      <c r="FYG39" s="899"/>
      <c r="FYH39" s="899"/>
      <c r="FYI39" s="899"/>
      <c r="FYJ39" s="899"/>
      <c r="FYK39" s="899"/>
      <c r="FYL39" s="899"/>
      <c r="FYM39" s="899"/>
      <c r="FYN39" s="899"/>
      <c r="FYO39" s="899"/>
      <c r="FYP39" s="899"/>
      <c r="FYQ39" s="899"/>
      <c r="FYR39" s="899"/>
      <c r="FYS39" s="899"/>
      <c r="FYT39" s="899"/>
      <c r="FYU39" s="899"/>
      <c r="FYV39" s="899"/>
      <c r="FYW39" s="899"/>
      <c r="FYX39" s="899"/>
      <c r="FYY39" s="899"/>
      <c r="FYZ39" s="899"/>
      <c r="FZA39" s="899"/>
      <c r="FZB39" s="899"/>
      <c r="FZC39" s="899"/>
      <c r="FZD39" s="899"/>
      <c r="FZE39" s="899"/>
      <c r="FZF39" s="899"/>
      <c r="FZG39" s="899"/>
      <c r="FZH39" s="899"/>
      <c r="FZI39" s="899"/>
      <c r="FZJ39" s="899"/>
      <c r="FZK39" s="899"/>
      <c r="FZL39" s="899"/>
      <c r="FZM39" s="899"/>
      <c r="FZN39" s="899"/>
      <c r="FZO39" s="899"/>
      <c r="FZP39" s="899"/>
      <c r="FZQ39" s="899"/>
      <c r="FZR39" s="899"/>
      <c r="FZS39" s="899"/>
      <c r="FZT39" s="899"/>
      <c r="FZU39" s="899"/>
      <c r="FZV39" s="899"/>
      <c r="FZW39" s="899"/>
      <c r="FZX39" s="899"/>
      <c r="FZY39" s="899"/>
      <c r="FZZ39" s="899"/>
      <c r="GAA39" s="899"/>
      <c r="GAB39" s="899"/>
      <c r="GAC39" s="899"/>
      <c r="GAD39" s="899"/>
      <c r="GAE39" s="899"/>
      <c r="GAF39" s="899"/>
      <c r="GAG39" s="899"/>
      <c r="GAH39" s="899"/>
      <c r="GAI39" s="899"/>
      <c r="GAJ39" s="899"/>
      <c r="GAK39" s="899"/>
      <c r="GAL39" s="899"/>
      <c r="GAM39" s="899"/>
      <c r="GAN39" s="899"/>
      <c r="GAO39" s="899"/>
      <c r="GAP39" s="899"/>
      <c r="GAQ39" s="899"/>
      <c r="GAR39" s="899"/>
      <c r="GAS39" s="899"/>
      <c r="GAT39" s="899"/>
      <c r="GAU39" s="899"/>
      <c r="GAV39" s="899"/>
      <c r="GAW39" s="899"/>
      <c r="GAX39" s="899"/>
      <c r="GAY39" s="899"/>
      <c r="GAZ39" s="899"/>
      <c r="GBA39" s="899"/>
      <c r="GBB39" s="899"/>
      <c r="GBC39" s="899"/>
      <c r="GBD39" s="899"/>
      <c r="GBE39" s="899"/>
      <c r="GBF39" s="899"/>
      <c r="GBG39" s="899"/>
      <c r="GBH39" s="899"/>
      <c r="GBI39" s="899"/>
      <c r="GBJ39" s="899"/>
      <c r="GBK39" s="899"/>
      <c r="GBL39" s="899"/>
      <c r="GBM39" s="899"/>
      <c r="GBN39" s="899"/>
      <c r="GBO39" s="899"/>
      <c r="GBP39" s="899"/>
      <c r="GBQ39" s="899"/>
      <c r="GBR39" s="899"/>
      <c r="GBS39" s="899"/>
      <c r="GBT39" s="899"/>
      <c r="GBU39" s="899"/>
      <c r="GBV39" s="899"/>
      <c r="GBW39" s="899"/>
      <c r="GBX39" s="899"/>
      <c r="GBY39" s="899"/>
      <c r="GBZ39" s="899"/>
      <c r="GCA39" s="899"/>
      <c r="GCB39" s="899"/>
      <c r="GCC39" s="899"/>
      <c r="GCD39" s="899"/>
      <c r="GCE39" s="899"/>
      <c r="GCF39" s="899"/>
      <c r="GCG39" s="899"/>
      <c r="GCH39" s="899"/>
      <c r="GCI39" s="899"/>
      <c r="GCJ39" s="899"/>
      <c r="GCK39" s="899"/>
      <c r="GCL39" s="899"/>
      <c r="GCM39" s="899"/>
      <c r="GCN39" s="899"/>
      <c r="GCO39" s="899"/>
      <c r="GCP39" s="899"/>
      <c r="GCQ39" s="899"/>
      <c r="GCR39" s="899"/>
      <c r="GCS39" s="899"/>
      <c r="GCT39" s="899"/>
      <c r="GCU39" s="899"/>
      <c r="GCV39" s="899"/>
      <c r="GCW39" s="899"/>
      <c r="GCX39" s="899"/>
      <c r="GCY39" s="899"/>
      <c r="GCZ39" s="899"/>
      <c r="GDA39" s="899"/>
      <c r="GDB39" s="899"/>
      <c r="GDC39" s="899"/>
      <c r="GDD39" s="899"/>
      <c r="GDE39" s="899"/>
      <c r="GDF39" s="899"/>
      <c r="GDG39" s="899"/>
      <c r="GDH39" s="899"/>
      <c r="GDI39" s="899"/>
      <c r="GDJ39" s="899"/>
      <c r="GDK39" s="899"/>
      <c r="GDL39" s="899"/>
      <c r="GDM39" s="899"/>
      <c r="GDN39" s="899"/>
      <c r="GDO39" s="899"/>
      <c r="GDP39" s="899"/>
      <c r="GDQ39" s="899"/>
      <c r="GDR39" s="899"/>
      <c r="GDS39" s="899"/>
      <c r="GDT39" s="899"/>
      <c r="GDU39" s="899"/>
      <c r="GDV39" s="899"/>
      <c r="GDW39" s="899"/>
      <c r="GDX39" s="899"/>
      <c r="GDY39" s="899"/>
      <c r="GDZ39" s="899"/>
      <c r="GEA39" s="899"/>
      <c r="GEB39" s="899"/>
      <c r="GEC39" s="899"/>
      <c r="GED39" s="899"/>
      <c r="GEE39" s="899"/>
      <c r="GEF39" s="899"/>
      <c r="GEG39" s="899"/>
      <c r="GEH39" s="899"/>
      <c r="GEI39" s="899"/>
      <c r="GEJ39" s="899"/>
      <c r="GEK39" s="899"/>
      <c r="GEL39" s="899"/>
      <c r="GEM39" s="899"/>
      <c r="GEN39" s="899"/>
      <c r="GEO39" s="899"/>
      <c r="GEP39" s="899"/>
      <c r="GEQ39" s="899"/>
      <c r="GER39" s="899"/>
      <c r="GES39" s="899"/>
      <c r="GET39" s="899"/>
      <c r="GEU39" s="899"/>
      <c r="GEV39" s="899"/>
      <c r="GEW39" s="899"/>
      <c r="GEX39" s="899"/>
      <c r="GEY39" s="899"/>
      <c r="GEZ39" s="899"/>
      <c r="GFA39" s="899"/>
      <c r="GFB39" s="899"/>
      <c r="GFC39" s="899"/>
      <c r="GFD39" s="899"/>
      <c r="GFE39" s="899"/>
      <c r="GFF39" s="899"/>
      <c r="GFG39" s="899"/>
      <c r="GFH39" s="899"/>
      <c r="GFI39" s="899"/>
      <c r="GFJ39" s="899"/>
      <c r="GFK39" s="899"/>
      <c r="GFL39" s="899"/>
      <c r="GFM39" s="899"/>
      <c r="GFN39" s="899"/>
      <c r="GFO39" s="899"/>
      <c r="GFP39" s="899"/>
      <c r="GFQ39" s="899"/>
      <c r="GFR39" s="899"/>
      <c r="GFS39" s="899"/>
      <c r="GFT39" s="899"/>
      <c r="GFU39" s="899"/>
      <c r="GFV39" s="899"/>
      <c r="GFW39" s="899"/>
      <c r="GFX39" s="899"/>
      <c r="GFY39" s="899"/>
      <c r="GFZ39" s="899"/>
      <c r="GGA39" s="899"/>
      <c r="GGB39" s="899"/>
      <c r="GGC39" s="899"/>
      <c r="GGD39" s="899"/>
      <c r="GGE39" s="899"/>
      <c r="GGF39" s="899"/>
      <c r="GGG39" s="899"/>
      <c r="GGH39" s="899"/>
      <c r="GGI39" s="899"/>
      <c r="GGJ39" s="899"/>
      <c r="GGK39" s="899"/>
      <c r="GGL39" s="899"/>
      <c r="GGM39" s="899"/>
      <c r="GGN39" s="899"/>
      <c r="GGO39" s="899"/>
      <c r="GGP39" s="899"/>
      <c r="GGQ39" s="899"/>
      <c r="GGR39" s="899"/>
      <c r="GGS39" s="899"/>
      <c r="GGT39" s="899"/>
      <c r="GGU39" s="899"/>
      <c r="GGV39" s="899"/>
      <c r="GGW39" s="899"/>
      <c r="GGX39" s="899"/>
      <c r="GGY39" s="899"/>
      <c r="GGZ39" s="899"/>
      <c r="GHA39" s="899"/>
      <c r="GHB39" s="899"/>
      <c r="GHC39" s="899"/>
      <c r="GHD39" s="899"/>
      <c r="GHE39" s="899"/>
      <c r="GHF39" s="899"/>
      <c r="GHG39" s="899"/>
      <c r="GHH39" s="899"/>
      <c r="GHI39" s="899"/>
      <c r="GHJ39" s="899"/>
      <c r="GHK39" s="899"/>
      <c r="GHL39" s="899"/>
      <c r="GHM39" s="899"/>
      <c r="GHN39" s="899"/>
      <c r="GHO39" s="899"/>
      <c r="GHP39" s="899"/>
      <c r="GHQ39" s="899"/>
      <c r="GHR39" s="899"/>
      <c r="GHS39" s="899"/>
      <c r="GHT39" s="899"/>
      <c r="GHU39" s="899"/>
      <c r="GHV39" s="899"/>
      <c r="GHW39" s="899"/>
      <c r="GHX39" s="899"/>
      <c r="GHY39" s="899"/>
      <c r="GHZ39" s="899"/>
      <c r="GIA39" s="899"/>
      <c r="GIB39" s="899"/>
      <c r="GIC39" s="899"/>
      <c r="GID39" s="899"/>
      <c r="GIE39" s="899"/>
      <c r="GIF39" s="899"/>
      <c r="GIG39" s="899"/>
      <c r="GIH39" s="899"/>
      <c r="GII39" s="899"/>
      <c r="GIJ39" s="899"/>
      <c r="GIK39" s="899"/>
      <c r="GIL39" s="899"/>
      <c r="GIM39" s="899"/>
      <c r="GIN39" s="899"/>
      <c r="GIO39" s="899"/>
      <c r="GIP39" s="899"/>
      <c r="GIQ39" s="899"/>
      <c r="GIR39" s="899"/>
      <c r="GIS39" s="899"/>
      <c r="GIT39" s="899"/>
      <c r="GIU39" s="899"/>
      <c r="GIV39" s="899"/>
      <c r="GIW39" s="899"/>
      <c r="GIX39" s="899"/>
      <c r="GIY39" s="899"/>
      <c r="GIZ39" s="899"/>
      <c r="GJA39" s="899"/>
      <c r="GJB39" s="899"/>
      <c r="GJC39" s="899"/>
      <c r="GJD39" s="899"/>
      <c r="GJE39" s="899"/>
      <c r="GJF39" s="899"/>
      <c r="GJG39" s="899"/>
      <c r="GJH39" s="899"/>
      <c r="GJI39" s="899"/>
      <c r="GJJ39" s="899"/>
      <c r="GJK39" s="899"/>
      <c r="GJL39" s="899"/>
      <c r="GJM39" s="899"/>
      <c r="GJN39" s="899"/>
      <c r="GJO39" s="899"/>
      <c r="GJP39" s="899"/>
      <c r="GJQ39" s="899"/>
      <c r="GJR39" s="899"/>
      <c r="GJS39" s="899"/>
      <c r="GJT39" s="899"/>
      <c r="GJU39" s="899"/>
      <c r="GJV39" s="899"/>
      <c r="GJW39" s="899"/>
      <c r="GJX39" s="899"/>
      <c r="GJY39" s="899"/>
      <c r="GJZ39" s="899"/>
      <c r="GKA39" s="899"/>
      <c r="GKB39" s="899"/>
      <c r="GKC39" s="899"/>
      <c r="GKD39" s="899"/>
      <c r="GKE39" s="899"/>
      <c r="GKF39" s="899"/>
      <c r="GKG39" s="899"/>
      <c r="GKH39" s="899"/>
      <c r="GKI39" s="899"/>
      <c r="GKJ39" s="899"/>
      <c r="GKK39" s="899"/>
      <c r="GKL39" s="899"/>
      <c r="GKM39" s="899"/>
      <c r="GKN39" s="899"/>
      <c r="GKO39" s="899"/>
      <c r="GKP39" s="899"/>
      <c r="GKQ39" s="899"/>
      <c r="GKR39" s="899"/>
      <c r="GKS39" s="899"/>
      <c r="GKT39" s="899"/>
      <c r="GKU39" s="899"/>
      <c r="GKV39" s="899"/>
      <c r="GKW39" s="899"/>
      <c r="GKX39" s="899"/>
      <c r="GKY39" s="899"/>
      <c r="GKZ39" s="899"/>
      <c r="GLA39" s="899"/>
      <c r="GLB39" s="899"/>
      <c r="GLC39" s="899"/>
      <c r="GLD39" s="899"/>
      <c r="GLE39" s="899"/>
      <c r="GLF39" s="899"/>
      <c r="GLG39" s="899"/>
      <c r="GLH39" s="899"/>
      <c r="GLI39" s="899"/>
      <c r="GLJ39" s="899"/>
      <c r="GLK39" s="899"/>
      <c r="GLL39" s="899"/>
      <c r="GLM39" s="899"/>
      <c r="GLN39" s="899"/>
      <c r="GLO39" s="899"/>
      <c r="GLP39" s="899"/>
      <c r="GLQ39" s="899"/>
      <c r="GLR39" s="899"/>
      <c r="GLS39" s="899"/>
      <c r="GLT39" s="899"/>
      <c r="GLU39" s="899"/>
      <c r="GLV39" s="899"/>
      <c r="GLW39" s="899"/>
      <c r="GLX39" s="899"/>
      <c r="GLY39" s="899"/>
      <c r="GLZ39" s="899"/>
      <c r="GMA39" s="899"/>
      <c r="GMB39" s="899"/>
      <c r="GMC39" s="899"/>
      <c r="GMD39" s="899"/>
      <c r="GME39" s="899"/>
      <c r="GMF39" s="899"/>
      <c r="GMG39" s="899"/>
      <c r="GMH39" s="899"/>
      <c r="GMI39" s="899"/>
      <c r="GMJ39" s="899"/>
      <c r="GMK39" s="899"/>
      <c r="GML39" s="899"/>
      <c r="GMM39" s="899"/>
      <c r="GMN39" s="899"/>
      <c r="GMO39" s="899"/>
      <c r="GMP39" s="899"/>
      <c r="GMQ39" s="899"/>
      <c r="GMR39" s="899"/>
      <c r="GMS39" s="899"/>
      <c r="GMT39" s="899"/>
      <c r="GMU39" s="899"/>
      <c r="GMV39" s="899"/>
      <c r="GMW39" s="899"/>
      <c r="GMX39" s="899"/>
      <c r="GMY39" s="899"/>
      <c r="GMZ39" s="899"/>
      <c r="GNA39" s="899"/>
      <c r="GNB39" s="899"/>
      <c r="GNC39" s="899"/>
      <c r="GND39" s="899"/>
      <c r="GNE39" s="899"/>
      <c r="GNF39" s="899"/>
      <c r="GNG39" s="899"/>
      <c r="GNH39" s="899"/>
      <c r="GNI39" s="899"/>
      <c r="GNJ39" s="899"/>
      <c r="GNK39" s="899"/>
      <c r="GNL39" s="899"/>
      <c r="GNM39" s="899"/>
      <c r="GNN39" s="899"/>
      <c r="GNO39" s="899"/>
      <c r="GNP39" s="899"/>
      <c r="GNQ39" s="899"/>
      <c r="GNR39" s="899"/>
      <c r="GNS39" s="899"/>
      <c r="GNT39" s="899"/>
      <c r="GNU39" s="899"/>
      <c r="GNV39" s="899"/>
      <c r="GNW39" s="899"/>
      <c r="GNX39" s="899"/>
      <c r="GNY39" s="899"/>
      <c r="GNZ39" s="899"/>
      <c r="GOA39" s="899"/>
      <c r="GOB39" s="899"/>
      <c r="GOC39" s="899"/>
      <c r="GOD39" s="899"/>
      <c r="GOE39" s="899"/>
      <c r="GOF39" s="899"/>
      <c r="GOG39" s="899"/>
      <c r="GOH39" s="899"/>
      <c r="GOI39" s="899"/>
      <c r="GOJ39" s="899"/>
      <c r="GOK39" s="899"/>
      <c r="GOL39" s="899"/>
      <c r="GOM39" s="899"/>
      <c r="GON39" s="899"/>
      <c r="GOO39" s="899"/>
      <c r="GOP39" s="899"/>
      <c r="GOQ39" s="899"/>
      <c r="GOR39" s="899"/>
      <c r="GOS39" s="899"/>
      <c r="GOT39" s="899"/>
      <c r="GOU39" s="899"/>
      <c r="GOV39" s="899"/>
      <c r="GOW39" s="899"/>
      <c r="GOX39" s="899"/>
      <c r="GOY39" s="899"/>
      <c r="GOZ39" s="899"/>
      <c r="GPA39" s="899"/>
      <c r="GPB39" s="899"/>
      <c r="GPC39" s="899"/>
      <c r="GPD39" s="899"/>
      <c r="GPE39" s="899"/>
      <c r="GPF39" s="899"/>
      <c r="GPG39" s="899"/>
      <c r="GPH39" s="899"/>
      <c r="GPI39" s="899"/>
      <c r="GPJ39" s="899"/>
      <c r="GPK39" s="899"/>
      <c r="GPL39" s="899"/>
      <c r="GPM39" s="899"/>
      <c r="GPN39" s="899"/>
      <c r="GPO39" s="899"/>
      <c r="GPP39" s="899"/>
      <c r="GPQ39" s="899"/>
      <c r="GPR39" s="899"/>
      <c r="GPS39" s="899"/>
      <c r="GPT39" s="899"/>
      <c r="GPU39" s="899"/>
      <c r="GPV39" s="899"/>
      <c r="GPW39" s="899"/>
      <c r="GPX39" s="899"/>
      <c r="GPY39" s="899"/>
      <c r="GPZ39" s="899"/>
      <c r="GQA39" s="899"/>
      <c r="GQB39" s="899"/>
      <c r="GQC39" s="899"/>
      <c r="GQD39" s="899"/>
      <c r="GQE39" s="899"/>
      <c r="GQF39" s="899"/>
      <c r="GQG39" s="899"/>
      <c r="GQH39" s="899"/>
      <c r="GQI39" s="899"/>
      <c r="GQJ39" s="899"/>
      <c r="GQK39" s="899"/>
      <c r="GQL39" s="899"/>
      <c r="GQM39" s="899"/>
      <c r="GQN39" s="899"/>
      <c r="GQO39" s="899"/>
      <c r="GQP39" s="899"/>
      <c r="GQQ39" s="899"/>
      <c r="GQR39" s="899"/>
      <c r="GQS39" s="899"/>
      <c r="GQT39" s="899"/>
      <c r="GQU39" s="899"/>
      <c r="GQV39" s="899"/>
      <c r="GQW39" s="899"/>
      <c r="GQX39" s="899"/>
      <c r="GQY39" s="899"/>
      <c r="GQZ39" s="899"/>
      <c r="GRA39" s="899"/>
      <c r="GRB39" s="899"/>
      <c r="GRC39" s="899"/>
      <c r="GRD39" s="899"/>
      <c r="GRE39" s="899"/>
      <c r="GRF39" s="899"/>
      <c r="GRG39" s="899"/>
      <c r="GRH39" s="899"/>
      <c r="GRI39" s="899"/>
      <c r="GRJ39" s="899"/>
      <c r="GRK39" s="899"/>
      <c r="GRL39" s="899"/>
      <c r="GRM39" s="899"/>
      <c r="GRN39" s="899"/>
      <c r="GRO39" s="899"/>
      <c r="GRP39" s="899"/>
      <c r="GRQ39" s="899"/>
      <c r="GRR39" s="899"/>
      <c r="GRS39" s="899"/>
      <c r="GRT39" s="899"/>
      <c r="GRU39" s="899"/>
      <c r="GRV39" s="899"/>
      <c r="GRW39" s="899"/>
      <c r="GRX39" s="899"/>
      <c r="GRY39" s="899"/>
      <c r="GRZ39" s="899"/>
      <c r="GSA39" s="899"/>
      <c r="GSB39" s="899"/>
      <c r="GSC39" s="899"/>
      <c r="GSD39" s="899"/>
      <c r="GSE39" s="899"/>
      <c r="GSF39" s="899"/>
      <c r="GSG39" s="899"/>
      <c r="GSH39" s="899"/>
      <c r="GSI39" s="899"/>
      <c r="GSJ39" s="899"/>
      <c r="GSK39" s="899"/>
      <c r="GSL39" s="899"/>
      <c r="GSM39" s="899"/>
      <c r="GSN39" s="899"/>
      <c r="GSO39" s="899"/>
      <c r="GSP39" s="899"/>
      <c r="GSQ39" s="899"/>
      <c r="GSR39" s="899"/>
      <c r="GSS39" s="899"/>
      <c r="GST39" s="899"/>
      <c r="GSU39" s="899"/>
      <c r="GSV39" s="899"/>
      <c r="GSW39" s="899"/>
      <c r="GSX39" s="899"/>
      <c r="GSY39" s="899"/>
      <c r="GSZ39" s="899"/>
      <c r="GTA39" s="899"/>
      <c r="GTB39" s="899"/>
      <c r="GTC39" s="899"/>
      <c r="GTD39" s="899"/>
      <c r="GTE39" s="899"/>
      <c r="GTF39" s="899"/>
      <c r="GTG39" s="899"/>
      <c r="GTH39" s="899"/>
      <c r="GTI39" s="899"/>
      <c r="GTJ39" s="899"/>
      <c r="GTK39" s="899"/>
      <c r="GTL39" s="899"/>
      <c r="GTM39" s="899"/>
      <c r="GTN39" s="899"/>
      <c r="GTO39" s="899"/>
      <c r="GTP39" s="899"/>
      <c r="GTQ39" s="899"/>
      <c r="GTR39" s="899"/>
      <c r="GTS39" s="899"/>
      <c r="GTT39" s="899"/>
      <c r="GTU39" s="899"/>
      <c r="GTV39" s="899"/>
      <c r="GTW39" s="899"/>
      <c r="GTX39" s="899"/>
      <c r="GTY39" s="899"/>
      <c r="GTZ39" s="899"/>
      <c r="GUA39" s="899"/>
      <c r="GUB39" s="899"/>
      <c r="GUC39" s="899"/>
      <c r="GUD39" s="899"/>
      <c r="GUE39" s="899"/>
      <c r="GUF39" s="899"/>
      <c r="GUG39" s="899"/>
      <c r="GUH39" s="899"/>
      <c r="GUI39" s="899"/>
      <c r="GUJ39" s="899"/>
      <c r="GUK39" s="899"/>
      <c r="GUL39" s="899"/>
      <c r="GUM39" s="899"/>
      <c r="GUN39" s="899"/>
      <c r="GUO39" s="899"/>
      <c r="GUP39" s="899"/>
      <c r="GUQ39" s="899"/>
      <c r="GUR39" s="899"/>
      <c r="GUS39" s="899"/>
      <c r="GUT39" s="899"/>
      <c r="GUU39" s="899"/>
      <c r="GUV39" s="899"/>
      <c r="GUW39" s="899"/>
      <c r="GUX39" s="899"/>
      <c r="GUY39" s="899"/>
      <c r="GUZ39" s="899"/>
      <c r="GVA39" s="899"/>
      <c r="GVB39" s="899"/>
      <c r="GVC39" s="899"/>
      <c r="GVD39" s="899"/>
      <c r="GVE39" s="899"/>
      <c r="GVF39" s="899"/>
      <c r="GVG39" s="899"/>
      <c r="GVH39" s="899"/>
      <c r="GVI39" s="899"/>
      <c r="GVJ39" s="899"/>
      <c r="GVK39" s="899"/>
      <c r="GVL39" s="899"/>
      <c r="GVM39" s="899"/>
      <c r="GVN39" s="899"/>
      <c r="GVO39" s="899"/>
      <c r="GVP39" s="899"/>
      <c r="GVQ39" s="899"/>
      <c r="GVR39" s="899"/>
      <c r="GVS39" s="899"/>
      <c r="GVT39" s="899"/>
      <c r="GVU39" s="899"/>
      <c r="GVV39" s="899"/>
      <c r="GVW39" s="899"/>
      <c r="GVX39" s="899"/>
      <c r="GVY39" s="899"/>
      <c r="GVZ39" s="899"/>
      <c r="GWA39" s="899"/>
      <c r="GWB39" s="899"/>
      <c r="GWC39" s="899"/>
      <c r="GWD39" s="899"/>
      <c r="GWE39" s="899"/>
      <c r="GWF39" s="899"/>
      <c r="GWG39" s="899"/>
      <c r="GWH39" s="899"/>
      <c r="GWI39" s="899"/>
      <c r="GWJ39" s="899"/>
      <c r="GWK39" s="899"/>
      <c r="GWL39" s="899"/>
      <c r="GWM39" s="899"/>
      <c r="GWN39" s="899"/>
      <c r="GWO39" s="899"/>
      <c r="GWP39" s="899"/>
      <c r="GWQ39" s="899"/>
      <c r="GWR39" s="899"/>
      <c r="GWS39" s="899"/>
      <c r="GWT39" s="899"/>
      <c r="GWU39" s="899"/>
      <c r="GWV39" s="899"/>
      <c r="GWW39" s="899"/>
      <c r="GWX39" s="899"/>
      <c r="GWY39" s="899"/>
      <c r="GWZ39" s="899"/>
      <c r="GXA39" s="899"/>
      <c r="GXB39" s="899"/>
      <c r="GXC39" s="899"/>
      <c r="GXD39" s="899"/>
      <c r="GXE39" s="899"/>
      <c r="GXF39" s="899"/>
      <c r="GXG39" s="899"/>
      <c r="GXH39" s="899"/>
      <c r="GXI39" s="899"/>
      <c r="GXJ39" s="899"/>
      <c r="GXK39" s="899"/>
      <c r="GXL39" s="899"/>
      <c r="GXM39" s="899"/>
      <c r="GXN39" s="899"/>
      <c r="GXO39" s="899"/>
      <c r="GXP39" s="899"/>
      <c r="GXQ39" s="899"/>
      <c r="GXR39" s="899"/>
      <c r="GXS39" s="899"/>
      <c r="GXT39" s="899"/>
      <c r="GXU39" s="899"/>
      <c r="GXV39" s="899"/>
      <c r="GXW39" s="899"/>
      <c r="GXX39" s="899"/>
      <c r="GXY39" s="899"/>
      <c r="GXZ39" s="899"/>
      <c r="GYA39" s="899"/>
      <c r="GYB39" s="899"/>
      <c r="GYC39" s="899"/>
      <c r="GYD39" s="899"/>
      <c r="GYE39" s="899"/>
      <c r="GYF39" s="899"/>
      <c r="GYG39" s="899"/>
      <c r="GYH39" s="899"/>
      <c r="GYI39" s="899"/>
      <c r="GYJ39" s="899"/>
      <c r="GYK39" s="899"/>
      <c r="GYL39" s="899"/>
      <c r="GYM39" s="899"/>
      <c r="GYN39" s="899"/>
      <c r="GYO39" s="899"/>
      <c r="GYP39" s="899"/>
      <c r="GYQ39" s="899"/>
      <c r="GYR39" s="899"/>
      <c r="GYS39" s="899"/>
      <c r="GYT39" s="899"/>
      <c r="GYU39" s="899"/>
      <c r="GYV39" s="899"/>
      <c r="GYW39" s="899"/>
      <c r="GYX39" s="899"/>
      <c r="GYY39" s="899"/>
      <c r="GYZ39" s="899"/>
      <c r="GZA39" s="899"/>
      <c r="GZB39" s="899"/>
      <c r="GZC39" s="899"/>
      <c r="GZD39" s="899"/>
      <c r="GZE39" s="899"/>
      <c r="GZF39" s="899"/>
      <c r="GZG39" s="899"/>
      <c r="GZH39" s="899"/>
      <c r="GZI39" s="899"/>
      <c r="GZJ39" s="899"/>
      <c r="GZK39" s="899"/>
      <c r="GZL39" s="899"/>
      <c r="GZM39" s="899"/>
      <c r="GZN39" s="899"/>
      <c r="GZO39" s="899"/>
      <c r="GZP39" s="899"/>
      <c r="GZQ39" s="899"/>
      <c r="GZR39" s="899"/>
      <c r="GZS39" s="899"/>
      <c r="GZT39" s="899"/>
      <c r="GZU39" s="899"/>
      <c r="GZV39" s="899"/>
      <c r="GZW39" s="899"/>
      <c r="GZX39" s="899"/>
      <c r="GZY39" s="899"/>
      <c r="GZZ39" s="899"/>
      <c r="HAA39" s="899"/>
      <c r="HAB39" s="899"/>
      <c r="HAC39" s="899"/>
      <c r="HAD39" s="899"/>
      <c r="HAE39" s="899"/>
      <c r="HAF39" s="899"/>
      <c r="HAG39" s="899"/>
      <c r="HAH39" s="899"/>
      <c r="HAI39" s="899"/>
      <c r="HAJ39" s="899"/>
      <c r="HAK39" s="899"/>
      <c r="HAL39" s="899"/>
      <c r="HAM39" s="899"/>
      <c r="HAN39" s="899"/>
      <c r="HAO39" s="899"/>
      <c r="HAP39" s="899"/>
      <c r="HAQ39" s="899"/>
      <c r="HAR39" s="899"/>
      <c r="HAS39" s="899"/>
      <c r="HAT39" s="899"/>
      <c r="HAU39" s="899"/>
      <c r="HAV39" s="899"/>
      <c r="HAW39" s="899"/>
      <c r="HAX39" s="899"/>
      <c r="HAY39" s="899"/>
      <c r="HAZ39" s="899"/>
      <c r="HBA39" s="899"/>
      <c r="HBB39" s="899"/>
      <c r="HBC39" s="899"/>
      <c r="HBD39" s="899"/>
      <c r="HBE39" s="899"/>
      <c r="HBF39" s="899"/>
      <c r="HBG39" s="899"/>
      <c r="HBH39" s="899"/>
      <c r="HBI39" s="899"/>
      <c r="HBJ39" s="899"/>
      <c r="HBK39" s="899"/>
      <c r="HBL39" s="899"/>
      <c r="HBM39" s="899"/>
      <c r="HBN39" s="899"/>
      <c r="HBO39" s="899"/>
      <c r="HBP39" s="899"/>
      <c r="HBQ39" s="899"/>
      <c r="HBR39" s="899"/>
      <c r="HBS39" s="899"/>
      <c r="HBT39" s="899"/>
      <c r="HBU39" s="899"/>
      <c r="HBV39" s="899"/>
      <c r="HBW39" s="899"/>
      <c r="HBX39" s="899"/>
      <c r="HBY39" s="899"/>
      <c r="HBZ39" s="899"/>
      <c r="HCA39" s="899"/>
      <c r="HCB39" s="899"/>
      <c r="HCC39" s="899"/>
      <c r="HCD39" s="899"/>
      <c r="HCE39" s="899"/>
      <c r="HCF39" s="899"/>
      <c r="HCG39" s="899"/>
      <c r="HCH39" s="899"/>
      <c r="HCI39" s="899"/>
      <c r="HCJ39" s="899"/>
      <c r="HCK39" s="899"/>
      <c r="HCL39" s="899"/>
      <c r="HCM39" s="899"/>
      <c r="HCN39" s="899"/>
      <c r="HCO39" s="899"/>
      <c r="HCP39" s="899"/>
      <c r="HCQ39" s="899"/>
      <c r="HCR39" s="899"/>
      <c r="HCS39" s="899"/>
      <c r="HCT39" s="899"/>
      <c r="HCU39" s="899"/>
      <c r="HCV39" s="899"/>
      <c r="HCW39" s="899"/>
      <c r="HCX39" s="899"/>
      <c r="HCY39" s="899"/>
      <c r="HCZ39" s="899"/>
      <c r="HDA39" s="899"/>
      <c r="HDB39" s="899"/>
      <c r="HDC39" s="899"/>
      <c r="HDD39" s="899"/>
      <c r="HDE39" s="899"/>
      <c r="HDF39" s="899"/>
      <c r="HDG39" s="899"/>
      <c r="HDH39" s="899"/>
      <c r="HDI39" s="899"/>
      <c r="HDJ39" s="899"/>
      <c r="HDK39" s="899"/>
      <c r="HDL39" s="899"/>
      <c r="HDM39" s="899"/>
      <c r="HDN39" s="899"/>
      <c r="HDO39" s="899"/>
      <c r="HDP39" s="899"/>
      <c r="HDQ39" s="899"/>
      <c r="HDR39" s="899"/>
      <c r="HDS39" s="899"/>
      <c r="HDT39" s="899"/>
      <c r="HDU39" s="899"/>
      <c r="HDV39" s="899"/>
      <c r="HDW39" s="899"/>
      <c r="HDX39" s="899"/>
      <c r="HDY39" s="899"/>
      <c r="HDZ39" s="899"/>
      <c r="HEA39" s="899"/>
      <c r="HEB39" s="899"/>
      <c r="HEC39" s="899"/>
      <c r="HED39" s="899"/>
      <c r="HEE39" s="899"/>
      <c r="HEF39" s="899"/>
      <c r="HEG39" s="899"/>
      <c r="HEH39" s="899"/>
      <c r="HEI39" s="899"/>
      <c r="HEJ39" s="899"/>
      <c r="HEK39" s="899"/>
      <c r="HEL39" s="899"/>
      <c r="HEM39" s="899"/>
      <c r="HEN39" s="899"/>
      <c r="HEO39" s="899"/>
      <c r="HEP39" s="899"/>
      <c r="HEQ39" s="899"/>
      <c r="HER39" s="899"/>
      <c r="HES39" s="899"/>
      <c r="HET39" s="899"/>
      <c r="HEU39" s="899"/>
      <c r="HEV39" s="899"/>
      <c r="HEW39" s="899"/>
      <c r="HEX39" s="899"/>
      <c r="HEY39" s="899"/>
      <c r="HEZ39" s="899"/>
      <c r="HFA39" s="899"/>
      <c r="HFB39" s="899"/>
      <c r="HFC39" s="899"/>
      <c r="HFD39" s="899"/>
      <c r="HFE39" s="899"/>
      <c r="HFF39" s="899"/>
      <c r="HFG39" s="899"/>
      <c r="HFH39" s="899"/>
      <c r="HFI39" s="899"/>
      <c r="HFJ39" s="899"/>
      <c r="HFK39" s="899"/>
      <c r="HFL39" s="899"/>
      <c r="HFM39" s="899"/>
      <c r="HFN39" s="899"/>
      <c r="HFO39" s="899"/>
      <c r="HFP39" s="899"/>
      <c r="HFQ39" s="899"/>
      <c r="HFR39" s="899"/>
      <c r="HFS39" s="899"/>
      <c r="HFT39" s="899"/>
      <c r="HFU39" s="899"/>
      <c r="HFV39" s="899"/>
      <c r="HFW39" s="899"/>
      <c r="HFX39" s="899"/>
      <c r="HFY39" s="899"/>
      <c r="HFZ39" s="899"/>
      <c r="HGA39" s="899"/>
      <c r="HGB39" s="899"/>
      <c r="HGC39" s="899"/>
      <c r="HGD39" s="899"/>
      <c r="HGE39" s="899"/>
      <c r="HGF39" s="899"/>
      <c r="HGG39" s="899"/>
      <c r="HGH39" s="899"/>
      <c r="HGI39" s="899"/>
      <c r="HGJ39" s="899"/>
      <c r="HGK39" s="899"/>
      <c r="HGL39" s="899"/>
      <c r="HGM39" s="899"/>
      <c r="HGN39" s="899"/>
      <c r="HGO39" s="899"/>
      <c r="HGP39" s="899"/>
      <c r="HGQ39" s="899"/>
      <c r="HGR39" s="899"/>
      <c r="HGS39" s="899"/>
      <c r="HGT39" s="899"/>
      <c r="HGU39" s="899"/>
      <c r="HGV39" s="899"/>
      <c r="HGW39" s="899"/>
      <c r="HGX39" s="899"/>
      <c r="HGY39" s="899"/>
      <c r="HGZ39" s="899"/>
      <c r="HHA39" s="899"/>
      <c r="HHB39" s="899"/>
      <c r="HHC39" s="899"/>
      <c r="HHD39" s="899"/>
      <c r="HHE39" s="899"/>
      <c r="HHF39" s="899"/>
      <c r="HHG39" s="899"/>
      <c r="HHH39" s="899"/>
      <c r="HHI39" s="899"/>
      <c r="HHJ39" s="899"/>
      <c r="HHK39" s="899"/>
      <c r="HHL39" s="899"/>
      <c r="HHM39" s="899"/>
      <c r="HHN39" s="899"/>
      <c r="HHO39" s="899"/>
      <c r="HHP39" s="899"/>
      <c r="HHQ39" s="899"/>
      <c r="HHR39" s="899"/>
      <c r="HHS39" s="899"/>
      <c r="HHT39" s="899"/>
      <c r="HHU39" s="899"/>
      <c r="HHV39" s="899"/>
      <c r="HHW39" s="899"/>
      <c r="HHX39" s="899"/>
      <c r="HHY39" s="899"/>
      <c r="HHZ39" s="899"/>
      <c r="HIA39" s="899"/>
      <c r="HIB39" s="899"/>
      <c r="HIC39" s="899"/>
      <c r="HID39" s="899"/>
      <c r="HIE39" s="899"/>
      <c r="HIF39" s="899"/>
      <c r="HIG39" s="899"/>
      <c r="HIH39" s="899"/>
      <c r="HII39" s="899"/>
      <c r="HIJ39" s="899"/>
      <c r="HIK39" s="899"/>
      <c r="HIL39" s="899"/>
      <c r="HIM39" s="899"/>
      <c r="HIN39" s="899"/>
      <c r="HIO39" s="899"/>
      <c r="HIP39" s="899"/>
      <c r="HIQ39" s="899"/>
      <c r="HIR39" s="899"/>
      <c r="HIS39" s="899"/>
      <c r="HIT39" s="899"/>
      <c r="HIU39" s="899"/>
      <c r="HIV39" s="899"/>
      <c r="HIW39" s="899"/>
      <c r="HIX39" s="899"/>
      <c r="HIY39" s="899"/>
      <c r="HIZ39" s="899"/>
      <c r="HJA39" s="899"/>
      <c r="HJB39" s="899"/>
      <c r="HJC39" s="899"/>
      <c r="HJD39" s="899"/>
      <c r="HJE39" s="899"/>
      <c r="HJF39" s="899"/>
      <c r="HJG39" s="899"/>
      <c r="HJH39" s="899"/>
      <c r="HJI39" s="899"/>
      <c r="HJJ39" s="899"/>
      <c r="HJK39" s="899"/>
      <c r="HJL39" s="899"/>
      <c r="HJM39" s="899"/>
      <c r="HJN39" s="899"/>
      <c r="HJO39" s="899"/>
      <c r="HJP39" s="899"/>
      <c r="HJQ39" s="899"/>
      <c r="HJR39" s="899"/>
      <c r="HJS39" s="899"/>
      <c r="HJT39" s="899"/>
      <c r="HJU39" s="899"/>
      <c r="HJV39" s="899"/>
      <c r="HJW39" s="899"/>
      <c r="HJX39" s="899"/>
      <c r="HJY39" s="899"/>
      <c r="HJZ39" s="899"/>
      <c r="HKA39" s="899"/>
      <c r="HKB39" s="899"/>
      <c r="HKC39" s="899"/>
      <c r="HKD39" s="899"/>
      <c r="HKE39" s="899"/>
      <c r="HKF39" s="899"/>
      <c r="HKG39" s="899"/>
      <c r="HKH39" s="899"/>
      <c r="HKI39" s="899"/>
      <c r="HKJ39" s="899"/>
      <c r="HKK39" s="899"/>
      <c r="HKL39" s="899"/>
      <c r="HKM39" s="899"/>
      <c r="HKN39" s="899"/>
      <c r="HKO39" s="899"/>
      <c r="HKP39" s="899"/>
      <c r="HKQ39" s="899"/>
      <c r="HKR39" s="899"/>
      <c r="HKS39" s="899"/>
      <c r="HKT39" s="899"/>
      <c r="HKU39" s="899"/>
      <c r="HKV39" s="899"/>
      <c r="HKW39" s="899"/>
      <c r="HKX39" s="899"/>
      <c r="HKY39" s="899"/>
      <c r="HKZ39" s="899"/>
      <c r="HLA39" s="899"/>
      <c r="HLB39" s="899"/>
      <c r="HLC39" s="899"/>
      <c r="HLD39" s="899"/>
      <c r="HLE39" s="899"/>
      <c r="HLF39" s="899"/>
      <c r="HLG39" s="899"/>
      <c r="HLH39" s="899"/>
      <c r="HLI39" s="899"/>
      <c r="HLJ39" s="899"/>
      <c r="HLK39" s="899"/>
      <c r="HLL39" s="899"/>
      <c r="HLM39" s="899"/>
      <c r="HLN39" s="899"/>
      <c r="HLO39" s="899"/>
      <c r="HLP39" s="899"/>
      <c r="HLQ39" s="899"/>
      <c r="HLR39" s="899"/>
      <c r="HLS39" s="899"/>
      <c r="HLT39" s="899"/>
      <c r="HLU39" s="899"/>
      <c r="HLV39" s="899"/>
      <c r="HLW39" s="899"/>
      <c r="HLX39" s="899"/>
      <c r="HLY39" s="899"/>
      <c r="HLZ39" s="899"/>
      <c r="HMA39" s="899"/>
      <c r="HMB39" s="899"/>
      <c r="HMC39" s="899"/>
      <c r="HMD39" s="899"/>
      <c r="HME39" s="899"/>
      <c r="HMF39" s="899"/>
      <c r="HMG39" s="899"/>
      <c r="HMH39" s="899"/>
      <c r="HMI39" s="899"/>
      <c r="HMJ39" s="899"/>
      <c r="HMK39" s="899"/>
      <c r="HML39" s="899"/>
      <c r="HMM39" s="899"/>
      <c r="HMN39" s="899"/>
      <c r="HMO39" s="899"/>
      <c r="HMP39" s="899"/>
      <c r="HMQ39" s="899"/>
      <c r="HMR39" s="899"/>
      <c r="HMS39" s="899"/>
      <c r="HMT39" s="899"/>
      <c r="HMU39" s="899"/>
      <c r="HMV39" s="899"/>
      <c r="HMW39" s="899"/>
      <c r="HMX39" s="899"/>
      <c r="HMY39" s="899"/>
      <c r="HMZ39" s="899"/>
      <c r="HNA39" s="899"/>
      <c r="HNB39" s="899"/>
      <c r="HNC39" s="899"/>
      <c r="HND39" s="899"/>
      <c r="HNE39" s="899"/>
      <c r="HNF39" s="899"/>
      <c r="HNG39" s="899"/>
      <c r="HNH39" s="899"/>
      <c r="HNI39" s="899"/>
      <c r="HNJ39" s="899"/>
      <c r="HNK39" s="899"/>
      <c r="HNL39" s="899"/>
      <c r="HNM39" s="899"/>
      <c r="HNN39" s="899"/>
      <c r="HNO39" s="899"/>
      <c r="HNP39" s="899"/>
      <c r="HNQ39" s="899"/>
      <c r="HNR39" s="899"/>
      <c r="HNS39" s="899"/>
      <c r="HNT39" s="899"/>
      <c r="HNU39" s="899"/>
      <c r="HNV39" s="899"/>
      <c r="HNW39" s="899"/>
      <c r="HNX39" s="899"/>
      <c r="HNY39" s="899"/>
      <c r="HNZ39" s="899"/>
      <c r="HOA39" s="899"/>
      <c r="HOB39" s="899"/>
      <c r="HOC39" s="899"/>
      <c r="HOD39" s="899"/>
      <c r="HOE39" s="899"/>
      <c r="HOF39" s="899"/>
      <c r="HOG39" s="899"/>
      <c r="HOH39" s="899"/>
      <c r="HOI39" s="899"/>
      <c r="HOJ39" s="899"/>
      <c r="HOK39" s="899"/>
      <c r="HOL39" s="899"/>
      <c r="HOM39" s="899"/>
      <c r="HON39" s="899"/>
      <c r="HOO39" s="899"/>
      <c r="HOP39" s="899"/>
      <c r="HOQ39" s="899"/>
      <c r="HOR39" s="899"/>
      <c r="HOS39" s="899"/>
      <c r="HOT39" s="899"/>
      <c r="HOU39" s="899"/>
      <c r="HOV39" s="899"/>
      <c r="HOW39" s="899"/>
      <c r="HOX39" s="899"/>
      <c r="HOY39" s="899"/>
      <c r="HOZ39" s="899"/>
      <c r="HPA39" s="899"/>
      <c r="HPB39" s="899"/>
      <c r="HPC39" s="899"/>
      <c r="HPD39" s="899"/>
      <c r="HPE39" s="899"/>
      <c r="HPF39" s="899"/>
      <c r="HPG39" s="899"/>
      <c r="HPH39" s="899"/>
      <c r="HPI39" s="899"/>
      <c r="HPJ39" s="899"/>
      <c r="HPK39" s="899"/>
      <c r="HPL39" s="899"/>
      <c r="HPM39" s="899"/>
      <c r="HPN39" s="899"/>
      <c r="HPO39" s="899"/>
      <c r="HPP39" s="899"/>
      <c r="HPQ39" s="899"/>
      <c r="HPR39" s="899"/>
      <c r="HPS39" s="899"/>
      <c r="HPT39" s="899"/>
      <c r="HPU39" s="899"/>
      <c r="HPV39" s="899"/>
      <c r="HPW39" s="899"/>
      <c r="HPX39" s="899"/>
      <c r="HPY39" s="899"/>
      <c r="HPZ39" s="899"/>
      <c r="HQA39" s="899"/>
      <c r="HQB39" s="899"/>
      <c r="HQC39" s="899"/>
      <c r="HQD39" s="899"/>
      <c r="HQE39" s="899"/>
      <c r="HQF39" s="899"/>
      <c r="HQG39" s="899"/>
      <c r="HQH39" s="899"/>
      <c r="HQI39" s="899"/>
      <c r="HQJ39" s="899"/>
      <c r="HQK39" s="899"/>
      <c r="HQL39" s="899"/>
      <c r="HQM39" s="899"/>
      <c r="HQN39" s="899"/>
      <c r="HQO39" s="899"/>
      <c r="HQP39" s="899"/>
      <c r="HQQ39" s="899"/>
      <c r="HQR39" s="899"/>
      <c r="HQS39" s="899"/>
      <c r="HQT39" s="899"/>
      <c r="HQU39" s="899"/>
      <c r="HQV39" s="899"/>
      <c r="HQW39" s="899"/>
      <c r="HQX39" s="899"/>
      <c r="HQY39" s="899"/>
      <c r="HQZ39" s="899"/>
      <c r="HRA39" s="899"/>
      <c r="HRB39" s="899"/>
      <c r="HRC39" s="899"/>
      <c r="HRD39" s="899"/>
      <c r="HRE39" s="899"/>
      <c r="HRF39" s="899"/>
      <c r="HRG39" s="899"/>
      <c r="HRH39" s="899"/>
      <c r="HRI39" s="899"/>
      <c r="HRJ39" s="899"/>
      <c r="HRK39" s="899"/>
      <c r="HRL39" s="899"/>
      <c r="HRM39" s="899"/>
      <c r="HRN39" s="899"/>
      <c r="HRO39" s="899"/>
      <c r="HRP39" s="899"/>
      <c r="HRQ39" s="899"/>
      <c r="HRR39" s="899"/>
      <c r="HRS39" s="899"/>
      <c r="HRT39" s="899"/>
      <c r="HRU39" s="899"/>
      <c r="HRV39" s="899"/>
      <c r="HRW39" s="899"/>
      <c r="HRX39" s="899"/>
      <c r="HRY39" s="899"/>
      <c r="HRZ39" s="899"/>
      <c r="HSA39" s="899"/>
      <c r="HSB39" s="899"/>
      <c r="HSC39" s="899"/>
      <c r="HSD39" s="899"/>
      <c r="HSE39" s="899"/>
      <c r="HSF39" s="899"/>
      <c r="HSG39" s="899"/>
      <c r="HSH39" s="899"/>
      <c r="HSI39" s="899"/>
      <c r="HSJ39" s="899"/>
      <c r="HSK39" s="899"/>
      <c r="HSL39" s="899"/>
      <c r="HSM39" s="899"/>
      <c r="HSN39" s="899"/>
      <c r="HSO39" s="899"/>
      <c r="HSP39" s="899"/>
      <c r="HSQ39" s="899"/>
      <c r="HSR39" s="899"/>
      <c r="HSS39" s="899"/>
      <c r="HST39" s="899"/>
      <c r="HSU39" s="899"/>
      <c r="HSV39" s="899"/>
      <c r="HSW39" s="899"/>
      <c r="HSX39" s="899"/>
      <c r="HSY39" s="899"/>
      <c r="HSZ39" s="899"/>
      <c r="HTA39" s="899"/>
      <c r="HTB39" s="899"/>
      <c r="HTC39" s="899"/>
      <c r="HTD39" s="899"/>
      <c r="HTE39" s="899"/>
      <c r="HTF39" s="899"/>
      <c r="HTG39" s="899"/>
      <c r="HTH39" s="899"/>
      <c r="HTI39" s="899"/>
      <c r="HTJ39" s="899"/>
      <c r="HTK39" s="899"/>
      <c r="HTL39" s="899"/>
      <c r="HTM39" s="899"/>
      <c r="HTN39" s="899"/>
      <c r="HTO39" s="899"/>
      <c r="HTP39" s="899"/>
      <c r="HTQ39" s="899"/>
      <c r="HTR39" s="899"/>
      <c r="HTS39" s="899"/>
      <c r="HTT39" s="899"/>
      <c r="HTU39" s="899"/>
      <c r="HTV39" s="899"/>
      <c r="HTW39" s="899"/>
      <c r="HTX39" s="899"/>
      <c r="HTY39" s="899"/>
      <c r="HTZ39" s="899"/>
      <c r="HUA39" s="899"/>
      <c r="HUB39" s="899"/>
      <c r="HUC39" s="899"/>
      <c r="HUD39" s="899"/>
      <c r="HUE39" s="899"/>
      <c r="HUF39" s="899"/>
      <c r="HUG39" s="899"/>
      <c r="HUH39" s="899"/>
      <c r="HUI39" s="899"/>
      <c r="HUJ39" s="899"/>
      <c r="HUK39" s="899"/>
      <c r="HUL39" s="899"/>
      <c r="HUM39" s="899"/>
      <c r="HUN39" s="899"/>
      <c r="HUO39" s="899"/>
      <c r="HUP39" s="899"/>
      <c r="HUQ39" s="899"/>
      <c r="HUR39" s="899"/>
      <c r="HUS39" s="899"/>
      <c r="HUT39" s="899"/>
      <c r="HUU39" s="899"/>
      <c r="HUV39" s="899"/>
      <c r="HUW39" s="899"/>
      <c r="HUX39" s="899"/>
      <c r="HUY39" s="899"/>
      <c r="HUZ39" s="899"/>
      <c r="HVA39" s="899"/>
      <c r="HVB39" s="899"/>
      <c r="HVC39" s="899"/>
      <c r="HVD39" s="899"/>
      <c r="HVE39" s="899"/>
      <c r="HVF39" s="899"/>
      <c r="HVG39" s="899"/>
      <c r="HVH39" s="899"/>
      <c r="HVI39" s="899"/>
      <c r="HVJ39" s="899"/>
      <c r="HVK39" s="899"/>
      <c r="HVL39" s="899"/>
      <c r="HVM39" s="899"/>
      <c r="HVN39" s="899"/>
      <c r="HVO39" s="899"/>
      <c r="HVP39" s="899"/>
      <c r="HVQ39" s="899"/>
      <c r="HVR39" s="899"/>
      <c r="HVS39" s="899"/>
      <c r="HVT39" s="899"/>
      <c r="HVU39" s="899"/>
      <c r="HVV39" s="899"/>
      <c r="HVW39" s="899"/>
      <c r="HVX39" s="899"/>
      <c r="HVY39" s="899"/>
      <c r="HVZ39" s="899"/>
      <c r="HWA39" s="899"/>
      <c r="HWB39" s="899"/>
      <c r="HWC39" s="899"/>
      <c r="HWD39" s="899"/>
      <c r="HWE39" s="899"/>
      <c r="HWF39" s="899"/>
      <c r="HWG39" s="899"/>
      <c r="HWH39" s="899"/>
      <c r="HWI39" s="899"/>
      <c r="HWJ39" s="899"/>
      <c r="HWK39" s="899"/>
      <c r="HWL39" s="899"/>
      <c r="HWM39" s="899"/>
      <c r="HWN39" s="899"/>
      <c r="HWO39" s="899"/>
      <c r="HWP39" s="899"/>
      <c r="HWQ39" s="899"/>
      <c r="HWR39" s="899"/>
      <c r="HWS39" s="899"/>
      <c r="HWT39" s="899"/>
      <c r="HWU39" s="899"/>
      <c r="HWV39" s="899"/>
      <c r="HWW39" s="899"/>
      <c r="HWX39" s="899"/>
      <c r="HWY39" s="899"/>
      <c r="HWZ39" s="899"/>
      <c r="HXA39" s="899"/>
      <c r="HXB39" s="899"/>
      <c r="HXC39" s="899"/>
      <c r="HXD39" s="899"/>
      <c r="HXE39" s="899"/>
      <c r="HXF39" s="899"/>
      <c r="HXG39" s="899"/>
      <c r="HXH39" s="899"/>
      <c r="HXI39" s="899"/>
      <c r="HXJ39" s="899"/>
      <c r="HXK39" s="899"/>
      <c r="HXL39" s="899"/>
      <c r="HXM39" s="899"/>
      <c r="HXN39" s="899"/>
      <c r="HXO39" s="899"/>
      <c r="HXP39" s="899"/>
      <c r="HXQ39" s="899"/>
      <c r="HXR39" s="899"/>
      <c r="HXS39" s="899"/>
      <c r="HXT39" s="899"/>
      <c r="HXU39" s="899"/>
      <c r="HXV39" s="899"/>
      <c r="HXW39" s="899"/>
      <c r="HXX39" s="899"/>
      <c r="HXY39" s="899"/>
      <c r="HXZ39" s="899"/>
      <c r="HYA39" s="899"/>
      <c r="HYB39" s="899"/>
      <c r="HYC39" s="899"/>
      <c r="HYD39" s="899"/>
      <c r="HYE39" s="899"/>
      <c r="HYF39" s="899"/>
      <c r="HYG39" s="899"/>
      <c r="HYH39" s="899"/>
      <c r="HYI39" s="899"/>
      <c r="HYJ39" s="899"/>
      <c r="HYK39" s="899"/>
      <c r="HYL39" s="899"/>
      <c r="HYM39" s="899"/>
      <c r="HYN39" s="899"/>
      <c r="HYO39" s="899"/>
      <c r="HYP39" s="899"/>
      <c r="HYQ39" s="899"/>
      <c r="HYR39" s="899"/>
      <c r="HYS39" s="899"/>
      <c r="HYT39" s="899"/>
      <c r="HYU39" s="899"/>
      <c r="HYV39" s="899"/>
      <c r="HYW39" s="899"/>
      <c r="HYX39" s="899"/>
      <c r="HYY39" s="899"/>
      <c r="HYZ39" s="899"/>
      <c r="HZA39" s="899"/>
      <c r="HZB39" s="899"/>
      <c r="HZC39" s="899"/>
      <c r="HZD39" s="899"/>
      <c r="HZE39" s="899"/>
      <c r="HZF39" s="899"/>
      <c r="HZG39" s="899"/>
      <c r="HZH39" s="899"/>
      <c r="HZI39" s="899"/>
      <c r="HZJ39" s="899"/>
      <c r="HZK39" s="899"/>
      <c r="HZL39" s="899"/>
      <c r="HZM39" s="899"/>
      <c r="HZN39" s="899"/>
      <c r="HZO39" s="899"/>
      <c r="HZP39" s="899"/>
      <c r="HZQ39" s="899"/>
      <c r="HZR39" s="899"/>
      <c r="HZS39" s="899"/>
      <c r="HZT39" s="899"/>
      <c r="HZU39" s="899"/>
      <c r="HZV39" s="899"/>
      <c r="HZW39" s="899"/>
      <c r="HZX39" s="899"/>
      <c r="HZY39" s="899"/>
      <c r="HZZ39" s="899"/>
      <c r="IAA39" s="899"/>
      <c r="IAB39" s="899"/>
      <c r="IAC39" s="899"/>
      <c r="IAD39" s="899"/>
      <c r="IAE39" s="899"/>
      <c r="IAF39" s="899"/>
      <c r="IAG39" s="899"/>
      <c r="IAH39" s="899"/>
      <c r="IAI39" s="899"/>
      <c r="IAJ39" s="899"/>
      <c r="IAK39" s="899"/>
      <c r="IAL39" s="899"/>
      <c r="IAM39" s="899"/>
      <c r="IAN39" s="899"/>
      <c r="IAO39" s="899"/>
      <c r="IAP39" s="899"/>
      <c r="IAQ39" s="899"/>
      <c r="IAR39" s="899"/>
      <c r="IAS39" s="899"/>
      <c r="IAT39" s="899"/>
      <c r="IAU39" s="899"/>
      <c r="IAV39" s="899"/>
      <c r="IAW39" s="899"/>
      <c r="IAX39" s="899"/>
      <c r="IAY39" s="899"/>
      <c r="IAZ39" s="899"/>
      <c r="IBA39" s="899"/>
      <c r="IBB39" s="899"/>
      <c r="IBC39" s="899"/>
      <c r="IBD39" s="899"/>
      <c r="IBE39" s="899"/>
      <c r="IBF39" s="899"/>
      <c r="IBG39" s="899"/>
      <c r="IBH39" s="899"/>
      <c r="IBI39" s="899"/>
      <c r="IBJ39" s="899"/>
      <c r="IBK39" s="899"/>
      <c r="IBL39" s="899"/>
      <c r="IBM39" s="899"/>
      <c r="IBN39" s="899"/>
      <c r="IBO39" s="899"/>
      <c r="IBP39" s="899"/>
      <c r="IBQ39" s="899"/>
      <c r="IBR39" s="899"/>
      <c r="IBS39" s="899"/>
      <c r="IBT39" s="899"/>
      <c r="IBU39" s="899"/>
      <c r="IBV39" s="899"/>
      <c r="IBW39" s="899"/>
      <c r="IBX39" s="899"/>
      <c r="IBY39" s="899"/>
      <c r="IBZ39" s="899"/>
      <c r="ICA39" s="899"/>
      <c r="ICB39" s="899"/>
      <c r="ICC39" s="899"/>
      <c r="ICD39" s="899"/>
      <c r="ICE39" s="899"/>
      <c r="ICF39" s="899"/>
      <c r="ICG39" s="899"/>
      <c r="ICH39" s="899"/>
      <c r="ICI39" s="899"/>
      <c r="ICJ39" s="899"/>
      <c r="ICK39" s="899"/>
      <c r="ICL39" s="899"/>
      <c r="ICM39" s="899"/>
      <c r="ICN39" s="899"/>
      <c r="ICO39" s="899"/>
      <c r="ICP39" s="899"/>
      <c r="ICQ39" s="899"/>
      <c r="ICR39" s="899"/>
      <c r="ICS39" s="899"/>
      <c r="ICT39" s="899"/>
      <c r="ICU39" s="899"/>
      <c r="ICV39" s="899"/>
      <c r="ICW39" s="899"/>
      <c r="ICX39" s="899"/>
      <c r="ICY39" s="899"/>
      <c r="ICZ39" s="899"/>
      <c r="IDA39" s="899"/>
      <c r="IDB39" s="899"/>
      <c r="IDC39" s="899"/>
      <c r="IDD39" s="899"/>
      <c r="IDE39" s="899"/>
      <c r="IDF39" s="899"/>
      <c r="IDG39" s="899"/>
      <c r="IDH39" s="899"/>
      <c r="IDI39" s="899"/>
      <c r="IDJ39" s="899"/>
      <c r="IDK39" s="899"/>
      <c r="IDL39" s="899"/>
      <c r="IDM39" s="899"/>
      <c r="IDN39" s="899"/>
      <c r="IDO39" s="899"/>
      <c r="IDP39" s="899"/>
      <c r="IDQ39" s="899"/>
      <c r="IDR39" s="899"/>
      <c r="IDS39" s="899"/>
      <c r="IDT39" s="899"/>
      <c r="IDU39" s="899"/>
      <c r="IDV39" s="899"/>
      <c r="IDW39" s="899"/>
      <c r="IDX39" s="899"/>
      <c r="IDY39" s="899"/>
      <c r="IDZ39" s="899"/>
      <c r="IEA39" s="899"/>
      <c r="IEB39" s="899"/>
      <c r="IEC39" s="899"/>
      <c r="IED39" s="899"/>
      <c r="IEE39" s="899"/>
      <c r="IEF39" s="899"/>
      <c r="IEG39" s="899"/>
      <c r="IEH39" s="899"/>
      <c r="IEI39" s="899"/>
      <c r="IEJ39" s="899"/>
      <c r="IEK39" s="899"/>
      <c r="IEL39" s="899"/>
      <c r="IEM39" s="899"/>
      <c r="IEN39" s="899"/>
      <c r="IEO39" s="899"/>
      <c r="IEP39" s="899"/>
      <c r="IEQ39" s="899"/>
      <c r="IER39" s="899"/>
      <c r="IES39" s="899"/>
      <c r="IET39" s="899"/>
      <c r="IEU39" s="899"/>
      <c r="IEV39" s="899"/>
      <c r="IEW39" s="899"/>
      <c r="IEX39" s="899"/>
      <c r="IEY39" s="899"/>
      <c r="IEZ39" s="899"/>
      <c r="IFA39" s="899"/>
      <c r="IFB39" s="899"/>
      <c r="IFC39" s="899"/>
      <c r="IFD39" s="899"/>
      <c r="IFE39" s="899"/>
      <c r="IFF39" s="899"/>
      <c r="IFG39" s="899"/>
      <c r="IFH39" s="899"/>
      <c r="IFI39" s="899"/>
      <c r="IFJ39" s="899"/>
      <c r="IFK39" s="899"/>
      <c r="IFL39" s="899"/>
      <c r="IFM39" s="899"/>
      <c r="IFN39" s="899"/>
      <c r="IFO39" s="899"/>
      <c r="IFP39" s="899"/>
      <c r="IFQ39" s="899"/>
      <c r="IFR39" s="899"/>
      <c r="IFS39" s="899"/>
      <c r="IFT39" s="899"/>
      <c r="IFU39" s="899"/>
      <c r="IFV39" s="899"/>
      <c r="IFW39" s="899"/>
      <c r="IFX39" s="899"/>
      <c r="IFY39" s="899"/>
      <c r="IFZ39" s="899"/>
      <c r="IGA39" s="899"/>
      <c r="IGB39" s="899"/>
      <c r="IGC39" s="899"/>
      <c r="IGD39" s="899"/>
      <c r="IGE39" s="899"/>
      <c r="IGF39" s="899"/>
      <c r="IGG39" s="899"/>
      <c r="IGH39" s="899"/>
      <c r="IGI39" s="899"/>
      <c r="IGJ39" s="899"/>
      <c r="IGK39" s="899"/>
      <c r="IGL39" s="899"/>
      <c r="IGM39" s="899"/>
      <c r="IGN39" s="899"/>
      <c r="IGO39" s="899"/>
      <c r="IGP39" s="899"/>
      <c r="IGQ39" s="899"/>
      <c r="IGR39" s="899"/>
      <c r="IGS39" s="899"/>
      <c r="IGT39" s="899"/>
      <c r="IGU39" s="899"/>
      <c r="IGV39" s="899"/>
      <c r="IGW39" s="899"/>
      <c r="IGX39" s="899"/>
      <c r="IGY39" s="899"/>
      <c r="IGZ39" s="899"/>
      <c r="IHA39" s="899"/>
      <c r="IHB39" s="899"/>
      <c r="IHC39" s="899"/>
      <c r="IHD39" s="899"/>
      <c r="IHE39" s="899"/>
      <c r="IHF39" s="899"/>
      <c r="IHG39" s="899"/>
      <c r="IHH39" s="899"/>
      <c r="IHI39" s="899"/>
      <c r="IHJ39" s="899"/>
      <c r="IHK39" s="899"/>
      <c r="IHL39" s="899"/>
      <c r="IHM39" s="899"/>
      <c r="IHN39" s="899"/>
      <c r="IHO39" s="899"/>
      <c r="IHP39" s="899"/>
      <c r="IHQ39" s="899"/>
      <c r="IHR39" s="899"/>
      <c r="IHS39" s="899"/>
      <c r="IHT39" s="899"/>
      <c r="IHU39" s="899"/>
      <c r="IHV39" s="899"/>
      <c r="IHW39" s="899"/>
      <c r="IHX39" s="899"/>
      <c r="IHY39" s="899"/>
      <c r="IHZ39" s="899"/>
      <c r="IIA39" s="899"/>
      <c r="IIB39" s="899"/>
      <c r="IIC39" s="899"/>
      <c r="IID39" s="899"/>
      <c r="IIE39" s="899"/>
      <c r="IIF39" s="899"/>
      <c r="IIG39" s="899"/>
      <c r="IIH39" s="899"/>
      <c r="III39" s="899"/>
      <c r="IIJ39" s="899"/>
      <c r="IIK39" s="899"/>
      <c r="IIL39" s="899"/>
      <c r="IIM39" s="899"/>
      <c r="IIN39" s="899"/>
      <c r="IIO39" s="899"/>
      <c r="IIP39" s="899"/>
      <c r="IIQ39" s="899"/>
      <c r="IIR39" s="899"/>
      <c r="IIS39" s="899"/>
      <c r="IIT39" s="899"/>
      <c r="IIU39" s="899"/>
      <c r="IIV39" s="899"/>
      <c r="IIW39" s="899"/>
      <c r="IIX39" s="899"/>
      <c r="IIY39" s="899"/>
      <c r="IIZ39" s="899"/>
      <c r="IJA39" s="899"/>
      <c r="IJB39" s="899"/>
      <c r="IJC39" s="899"/>
      <c r="IJD39" s="899"/>
      <c r="IJE39" s="899"/>
      <c r="IJF39" s="899"/>
      <c r="IJG39" s="899"/>
      <c r="IJH39" s="899"/>
      <c r="IJI39" s="899"/>
      <c r="IJJ39" s="899"/>
      <c r="IJK39" s="899"/>
      <c r="IJL39" s="899"/>
      <c r="IJM39" s="899"/>
      <c r="IJN39" s="899"/>
      <c r="IJO39" s="899"/>
      <c r="IJP39" s="899"/>
      <c r="IJQ39" s="899"/>
      <c r="IJR39" s="899"/>
      <c r="IJS39" s="899"/>
      <c r="IJT39" s="899"/>
      <c r="IJU39" s="899"/>
      <c r="IJV39" s="899"/>
      <c r="IJW39" s="899"/>
      <c r="IJX39" s="899"/>
      <c r="IJY39" s="899"/>
      <c r="IJZ39" s="899"/>
      <c r="IKA39" s="899"/>
      <c r="IKB39" s="899"/>
      <c r="IKC39" s="899"/>
      <c r="IKD39" s="899"/>
      <c r="IKE39" s="899"/>
      <c r="IKF39" s="899"/>
      <c r="IKG39" s="899"/>
      <c r="IKH39" s="899"/>
      <c r="IKI39" s="899"/>
      <c r="IKJ39" s="899"/>
      <c r="IKK39" s="899"/>
      <c r="IKL39" s="899"/>
      <c r="IKM39" s="899"/>
      <c r="IKN39" s="899"/>
      <c r="IKO39" s="899"/>
      <c r="IKP39" s="899"/>
      <c r="IKQ39" s="899"/>
      <c r="IKR39" s="899"/>
      <c r="IKS39" s="899"/>
      <c r="IKT39" s="899"/>
      <c r="IKU39" s="899"/>
      <c r="IKV39" s="899"/>
      <c r="IKW39" s="899"/>
      <c r="IKX39" s="899"/>
      <c r="IKY39" s="899"/>
      <c r="IKZ39" s="899"/>
      <c r="ILA39" s="899"/>
      <c r="ILB39" s="899"/>
      <c r="ILC39" s="899"/>
      <c r="ILD39" s="899"/>
      <c r="ILE39" s="899"/>
      <c r="ILF39" s="899"/>
      <c r="ILG39" s="899"/>
      <c r="ILH39" s="899"/>
      <c r="ILI39" s="899"/>
      <c r="ILJ39" s="899"/>
      <c r="ILK39" s="899"/>
      <c r="ILL39" s="899"/>
      <c r="ILM39" s="899"/>
      <c r="ILN39" s="899"/>
      <c r="ILO39" s="899"/>
      <c r="ILP39" s="899"/>
      <c r="ILQ39" s="899"/>
      <c r="ILR39" s="899"/>
      <c r="ILS39" s="899"/>
      <c r="ILT39" s="899"/>
      <c r="ILU39" s="899"/>
      <c r="ILV39" s="899"/>
      <c r="ILW39" s="899"/>
      <c r="ILX39" s="899"/>
      <c r="ILY39" s="899"/>
      <c r="ILZ39" s="899"/>
      <c r="IMA39" s="899"/>
      <c r="IMB39" s="899"/>
      <c r="IMC39" s="899"/>
      <c r="IMD39" s="899"/>
      <c r="IME39" s="899"/>
      <c r="IMF39" s="899"/>
      <c r="IMG39" s="899"/>
      <c r="IMH39" s="899"/>
      <c r="IMI39" s="899"/>
      <c r="IMJ39" s="899"/>
      <c r="IMK39" s="899"/>
      <c r="IML39" s="899"/>
      <c r="IMM39" s="899"/>
      <c r="IMN39" s="899"/>
      <c r="IMO39" s="899"/>
      <c r="IMP39" s="899"/>
      <c r="IMQ39" s="899"/>
      <c r="IMR39" s="899"/>
      <c r="IMS39" s="899"/>
      <c r="IMT39" s="899"/>
      <c r="IMU39" s="899"/>
      <c r="IMV39" s="899"/>
      <c r="IMW39" s="899"/>
      <c r="IMX39" s="899"/>
      <c r="IMY39" s="899"/>
      <c r="IMZ39" s="899"/>
      <c r="INA39" s="899"/>
      <c r="INB39" s="899"/>
      <c r="INC39" s="899"/>
      <c r="IND39" s="899"/>
      <c r="INE39" s="899"/>
      <c r="INF39" s="899"/>
      <c r="ING39" s="899"/>
      <c r="INH39" s="899"/>
      <c r="INI39" s="899"/>
      <c r="INJ39" s="899"/>
      <c r="INK39" s="899"/>
      <c r="INL39" s="899"/>
      <c r="INM39" s="899"/>
      <c r="INN39" s="899"/>
      <c r="INO39" s="899"/>
      <c r="INP39" s="899"/>
      <c r="INQ39" s="899"/>
      <c r="INR39" s="899"/>
      <c r="INS39" s="899"/>
      <c r="INT39" s="899"/>
      <c r="INU39" s="899"/>
      <c r="INV39" s="899"/>
      <c r="INW39" s="899"/>
      <c r="INX39" s="899"/>
      <c r="INY39" s="899"/>
      <c r="INZ39" s="899"/>
      <c r="IOA39" s="899"/>
      <c r="IOB39" s="899"/>
      <c r="IOC39" s="899"/>
      <c r="IOD39" s="899"/>
      <c r="IOE39" s="899"/>
      <c r="IOF39" s="899"/>
      <c r="IOG39" s="899"/>
      <c r="IOH39" s="899"/>
      <c r="IOI39" s="899"/>
      <c r="IOJ39" s="899"/>
      <c r="IOK39" s="899"/>
      <c r="IOL39" s="899"/>
      <c r="IOM39" s="899"/>
      <c r="ION39" s="899"/>
      <c r="IOO39" s="899"/>
      <c r="IOP39" s="899"/>
      <c r="IOQ39" s="899"/>
      <c r="IOR39" s="899"/>
      <c r="IOS39" s="899"/>
      <c r="IOT39" s="899"/>
      <c r="IOU39" s="899"/>
      <c r="IOV39" s="899"/>
      <c r="IOW39" s="899"/>
      <c r="IOX39" s="899"/>
      <c r="IOY39" s="899"/>
      <c r="IOZ39" s="899"/>
      <c r="IPA39" s="899"/>
      <c r="IPB39" s="899"/>
      <c r="IPC39" s="899"/>
      <c r="IPD39" s="899"/>
      <c r="IPE39" s="899"/>
      <c r="IPF39" s="899"/>
      <c r="IPG39" s="899"/>
      <c r="IPH39" s="899"/>
      <c r="IPI39" s="899"/>
      <c r="IPJ39" s="899"/>
      <c r="IPK39" s="899"/>
      <c r="IPL39" s="899"/>
      <c r="IPM39" s="899"/>
      <c r="IPN39" s="899"/>
      <c r="IPO39" s="899"/>
      <c r="IPP39" s="899"/>
      <c r="IPQ39" s="899"/>
      <c r="IPR39" s="899"/>
      <c r="IPS39" s="899"/>
      <c r="IPT39" s="899"/>
      <c r="IPU39" s="899"/>
      <c r="IPV39" s="899"/>
      <c r="IPW39" s="899"/>
      <c r="IPX39" s="899"/>
      <c r="IPY39" s="899"/>
      <c r="IPZ39" s="899"/>
      <c r="IQA39" s="899"/>
      <c r="IQB39" s="899"/>
      <c r="IQC39" s="899"/>
      <c r="IQD39" s="899"/>
      <c r="IQE39" s="899"/>
      <c r="IQF39" s="899"/>
      <c r="IQG39" s="899"/>
      <c r="IQH39" s="899"/>
      <c r="IQI39" s="899"/>
      <c r="IQJ39" s="899"/>
      <c r="IQK39" s="899"/>
      <c r="IQL39" s="899"/>
      <c r="IQM39" s="899"/>
      <c r="IQN39" s="899"/>
      <c r="IQO39" s="899"/>
      <c r="IQP39" s="899"/>
      <c r="IQQ39" s="899"/>
      <c r="IQR39" s="899"/>
      <c r="IQS39" s="899"/>
      <c r="IQT39" s="899"/>
      <c r="IQU39" s="899"/>
      <c r="IQV39" s="899"/>
      <c r="IQW39" s="899"/>
      <c r="IQX39" s="899"/>
      <c r="IQY39" s="899"/>
      <c r="IQZ39" s="899"/>
      <c r="IRA39" s="899"/>
      <c r="IRB39" s="899"/>
      <c r="IRC39" s="899"/>
      <c r="IRD39" s="899"/>
      <c r="IRE39" s="899"/>
      <c r="IRF39" s="899"/>
      <c r="IRG39" s="899"/>
      <c r="IRH39" s="899"/>
      <c r="IRI39" s="899"/>
      <c r="IRJ39" s="899"/>
      <c r="IRK39" s="899"/>
      <c r="IRL39" s="899"/>
      <c r="IRM39" s="899"/>
      <c r="IRN39" s="899"/>
      <c r="IRO39" s="899"/>
      <c r="IRP39" s="899"/>
      <c r="IRQ39" s="899"/>
      <c r="IRR39" s="899"/>
      <c r="IRS39" s="899"/>
      <c r="IRT39" s="899"/>
      <c r="IRU39" s="899"/>
      <c r="IRV39" s="899"/>
      <c r="IRW39" s="899"/>
      <c r="IRX39" s="899"/>
      <c r="IRY39" s="899"/>
      <c r="IRZ39" s="899"/>
      <c r="ISA39" s="899"/>
      <c r="ISB39" s="899"/>
      <c r="ISC39" s="899"/>
      <c r="ISD39" s="899"/>
      <c r="ISE39" s="899"/>
      <c r="ISF39" s="899"/>
      <c r="ISG39" s="899"/>
      <c r="ISH39" s="899"/>
      <c r="ISI39" s="899"/>
      <c r="ISJ39" s="899"/>
      <c r="ISK39" s="899"/>
      <c r="ISL39" s="899"/>
      <c r="ISM39" s="899"/>
      <c r="ISN39" s="899"/>
      <c r="ISO39" s="899"/>
      <c r="ISP39" s="899"/>
      <c r="ISQ39" s="899"/>
      <c r="ISR39" s="899"/>
      <c r="ISS39" s="899"/>
      <c r="IST39" s="899"/>
      <c r="ISU39" s="899"/>
      <c r="ISV39" s="899"/>
      <c r="ISW39" s="899"/>
      <c r="ISX39" s="899"/>
      <c r="ISY39" s="899"/>
      <c r="ISZ39" s="899"/>
      <c r="ITA39" s="899"/>
      <c r="ITB39" s="899"/>
      <c r="ITC39" s="899"/>
      <c r="ITD39" s="899"/>
      <c r="ITE39" s="899"/>
      <c r="ITF39" s="899"/>
      <c r="ITG39" s="899"/>
      <c r="ITH39" s="899"/>
      <c r="ITI39" s="899"/>
      <c r="ITJ39" s="899"/>
      <c r="ITK39" s="899"/>
      <c r="ITL39" s="899"/>
      <c r="ITM39" s="899"/>
      <c r="ITN39" s="899"/>
      <c r="ITO39" s="899"/>
      <c r="ITP39" s="899"/>
      <c r="ITQ39" s="899"/>
      <c r="ITR39" s="899"/>
      <c r="ITS39" s="899"/>
      <c r="ITT39" s="899"/>
      <c r="ITU39" s="899"/>
      <c r="ITV39" s="899"/>
      <c r="ITW39" s="899"/>
      <c r="ITX39" s="899"/>
      <c r="ITY39" s="899"/>
      <c r="ITZ39" s="899"/>
      <c r="IUA39" s="899"/>
      <c r="IUB39" s="899"/>
      <c r="IUC39" s="899"/>
      <c r="IUD39" s="899"/>
      <c r="IUE39" s="899"/>
      <c r="IUF39" s="899"/>
      <c r="IUG39" s="899"/>
      <c r="IUH39" s="899"/>
      <c r="IUI39" s="899"/>
      <c r="IUJ39" s="899"/>
      <c r="IUK39" s="899"/>
      <c r="IUL39" s="899"/>
      <c r="IUM39" s="899"/>
      <c r="IUN39" s="899"/>
      <c r="IUO39" s="899"/>
      <c r="IUP39" s="899"/>
      <c r="IUQ39" s="899"/>
      <c r="IUR39" s="899"/>
      <c r="IUS39" s="899"/>
      <c r="IUT39" s="899"/>
      <c r="IUU39" s="899"/>
      <c r="IUV39" s="899"/>
      <c r="IUW39" s="899"/>
      <c r="IUX39" s="899"/>
      <c r="IUY39" s="899"/>
      <c r="IUZ39" s="899"/>
      <c r="IVA39" s="899"/>
      <c r="IVB39" s="899"/>
      <c r="IVC39" s="899"/>
      <c r="IVD39" s="899"/>
      <c r="IVE39" s="899"/>
      <c r="IVF39" s="899"/>
      <c r="IVG39" s="899"/>
      <c r="IVH39" s="899"/>
      <c r="IVI39" s="899"/>
      <c r="IVJ39" s="899"/>
      <c r="IVK39" s="899"/>
      <c r="IVL39" s="899"/>
      <c r="IVM39" s="899"/>
      <c r="IVN39" s="899"/>
      <c r="IVO39" s="899"/>
      <c r="IVP39" s="899"/>
      <c r="IVQ39" s="899"/>
      <c r="IVR39" s="899"/>
      <c r="IVS39" s="899"/>
      <c r="IVT39" s="899"/>
      <c r="IVU39" s="899"/>
      <c r="IVV39" s="899"/>
      <c r="IVW39" s="899"/>
      <c r="IVX39" s="899"/>
      <c r="IVY39" s="899"/>
      <c r="IVZ39" s="899"/>
      <c r="IWA39" s="899"/>
      <c r="IWB39" s="899"/>
      <c r="IWC39" s="899"/>
      <c r="IWD39" s="899"/>
      <c r="IWE39" s="899"/>
      <c r="IWF39" s="899"/>
      <c r="IWG39" s="899"/>
      <c r="IWH39" s="899"/>
      <c r="IWI39" s="899"/>
      <c r="IWJ39" s="899"/>
      <c r="IWK39" s="899"/>
      <c r="IWL39" s="899"/>
      <c r="IWM39" s="899"/>
      <c r="IWN39" s="899"/>
      <c r="IWO39" s="899"/>
      <c r="IWP39" s="899"/>
      <c r="IWQ39" s="899"/>
      <c r="IWR39" s="899"/>
      <c r="IWS39" s="899"/>
      <c r="IWT39" s="899"/>
      <c r="IWU39" s="899"/>
      <c r="IWV39" s="899"/>
      <c r="IWW39" s="899"/>
      <c r="IWX39" s="899"/>
      <c r="IWY39" s="899"/>
      <c r="IWZ39" s="899"/>
      <c r="IXA39" s="899"/>
      <c r="IXB39" s="899"/>
      <c r="IXC39" s="899"/>
      <c r="IXD39" s="899"/>
      <c r="IXE39" s="899"/>
      <c r="IXF39" s="899"/>
      <c r="IXG39" s="899"/>
      <c r="IXH39" s="899"/>
      <c r="IXI39" s="899"/>
      <c r="IXJ39" s="899"/>
      <c r="IXK39" s="899"/>
      <c r="IXL39" s="899"/>
      <c r="IXM39" s="899"/>
      <c r="IXN39" s="899"/>
      <c r="IXO39" s="899"/>
      <c r="IXP39" s="899"/>
      <c r="IXQ39" s="899"/>
      <c r="IXR39" s="899"/>
      <c r="IXS39" s="899"/>
      <c r="IXT39" s="899"/>
      <c r="IXU39" s="899"/>
      <c r="IXV39" s="899"/>
      <c r="IXW39" s="899"/>
      <c r="IXX39" s="899"/>
      <c r="IXY39" s="899"/>
      <c r="IXZ39" s="899"/>
      <c r="IYA39" s="899"/>
      <c r="IYB39" s="899"/>
      <c r="IYC39" s="899"/>
      <c r="IYD39" s="899"/>
      <c r="IYE39" s="899"/>
      <c r="IYF39" s="899"/>
      <c r="IYG39" s="899"/>
      <c r="IYH39" s="899"/>
      <c r="IYI39" s="899"/>
      <c r="IYJ39" s="899"/>
      <c r="IYK39" s="899"/>
      <c r="IYL39" s="899"/>
      <c r="IYM39" s="899"/>
      <c r="IYN39" s="899"/>
      <c r="IYO39" s="899"/>
      <c r="IYP39" s="899"/>
      <c r="IYQ39" s="899"/>
      <c r="IYR39" s="899"/>
      <c r="IYS39" s="899"/>
      <c r="IYT39" s="899"/>
      <c r="IYU39" s="899"/>
      <c r="IYV39" s="899"/>
      <c r="IYW39" s="899"/>
      <c r="IYX39" s="899"/>
      <c r="IYY39" s="899"/>
      <c r="IYZ39" s="899"/>
      <c r="IZA39" s="899"/>
      <c r="IZB39" s="899"/>
      <c r="IZC39" s="899"/>
      <c r="IZD39" s="899"/>
      <c r="IZE39" s="899"/>
      <c r="IZF39" s="899"/>
      <c r="IZG39" s="899"/>
      <c r="IZH39" s="899"/>
      <c r="IZI39" s="899"/>
      <c r="IZJ39" s="899"/>
      <c r="IZK39" s="899"/>
      <c r="IZL39" s="899"/>
      <c r="IZM39" s="899"/>
      <c r="IZN39" s="899"/>
      <c r="IZO39" s="899"/>
      <c r="IZP39" s="899"/>
      <c r="IZQ39" s="899"/>
      <c r="IZR39" s="899"/>
      <c r="IZS39" s="899"/>
      <c r="IZT39" s="899"/>
      <c r="IZU39" s="899"/>
      <c r="IZV39" s="899"/>
      <c r="IZW39" s="899"/>
      <c r="IZX39" s="899"/>
      <c r="IZY39" s="899"/>
      <c r="IZZ39" s="899"/>
      <c r="JAA39" s="899"/>
      <c r="JAB39" s="899"/>
      <c r="JAC39" s="899"/>
      <c r="JAD39" s="899"/>
      <c r="JAE39" s="899"/>
      <c r="JAF39" s="899"/>
      <c r="JAG39" s="899"/>
      <c r="JAH39" s="899"/>
      <c r="JAI39" s="899"/>
      <c r="JAJ39" s="899"/>
      <c r="JAK39" s="899"/>
      <c r="JAL39" s="899"/>
      <c r="JAM39" s="899"/>
      <c r="JAN39" s="899"/>
      <c r="JAO39" s="899"/>
      <c r="JAP39" s="899"/>
      <c r="JAQ39" s="899"/>
      <c r="JAR39" s="899"/>
      <c r="JAS39" s="899"/>
      <c r="JAT39" s="899"/>
      <c r="JAU39" s="899"/>
      <c r="JAV39" s="899"/>
      <c r="JAW39" s="899"/>
      <c r="JAX39" s="899"/>
      <c r="JAY39" s="899"/>
      <c r="JAZ39" s="899"/>
      <c r="JBA39" s="899"/>
      <c r="JBB39" s="899"/>
      <c r="JBC39" s="899"/>
      <c r="JBD39" s="899"/>
      <c r="JBE39" s="899"/>
      <c r="JBF39" s="899"/>
      <c r="JBG39" s="899"/>
      <c r="JBH39" s="899"/>
      <c r="JBI39" s="899"/>
      <c r="JBJ39" s="899"/>
      <c r="JBK39" s="899"/>
      <c r="JBL39" s="899"/>
      <c r="JBM39" s="899"/>
      <c r="JBN39" s="899"/>
      <c r="JBO39" s="899"/>
      <c r="JBP39" s="899"/>
      <c r="JBQ39" s="899"/>
      <c r="JBR39" s="899"/>
      <c r="JBS39" s="899"/>
      <c r="JBT39" s="899"/>
      <c r="JBU39" s="899"/>
      <c r="JBV39" s="899"/>
      <c r="JBW39" s="899"/>
      <c r="JBX39" s="899"/>
      <c r="JBY39" s="899"/>
      <c r="JBZ39" s="899"/>
      <c r="JCA39" s="899"/>
      <c r="JCB39" s="899"/>
      <c r="JCC39" s="899"/>
      <c r="JCD39" s="899"/>
      <c r="JCE39" s="899"/>
      <c r="JCF39" s="899"/>
      <c r="JCG39" s="899"/>
      <c r="JCH39" s="899"/>
      <c r="JCI39" s="899"/>
      <c r="JCJ39" s="899"/>
      <c r="JCK39" s="899"/>
      <c r="JCL39" s="899"/>
      <c r="JCM39" s="899"/>
      <c r="JCN39" s="899"/>
      <c r="JCO39" s="899"/>
      <c r="JCP39" s="899"/>
      <c r="JCQ39" s="899"/>
      <c r="JCR39" s="899"/>
      <c r="JCS39" s="899"/>
      <c r="JCT39" s="899"/>
      <c r="JCU39" s="899"/>
      <c r="JCV39" s="899"/>
      <c r="JCW39" s="899"/>
      <c r="JCX39" s="899"/>
      <c r="JCY39" s="899"/>
      <c r="JCZ39" s="899"/>
      <c r="JDA39" s="899"/>
      <c r="JDB39" s="899"/>
      <c r="JDC39" s="899"/>
      <c r="JDD39" s="899"/>
      <c r="JDE39" s="899"/>
      <c r="JDF39" s="899"/>
      <c r="JDG39" s="899"/>
      <c r="JDH39" s="899"/>
      <c r="JDI39" s="899"/>
      <c r="JDJ39" s="899"/>
      <c r="JDK39" s="899"/>
      <c r="JDL39" s="899"/>
      <c r="JDM39" s="899"/>
      <c r="JDN39" s="899"/>
      <c r="JDO39" s="899"/>
      <c r="JDP39" s="899"/>
      <c r="JDQ39" s="899"/>
      <c r="JDR39" s="899"/>
      <c r="JDS39" s="899"/>
      <c r="JDT39" s="899"/>
      <c r="JDU39" s="899"/>
      <c r="JDV39" s="899"/>
      <c r="JDW39" s="899"/>
      <c r="JDX39" s="899"/>
      <c r="JDY39" s="899"/>
      <c r="JDZ39" s="899"/>
      <c r="JEA39" s="899"/>
      <c r="JEB39" s="899"/>
      <c r="JEC39" s="899"/>
      <c r="JED39" s="899"/>
      <c r="JEE39" s="899"/>
      <c r="JEF39" s="899"/>
      <c r="JEG39" s="899"/>
      <c r="JEH39" s="899"/>
      <c r="JEI39" s="899"/>
      <c r="JEJ39" s="899"/>
      <c r="JEK39" s="899"/>
      <c r="JEL39" s="899"/>
      <c r="JEM39" s="899"/>
      <c r="JEN39" s="899"/>
      <c r="JEO39" s="899"/>
      <c r="JEP39" s="899"/>
      <c r="JEQ39" s="899"/>
      <c r="JER39" s="899"/>
      <c r="JES39" s="899"/>
      <c r="JET39" s="899"/>
      <c r="JEU39" s="899"/>
      <c r="JEV39" s="899"/>
      <c r="JEW39" s="899"/>
      <c r="JEX39" s="899"/>
      <c r="JEY39" s="899"/>
      <c r="JEZ39" s="899"/>
      <c r="JFA39" s="899"/>
      <c r="JFB39" s="899"/>
      <c r="JFC39" s="899"/>
      <c r="JFD39" s="899"/>
      <c r="JFE39" s="899"/>
      <c r="JFF39" s="899"/>
      <c r="JFG39" s="899"/>
      <c r="JFH39" s="899"/>
      <c r="JFI39" s="899"/>
      <c r="JFJ39" s="899"/>
      <c r="JFK39" s="899"/>
      <c r="JFL39" s="899"/>
      <c r="JFM39" s="899"/>
      <c r="JFN39" s="899"/>
      <c r="JFO39" s="899"/>
      <c r="JFP39" s="899"/>
      <c r="JFQ39" s="899"/>
      <c r="JFR39" s="899"/>
      <c r="JFS39" s="899"/>
      <c r="JFT39" s="899"/>
      <c r="JFU39" s="899"/>
      <c r="JFV39" s="899"/>
      <c r="JFW39" s="899"/>
      <c r="JFX39" s="899"/>
      <c r="JFY39" s="899"/>
      <c r="JFZ39" s="899"/>
      <c r="JGA39" s="899"/>
      <c r="JGB39" s="899"/>
      <c r="JGC39" s="899"/>
      <c r="JGD39" s="899"/>
      <c r="JGE39" s="899"/>
      <c r="JGF39" s="899"/>
      <c r="JGG39" s="899"/>
      <c r="JGH39" s="899"/>
      <c r="JGI39" s="899"/>
      <c r="JGJ39" s="899"/>
      <c r="JGK39" s="899"/>
      <c r="JGL39" s="899"/>
      <c r="JGM39" s="899"/>
      <c r="JGN39" s="899"/>
      <c r="JGO39" s="899"/>
      <c r="JGP39" s="899"/>
      <c r="JGQ39" s="899"/>
      <c r="JGR39" s="899"/>
      <c r="JGS39" s="899"/>
      <c r="JGT39" s="899"/>
      <c r="JGU39" s="899"/>
      <c r="JGV39" s="899"/>
      <c r="JGW39" s="899"/>
      <c r="JGX39" s="899"/>
      <c r="JGY39" s="899"/>
      <c r="JGZ39" s="899"/>
      <c r="JHA39" s="899"/>
      <c r="JHB39" s="899"/>
      <c r="JHC39" s="899"/>
      <c r="JHD39" s="899"/>
      <c r="JHE39" s="899"/>
      <c r="JHF39" s="899"/>
      <c r="JHG39" s="899"/>
      <c r="JHH39" s="899"/>
      <c r="JHI39" s="899"/>
      <c r="JHJ39" s="899"/>
      <c r="JHK39" s="899"/>
      <c r="JHL39" s="899"/>
      <c r="JHM39" s="899"/>
      <c r="JHN39" s="899"/>
      <c r="JHO39" s="899"/>
      <c r="JHP39" s="899"/>
      <c r="JHQ39" s="899"/>
      <c r="JHR39" s="899"/>
      <c r="JHS39" s="899"/>
      <c r="JHT39" s="899"/>
      <c r="JHU39" s="899"/>
      <c r="JHV39" s="899"/>
      <c r="JHW39" s="899"/>
      <c r="JHX39" s="899"/>
      <c r="JHY39" s="899"/>
      <c r="JHZ39" s="899"/>
      <c r="JIA39" s="899"/>
      <c r="JIB39" s="899"/>
      <c r="JIC39" s="899"/>
      <c r="JID39" s="899"/>
      <c r="JIE39" s="899"/>
      <c r="JIF39" s="899"/>
      <c r="JIG39" s="899"/>
      <c r="JIH39" s="899"/>
      <c r="JII39" s="899"/>
      <c r="JIJ39" s="899"/>
      <c r="JIK39" s="899"/>
      <c r="JIL39" s="899"/>
      <c r="JIM39" s="899"/>
      <c r="JIN39" s="899"/>
      <c r="JIO39" s="899"/>
      <c r="JIP39" s="899"/>
      <c r="JIQ39" s="899"/>
      <c r="JIR39" s="899"/>
      <c r="JIS39" s="899"/>
      <c r="JIT39" s="899"/>
      <c r="JIU39" s="899"/>
      <c r="JIV39" s="899"/>
      <c r="JIW39" s="899"/>
      <c r="JIX39" s="899"/>
      <c r="JIY39" s="899"/>
      <c r="JIZ39" s="899"/>
      <c r="JJA39" s="899"/>
      <c r="JJB39" s="899"/>
      <c r="JJC39" s="899"/>
      <c r="JJD39" s="899"/>
      <c r="JJE39" s="899"/>
      <c r="JJF39" s="899"/>
      <c r="JJG39" s="899"/>
      <c r="JJH39" s="899"/>
      <c r="JJI39" s="899"/>
      <c r="JJJ39" s="899"/>
      <c r="JJK39" s="899"/>
      <c r="JJL39" s="899"/>
      <c r="JJM39" s="899"/>
      <c r="JJN39" s="899"/>
      <c r="JJO39" s="899"/>
      <c r="JJP39" s="899"/>
      <c r="JJQ39" s="899"/>
      <c r="JJR39" s="899"/>
      <c r="JJS39" s="899"/>
      <c r="JJT39" s="899"/>
      <c r="JJU39" s="899"/>
      <c r="JJV39" s="899"/>
      <c r="JJW39" s="899"/>
      <c r="JJX39" s="899"/>
      <c r="JJY39" s="899"/>
      <c r="JJZ39" s="899"/>
      <c r="JKA39" s="899"/>
      <c r="JKB39" s="899"/>
      <c r="JKC39" s="899"/>
      <c r="JKD39" s="899"/>
      <c r="JKE39" s="899"/>
      <c r="JKF39" s="899"/>
      <c r="JKG39" s="899"/>
      <c r="JKH39" s="899"/>
      <c r="JKI39" s="899"/>
      <c r="JKJ39" s="899"/>
      <c r="JKK39" s="899"/>
      <c r="JKL39" s="899"/>
      <c r="JKM39" s="899"/>
      <c r="JKN39" s="899"/>
      <c r="JKO39" s="899"/>
      <c r="JKP39" s="899"/>
      <c r="JKQ39" s="899"/>
      <c r="JKR39" s="899"/>
      <c r="JKS39" s="899"/>
      <c r="JKT39" s="899"/>
      <c r="JKU39" s="899"/>
      <c r="JKV39" s="899"/>
      <c r="JKW39" s="899"/>
      <c r="JKX39" s="899"/>
      <c r="JKY39" s="899"/>
      <c r="JKZ39" s="899"/>
      <c r="JLA39" s="899"/>
      <c r="JLB39" s="899"/>
      <c r="JLC39" s="899"/>
      <c r="JLD39" s="899"/>
      <c r="JLE39" s="899"/>
      <c r="JLF39" s="899"/>
      <c r="JLG39" s="899"/>
      <c r="JLH39" s="899"/>
      <c r="JLI39" s="899"/>
      <c r="JLJ39" s="899"/>
      <c r="JLK39" s="899"/>
      <c r="JLL39" s="899"/>
      <c r="JLM39" s="899"/>
      <c r="JLN39" s="899"/>
      <c r="JLO39" s="899"/>
      <c r="JLP39" s="899"/>
      <c r="JLQ39" s="899"/>
      <c r="JLR39" s="899"/>
      <c r="JLS39" s="899"/>
      <c r="JLT39" s="899"/>
      <c r="JLU39" s="899"/>
      <c r="JLV39" s="899"/>
      <c r="JLW39" s="899"/>
      <c r="JLX39" s="899"/>
      <c r="JLY39" s="899"/>
      <c r="JLZ39" s="899"/>
      <c r="JMA39" s="899"/>
      <c r="JMB39" s="899"/>
      <c r="JMC39" s="899"/>
      <c r="JMD39" s="899"/>
      <c r="JME39" s="899"/>
      <c r="JMF39" s="899"/>
      <c r="JMG39" s="899"/>
      <c r="JMH39" s="899"/>
      <c r="JMI39" s="899"/>
      <c r="JMJ39" s="899"/>
      <c r="JMK39" s="899"/>
      <c r="JML39" s="899"/>
      <c r="JMM39" s="899"/>
      <c r="JMN39" s="899"/>
      <c r="JMO39" s="899"/>
      <c r="JMP39" s="899"/>
      <c r="JMQ39" s="899"/>
      <c r="JMR39" s="899"/>
      <c r="JMS39" s="899"/>
      <c r="JMT39" s="899"/>
      <c r="JMU39" s="899"/>
      <c r="JMV39" s="899"/>
      <c r="JMW39" s="899"/>
      <c r="JMX39" s="899"/>
      <c r="JMY39" s="899"/>
      <c r="JMZ39" s="899"/>
      <c r="JNA39" s="899"/>
      <c r="JNB39" s="899"/>
      <c r="JNC39" s="899"/>
      <c r="JND39" s="899"/>
      <c r="JNE39" s="899"/>
      <c r="JNF39" s="899"/>
      <c r="JNG39" s="899"/>
      <c r="JNH39" s="899"/>
      <c r="JNI39" s="899"/>
      <c r="JNJ39" s="899"/>
      <c r="JNK39" s="899"/>
      <c r="JNL39" s="899"/>
      <c r="JNM39" s="899"/>
      <c r="JNN39" s="899"/>
      <c r="JNO39" s="899"/>
      <c r="JNP39" s="899"/>
      <c r="JNQ39" s="899"/>
      <c r="JNR39" s="899"/>
      <c r="JNS39" s="899"/>
      <c r="JNT39" s="899"/>
      <c r="JNU39" s="899"/>
      <c r="JNV39" s="899"/>
      <c r="JNW39" s="899"/>
      <c r="JNX39" s="899"/>
      <c r="JNY39" s="899"/>
      <c r="JNZ39" s="899"/>
      <c r="JOA39" s="899"/>
      <c r="JOB39" s="899"/>
      <c r="JOC39" s="899"/>
      <c r="JOD39" s="899"/>
      <c r="JOE39" s="899"/>
      <c r="JOF39" s="899"/>
      <c r="JOG39" s="899"/>
      <c r="JOH39" s="899"/>
      <c r="JOI39" s="899"/>
      <c r="JOJ39" s="899"/>
      <c r="JOK39" s="899"/>
      <c r="JOL39" s="899"/>
      <c r="JOM39" s="899"/>
      <c r="JON39" s="899"/>
      <c r="JOO39" s="899"/>
      <c r="JOP39" s="899"/>
      <c r="JOQ39" s="899"/>
      <c r="JOR39" s="899"/>
      <c r="JOS39" s="899"/>
      <c r="JOT39" s="899"/>
      <c r="JOU39" s="899"/>
      <c r="JOV39" s="899"/>
      <c r="JOW39" s="899"/>
      <c r="JOX39" s="899"/>
      <c r="JOY39" s="899"/>
      <c r="JOZ39" s="899"/>
      <c r="JPA39" s="899"/>
      <c r="JPB39" s="899"/>
      <c r="JPC39" s="899"/>
      <c r="JPD39" s="899"/>
      <c r="JPE39" s="899"/>
      <c r="JPF39" s="899"/>
      <c r="JPG39" s="899"/>
      <c r="JPH39" s="899"/>
      <c r="JPI39" s="899"/>
      <c r="JPJ39" s="899"/>
      <c r="JPK39" s="899"/>
      <c r="JPL39" s="899"/>
      <c r="JPM39" s="899"/>
      <c r="JPN39" s="899"/>
      <c r="JPO39" s="899"/>
      <c r="JPP39" s="899"/>
      <c r="JPQ39" s="899"/>
      <c r="JPR39" s="899"/>
      <c r="JPS39" s="899"/>
      <c r="JPT39" s="899"/>
      <c r="JPU39" s="899"/>
      <c r="JPV39" s="899"/>
      <c r="JPW39" s="899"/>
      <c r="JPX39" s="899"/>
      <c r="JPY39" s="899"/>
      <c r="JPZ39" s="899"/>
      <c r="JQA39" s="899"/>
      <c r="JQB39" s="899"/>
      <c r="JQC39" s="899"/>
      <c r="JQD39" s="899"/>
      <c r="JQE39" s="899"/>
      <c r="JQF39" s="899"/>
      <c r="JQG39" s="899"/>
      <c r="JQH39" s="899"/>
      <c r="JQI39" s="899"/>
      <c r="JQJ39" s="899"/>
      <c r="JQK39" s="899"/>
      <c r="JQL39" s="899"/>
      <c r="JQM39" s="899"/>
      <c r="JQN39" s="899"/>
      <c r="JQO39" s="899"/>
      <c r="JQP39" s="899"/>
      <c r="JQQ39" s="899"/>
      <c r="JQR39" s="899"/>
      <c r="JQS39" s="899"/>
      <c r="JQT39" s="899"/>
      <c r="JQU39" s="899"/>
      <c r="JQV39" s="899"/>
      <c r="JQW39" s="899"/>
      <c r="JQX39" s="899"/>
      <c r="JQY39" s="899"/>
      <c r="JQZ39" s="899"/>
      <c r="JRA39" s="899"/>
      <c r="JRB39" s="899"/>
      <c r="JRC39" s="899"/>
      <c r="JRD39" s="899"/>
      <c r="JRE39" s="899"/>
      <c r="JRF39" s="899"/>
      <c r="JRG39" s="899"/>
      <c r="JRH39" s="899"/>
      <c r="JRI39" s="899"/>
      <c r="JRJ39" s="899"/>
      <c r="JRK39" s="899"/>
      <c r="JRL39" s="899"/>
      <c r="JRM39" s="899"/>
      <c r="JRN39" s="899"/>
      <c r="JRO39" s="899"/>
      <c r="JRP39" s="899"/>
      <c r="JRQ39" s="899"/>
      <c r="JRR39" s="899"/>
      <c r="JRS39" s="899"/>
      <c r="JRT39" s="899"/>
      <c r="JRU39" s="899"/>
      <c r="JRV39" s="899"/>
      <c r="JRW39" s="899"/>
      <c r="JRX39" s="899"/>
      <c r="JRY39" s="899"/>
      <c r="JRZ39" s="899"/>
      <c r="JSA39" s="899"/>
      <c r="JSB39" s="899"/>
      <c r="JSC39" s="899"/>
      <c r="JSD39" s="899"/>
      <c r="JSE39" s="899"/>
      <c r="JSF39" s="899"/>
      <c r="JSG39" s="899"/>
      <c r="JSH39" s="899"/>
      <c r="JSI39" s="899"/>
      <c r="JSJ39" s="899"/>
      <c r="JSK39" s="899"/>
      <c r="JSL39" s="899"/>
      <c r="JSM39" s="899"/>
      <c r="JSN39" s="899"/>
      <c r="JSO39" s="899"/>
      <c r="JSP39" s="899"/>
      <c r="JSQ39" s="899"/>
      <c r="JSR39" s="899"/>
      <c r="JSS39" s="899"/>
      <c r="JST39" s="899"/>
      <c r="JSU39" s="899"/>
      <c r="JSV39" s="899"/>
      <c r="JSW39" s="899"/>
      <c r="JSX39" s="899"/>
      <c r="JSY39" s="899"/>
      <c r="JSZ39" s="899"/>
      <c r="JTA39" s="899"/>
      <c r="JTB39" s="899"/>
      <c r="JTC39" s="899"/>
      <c r="JTD39" s="899"/>
      <c r="JTE39" s="899"/>
      <c r="JTF39" s="899"/>
      <c r="JTG39" s="899"/>
      <c r="JTH39" s="899"/>
      <c r="JTI39" s="899"/>
      <c r="JTJ39" s="899"/>
      <c r="JTK39" s="899"/>
      <c r="JTL39" s="899"/>
      <c r="JTM39" s="899"/>
      <c r="JTN39" s="899"/>
      <c r="JTO39" s="899"/>
      <c r="JTP39" s="899"/>
      <c r="JTQ39" s="899"/>
      <c r="JTR39" s="899"/>
      <c r="JTS39" s="899"/>
      <c r="JTT39" s="899"/>
      <c r="JTU39" s="899"/>
      <c r="JTV39" s="899"/>
      <c r="JTW39" s="899"/>
      <c r="JTX39" s="899"/>
      <c r="JTY39" s="899"/>
      <c r="JTZ39" s="899"/>
      <c r="JUA39" s="899"/>
      <c r="JUB39" s="899"/>
      <c r="JUC39" s="899"/>
      <c r="JUD39" s="899"/>
      <c r="JUE39" s="899"/>
      <c r="JUF39" s="899"/>
      <c r="JUG39" s="899"/>
      <c r="JUH39" s="899"/>
      <c r="JUI39" s="899"/>
      <c r="JUJ39" s="899"/>
      <c r="JUK39" s="899"/>
      <c r="JUL39" s="899"/>
      <c r="JUM39" s="899"/>
      <c r="JUN39" s="899"/>
      <c r="JUO39" s="899"/>
      <c r="JUP39" s="899"/>
      <c r="JUQ39" s="899"/>
      <c r="JUR39" s="899"/>
      <c r="JUS39" s="899"/>
      <c r="JUT39" s="899"/>
      <c r="JUU39" s="899"/>
      <c r="JUV39" s="899"/>
      <c r="JUW39" s="899"/>
      <c r="JUX39" s="899"/>
      <c r="JUY39" s="899"/>
      <c r="JUZ39" s="899"/>
      <c r="JVA39" s="899"/>
      <c r="JVB39" s="899"/>
      <c r="JVC39" s="899"/>
      <c r="JVD39" s="899"/>
      <c r="JVE39" s="899"/>
      <c r="JVF39" s="899"/>
      <c r="JVG39" s="899"/>
      <c r="JVH39" s="899"/>
      <c r="JVI39" s="899"/>
      <c r="JVJ39" s="899"/>
      <c r="JVK39" s="899"/>
      <c r="JVL39" s="899"/>
      <c r="JVM39" s="899"/>
      <c r="JVN39" s="899"/>
      <c r="JVO39" s="899"/>
      <c r="JVP39" s="899"/>
      <c r="JVQ39" s="899"/>
      <c r="JVR39" s="899"/>
      <c r="JVS39" s="899"/>
      <c r="JVT39" s="899"/>
      <c r="JVU39" s="899"/>
      <c r="JVV39" s="899"/>
      <c r="JVW39" s="899"/>
      <c r="JVX39" s="899"/>
      <c r="JVY39" s="899"/>
      <c r="JVZ39" s="899"/>
      <c r="JWA39" s="899"/>
      <c r="JWB39" s="899"/>
      <c r="JWC39" s="899"/>
      <c r="JWD39" s="899"/>
      <c r="JWE39" s="899"/>
      <c r="JWF39" s="899"/>
      <c r="JWG39" s="899"/>
      <c r="JWH39" s="899"/>
      <c r="JWI39" s="899"/>
      <c r="JWJ39" s="899"/>
      <c r="JWK39" s="899"/>
      <c r="JWL39" s="899"/>
      <c r="JWM39" s="899"/>
      <c r="JWN39" s="899"/>
      <c r="JWO39" s="899"/>
      <c r="JWP39" s="899"/>
      <c r="JWQ39" s="899"/>
      <c r="JWR39" s="899"/>
      <c r="JWS39" s="899"/>
      <c r="JWT39" s="899"/>
      <c r="JWU39" s="899"/>
      <c r="JWV39" s="899"/>
      <c r="JWW39" s="899"/>
      <c r="JWX39" s="899"/>
      <c r="JWY39" s="899"/>
      <c r="JWZ39" s="899"/>
      <c r="JXA39" s="899"/>
      <c r="JXB39" s="899"/>
      <c r="JXC39" s="899"/>
      <c r="JXD39" s="899"/>
      <c r="JXE39" s="899"/>
      <c r="JXF39" s="899"/>
      <c r="JXG39" s="899"/>
      <c r="JXH39" s="899"/>
      <c r="JXI39" s="899"/>
      <c r="JXJ39" s="899"/>
      <c r="JXK39" s="899"/>
      <c r="JXL39" s="899"/>
      <c r="JXM39" s="899"/>
      <c r="JXN39" s="899"/>
      <c r="JXO39" s="899"/>
      <c r="JXP39" s="899"/>
      <c r="JXQ39" s="899"/>
      <c r="JXR39" s="899"/>
      <c r="JXS39" s="899"/>
      <c r="JXT39" s="899"/>
      <c r="JXU39" s="899"/>
      <c r="JXV39" s="899"/>
      <c r="JXW39" s="899"/>
      <c r="JXX39" s="899"/>
      <c r="JXY39" s="899"/>
      <c r="JXZ39" s="899"/>
      <c r="JYA39" s="899"/>
      <c r="JYB39" s="899"/>
      <c r="JYC39" s="899"/>
      <c r="JYD39" s="899"/>
      <c r="JYE39" s="899"/>
      <c r="JYF39" s="899"/>
      <c r="JYG39" s="899"/>
      <c r="JYH39" s="899"/>
      <c r="JYI39" s="899"/>
      <c r="JYJ39" s="899"/>
      <c r="JYK39" s="899"/>
      <c r="JYL39" s="899"/>
      <c r="JYM39" s="899"/>
      <c r="JYN39" s="899"/>
      <c r="JYO39" s="899"/>
      <c r="JYP39" s="899"/>
      <c r="JYQ39" s="899"/>
      <c r="JYR39" s="899"/>
      <c r="JYS39" s="899"/>
      <c r="JYT39" s="899"/>
      <c r="JYU39" s="899"/>
      <c r="JYV39" s="899"/>
      <c r="JYW39" s="899"/>
      <c r="JYX39" s="899"/>
      <c r="JYY39" s="899"/>
      <c r="JYZ39" s="899"/>
      <c r="JZA39" s="899"/>
      <c r="JZB39" s="899"/>
      <c r="JZC39" s="899"/>
      <c r="JZD39" s="899"/>
      <c r="JZE39" s="899"/>
      <c r="JZF39" s="899"/>
      <c r="JZG39" s="899"/>
      <c r="JZH39" s="899"/>
      <c r="JZI39" s="899"/>
      <c r="JZJ39" s="899"/>
      <c r="JZK39" s="899"/>
      <c r="JZL39" s="899"/>
      <c r="JZM39" s="899"/>
      <c r="JZN39" s="899"/>
      <c r="JZO39" s="899"/>
      <c r="JZP39" s="899"/>
      <c r="JZQ39" s="899"/>
      <c r="JZR39" s="899"/>
      <c r="JZS39" s="899"/>
      <c r="JZT39" s="899"/>
      <c r="JZU39" s="899"/>
      <c r="JZV39" s="899"/>
      <c r="JZW39" s="899"/>
      <c r="JZX39" s="899"/>
      <c r="JZY39" s="899"/>
      <c r="JZZ39" s="899"/>
      <c r="KAA39" s="899"/>
      <c r="KAB39" s="899"/>
      <c r="KAC39" s="899"/>
      <c r="KAD39" s="899"/>
      <c r="KAE39" s="899"/>
      <c r="KAF39" s="899"/>
      <c r="KAG39" s="899"/>
      <c r="KAH39" s="899"/>
      <c r="KAI39" s="899"/>
      <c r="KAJ39" s="899"/>
      <c r="KAK39" s="899"/>
      <c r="KAL39" s="899"/>
      <c r="KAM39" s="899"/>
      <c r="KAN39" s="899"/>
      <c r="KAO39" s="899"/>
      <c r="KAP39" s="899"/>
      <c r="KAQ39" s="899"/>
      <c r="KAR39" s="899"/>
      <c r="KAS39" s="899"/>
      <c r="KAT39" s="899"/>
      <c r="KAU39" s="899"/>
      <c r="KAV39" s="899"/>
      <c r="KAW39" s="899"/>
      <c r="KAX39" s="899"/>
      <c r="KAY39" s="899"/>
      <c r="KAZ39" s="899"/>
      <c r="KBA39" s="899"/>
      <c r="KBB39" s="899"/>
      <c r="KBC39" s="899"/>
      <c r="KBD39" s="899"/>
      <c r="KBE39" s="899"/>
      <c r="KBF39" s="899"/>
      <c r="KBG39" s="899"/>
      <c r="KBH39" s="899"/>
      <c r="KBI39" s="899"/>
      <c r="KBJ39" s="899"/>
      <c r="KBK39" s="899"/>
      <c r="KBL39" s="899"/>
      <c r="KBM39" s="899"/>
      <c r="KBN39" s="899"/>
      <c r="KBO39" s="899"/>
      <c r="KBP39" s="899"/>
      <c r="KBQ39" s="899"/>
      <c r="KBR39" s="899"/>
      <c r="KBS39" s="899"/>
      <c r="KBT39" s="899"/>
      <c r="KBU39" s="899"/>
      <c r="KBV39" s="899"/>
      <c r="KBW39" s="899"/>
      <c r="KBX39" s="899"/>
      <c r="KBY39" s="899"/>
      <c r="KBZ39" s="899"/>
      <c r="KCA39" s="899"/>
      <c r="KCB39" s="899"/>
      <c r="KCC39" s="899"/>
      <c r="KCD39" s="899"/>
      <c r="KCE39" s="899"/>
      <c r="KCF39" s="899"/>
      <c r="KCG39" s="899"/>
      <c r="KCH39" s="899"/>
      <c r="KCI39" s="899"/>
      <c r="KCJ39" s="899"/>
      <c r="KCK39" s="899"/>
      <c r="KCL39" s="899"/>
      <c r="KCM39" s="899"/>
      <c r="KCN39" s="899"/>
      <c r="KCO39" s="899"/>
      <c r="KCP39" s="899"/>
      <c r="KCQ39" s="899"/>
      <c r="KCR39" s="899"/>
      <c r="KCS39" s="899"/>
      <c r="KCT39" s="899"/>
      <c r="KCU39" s="899"/>
      <c r="KCV39" s="899"/>
      <c r="KCW39" s="899"/>
      <c r="KCX39" s="899"/>
      <c r="KCY39" s="899"/>
      <c r="KCZ39" s="899"/>
      <c r="KDA39" s="899"/>
      <c r="KDB39" s="899"/>
      <c r="KDC39" s="899"/>
      <c r="KDD39" s="899"/>
      <c r="KDE39" s="899"/>
      <c r="KDF39" s="899"/>
      <c r="KDG39" s="899"/>
      <c r="KDH39" s="899"/>
      <c r="KDI39" s="899"/>
      <c r="KDJ39" s="899"/>
      <c r="KDK39" s="899"/>
      <c r="KDL39" s="899"/>
      <c r="KDM39" s="899"/>
      <c r="KDN39" s="899"/>
      <c r="KDO39" s="899"/>
      <c r="KDP39" s="899"/>
      <c r="KDQ39" s="899"/>
      <c r="KDR39" s="899"/>
      <c r="KDS39" s="899"/>
      <c r="KDT39" s="899"/>
      <c r="KDU39" s="899"/>
      <c r="KDV39" s="899"/>
      <c r="KDW39" s="899"/>
      <c r="KDX39" s="899"/>
      <c r="KDY39" s="899"/>
      <c r="KDZ39" s="899"/>
      <c r="KEA39" s="899"/>
      <c r="KEB39" s="899"/>
      <c r="KEC39" s="899"/>
      <c r="KED39" s="899"/>
      <c r="KEE39" s="899"/>
      <c r="KEF39" s="899"/>
      <c r="KEG39" s="899"/>
      <c r="KEH39" s="899"/>
      <c r="KEI39" s="899"/>
      <c r="KEJ39" s="899"/>
      <c r="KEK39" s="899"/>
      <c r="KEL39" s="899"/>
      <c r="KEM39" s="899"/>
      <c r="KEN39" s="899"/>
      <c r="KEO39" s="899"/>
      <c r="KEP39" s="899"/>
      <c r="KEQ39" s="899"/>
      <c r="KER39" s="899"/>
      <c r="KES39" s="899"/>
      <c r="KET39" s="899"/>
      <c r="KEU39" s="899"/>
      <c r="KEV39" s="899"/>
      <c r="KEW39" s="899"/>
      <c r="KEX39" s="899"/>
      <c r="KEY39" s="899"/>
      <c r="KEZ39" s="899"/>
      <c r="KFA39" s="899"/>
      <c r="KFB39" s="899"/>
      <c r="KFC39" s="899"/>
      <c r="KFD39" s="899"/>
      <c r="KFE39" s="899"/>
      <c r="KFF39" s="899"/>
      <c r="KFG39" s="899"/>
      <c r="KFH39" s="899"/>
      <c r="KFI39" s="899"/>
      <c r="KFJ39" s="899"/>
      <c r="KFK39" s="899"/>
      <c r="KFL39" s="899"/>
      <c r="KFM39" s="899"/>
      <c r="KFN39" s="899"/>
      <c r="KFO39" s="899"/>
      <c r="KFP39" s="899"/>
      <c r="KFQ39" s="899"/>
      <c r="KFR39" s="899"/>
      <c r="KFS39" s="899"/>
      <c r="KFT39" s="899"/>
      <c r="KFU39" s="899"/>
      <c r="KFV39" s="899"/>
      <c r="KFW39" s="899"/>
      <c r="KFX39" s="899"/>
      <c r="KFY39" s="899"/>
      <c r="KFZ39" s="899"/>
      <c r="KGA39" s="899"/>
      <c r="KGB39" s="899"/>
      <c r="KGC39" s="899"/>
      <c r="KGD39" s="899"/>
      <c r="KGE39" s="899"/>
      <c r="KGF39" s="899"/>
      <c r="KGG39" s="899"/>
      <c r="KGH39" s="899"/>
      <c r="KGI39" s="899"/>
      <c r="KGJ39" s="899"/>
      <c r="KGK39" s="899"/>
      <c r="KGL39" s="899"/>
      <c r="KGM39" s="899"/>
      <c r="KGN39" s="899"/>
      <c r="KGO39" s="899"/>
      <c r="KGP39" s="899"/>
      <c r="KGQ39" s="899"/>
      <c r="KGR39" s="899"/>
      <c r="KGS39" s="899"/>
      <c r="KGT39" s="899"/>
      <c r="KGU39" s="899"/>
      <c r="KGV39" s="899"/>
      <c r="KGW39" s="899"/>
      <c r="KGX39" s="899"/>
      <c r="KGY39" s="899"/>
      <c r="KGZ39" s="899"/>
      <c r="KHA39" s="899"/>
      <c r="KHB39" s="899"/>
      <c r="KHC39" s="899"/>
      <c r="KHD39" s="899"/>
      <c r="KHE39" s="899"/>
      <c r="KHF39" s="899"/>
      <c r="KHG39" s="899"/>
      <c r="KHH39" s="899"/>
      <c r="KHI39" s="899"/>
      <c r="KHJ39" s="899"/>
      <c r="KHK39" s="899"/>
      <c r="KHL39" s="899"/>
      <c r="KHM39" s="899"/>
      <c r="KHN39" s="899"/>
      <c r="KHO39" s="899"/>
      <c r="KHP39" s="899"/>
      <c r="KHQ39" s="899"/>
      <c r="KHR39" s="899"/>
      <c r="KHS39" s="899"/>
      <c r="KHT39" s="899"/>
      <c r="KHU39" s="899"/>
      <c r="KHV39" s="899"/>
      <c r="KHW39" s="899"/>
      <c r="KHX39" s="899"/>
      <c r="KHY39" s="899"/>
      <c r="KHZ39" s="899"/>
      <c r="KIA39" s="899"/>
      <c r="KIB39" s="899"/>
      <c r="KIC39" s="899"/>
      <c r="KID39" s="899"/>
      <c r="KIE39" s="899"/>
      <c r="KIF39" s="899"/>
      <c r="KIG39" s="899"/>
      <c r="KIH39" s="899"/>
      <c r="KII39" s="899"/>
      <c r="KIJ39" s="899"/>
      <c r="KIK39" s="899"/>
      <c r="KIL39" s="899"/>
      <c r="KIM39" s="899"/>
      <c r="KIN39" s="899"/>
      <c r="KIO39" s="899"/>
      <c r="KIP39" s="899"/>
      <c r="KIQ39" s="899"/>
      <c r="KIR39" s="899"/>
      <c r="KIS39" s="899"/>
      <c r="KIT39" s="899"/>
      <c r="KIU39" s="899"/>
      <c r="KIV39" s="899"/>
      <c r="KIW39" s="899"/>
      <c r="KIX39" s="899"/>
      <c r="KIY39" s="899"/>
      <c r="KIZ39" s="899"/>
      <c r="KJA39" s="899"/>
      <c r="KJB39" s="899"/>
      <c r="KJC39" s="899"/>
      <c r="KJD39" s="899"/>
      <c r="KJE39" s="899"/>
      <c r="KJF39" s="899"/>
      <c r="KJG39" s="899"/>
      <c r="KJH39" s="899"/>
      <c r="KJI39" s="899"/>
      <c r="KJJ39" s="899"/>
      <c r="KJK39" s="899"/>
      <c r="KJL39" s="899"/>
      <c r="KJM39" s="899"/>
      <c r="KJN39" s="899"/>
      <c r="KJO39" s="899"/>
      <c r="KJP39" s="899"/>
      <c r="KJQ39" s="899"/>
      <c r="KJR39" s="899"/>
      <c r="KJS39" s="899"/>
      <c r="KJT39" s="899"/>
      <c r="KJU39" s="899"/>
      <c r="KJV39" s="899"/>
      <c r="KJW39" s="899"/>
      <c r="KJX39" s="899"/>
      <c r="KJY39" s="899"/>
      <c r="KJZ39" s="899"/>
      <c r="KKA39" s="899"/>
      <c r="KKB39" s="899"/>
      <c r="KKC39" s="899"/>
      <c r="KKD39" s="899"/>
      <c r="KKE39" s="899"/>
      <c r="KKF39" s="899"/>
      <c r="KKG39" s="899"/>
      <c r="KKH39" s="899"/>
      <c r="KKI39" s="899"/>
      <c r="KKJ39" s="899"/>
      <c r="KKK39" s="899"/>
      <c r="KKL39" s="899"/>
      <c r="KKM39" s="899"/>
      <c r="KKN39" s="899"/>
      <c r="KKO39" s="899"/>
      <c r="KKP39" s="899"/>
      <c r="KKQ39" s="899"/>
      <c r="KKR39" s="899"/>
      <c r="KKS39" s="899"/>
      <c r="KKT39" s="899"/>
      <c r="KKU39" s="899"/>
      <c r="KKV39" s="899"/>
      <c r="KKW39" s="899"/>
      <c r="KKX39" s="899"/>
      <c r="KKY39" s="899"/>
      <c r="KKZ39" s="899"/>
      <c r="KLA39" s="899"/>
      <c r="KLB39" s="899"/>
      <c r="KLC39" s="899"/>
      <c r="KLD39" s="899"/>
      <c r="KLE39" s="899"/>
      <c r="KLF39" s="899"/>
      <c r="KLG39" s="899"/>
      <c r="KLH39" s="899"/>
      <c r="KLI39" s="899"/>
      <c r="KLJ39" s="899"/>
      <c r="KLK39" s="899"/>
      <c r="KLL39" s="899"/>
      <c r="KLM39" s="899"/>
      <c r="KLN39" s="899"/>
      <c r="KLO39" s="899"/>
      <c r="KLP39" s="899"/>
      <c r="KLQ39" s="899"/>
      <c r="KLR39" s="899"/>
      <c r="KLS39" s="899"/>
      <c r="KLT39" s="899"/>
      <c r="KLU39" s="899"/>
      <c r="KLV39" s="899"/>
      <c r="KLW39" s="899"/>
      <c r="KLX39" s="899"/>
      <c r="KLY39" s="899"/>
      <c r="KLZ39" s="899"/>
      <c r="KMA39" s="899"/>
      <c r="KMB39" s="899"/>
      <c r="KMC39" s="899"/>
      <c r="KMD39" s="899"/>
      <c r="KME39" s="899"/>
      <c r="KMF39" s="899"/>
      <c r="KMG39" s="899"/>
      <c r="KMH39" s="899"/>
      <c r="KMI39" s="899"/>
      <c r="KMJ39" s="899"/>
      <c r="KMK39" s="899"/>
      <c r="KML39" s="899"/>
      <c r="KMM39" s="899"/>
      <c r="KMN39" s="899"/>
      <c r="KMO39" s="899"/>
      <c r="KMP39" s="899"/>
      <c r="KMQ39" s="899"/>
      <c r="KMR39" s="899"/>
      <c r="KMS39" s="899"/>
      <c r="KMT39" s="899"/>
      <c r="KMU39" s="899"/>
      <c r="KMV39" s="899"/>
      <c r="KMW39" s="899"/>
      <c r="KMX39" s="899"/>
      <c r="KMY39" s="899"/>
      <c r="KMZ39" s="899"/>
      <c r="KNA39" s="899"/>
      <c r="KNB39" s="899"/>
      <c r="KNC39" s="899"/>
      <c r="KND39" s="899"/>
      <c r="KNE39" s="899"/>
      <c r="KNF39" s="899"/>
      <c r="KNG39" s="899"/>
      <c r="KNH39" s="899"/>
      <c r="KNI39" s="899"/>
      <c r="KNJ39" s="899"/>
      <c r="KNK39" s="899"/>
      <c r="KNL39" s="899"/>
      <c r="KNM39" s="899"/>
      <c r="KNN39" s="899"/>
      <c r="KNO39" s="899"/>
      <c r="KNP39" s="899"/>
      <c r="KNQ39" s="899"/>
      <c r="KNR39" s="899"/>
      <c r="KNS39" s="899"/>
      <c r="KNT39" s="899"/>
      <c r="KNU39" s="899"/>
      <c r="KNV39" s="899"/>
      <c r="KNW39" s="899"/>
      <c r="KNX39" s="899"/>
      <c r="KNY39" s="899"/>
      <c r="KNZ39" s="899"/>
      <c r="KOA39" s="899"/>
      <c r="KOB39" s="899"/>
      <c r="KOC39" s="899"/>
      <c r="KOD39" s="899"/>
      <c r="KOE39" s="899"/>
      <c r="KOF39" s="899"/>
      <c r="KOG39" s="899"/>
      <c r="KOH39" s="899"/>
      <c r="KOI39" s="899"/>
      <c r="KOJ39" s="899"/>
      <c r="KOK39" s="899"/>
      <c r="KOL39" s="899"/>
      <c r="KOM39" s="899"/>
      <c r="KON39" s="899"/>
      <c r="KOO39" s="899"/>
      <c r="KOP39" s="899"/>
      <c r="KOQ39" s="899"/>
      <c r="KOR39" s="899"/>
      <c r="KOS39" s="899"/>
      <c r="KOT39" s="899"/>
      <c r="KOU39" s="899"/>
      <c r="KOV39" s="899"/>
      <c r="KOW39" s="899"/>
      <c r="KOX39" s="899"/>
      <c r="KOY39" s="899"/>
      <c r="KOZ39" s="899"/>
      <c r="KPA39" s="899"/>
      <c r="KPB39" s="899"/>
      <c r="KPC39" s="899"/>
      <c r="KPD39" s="899"/>
      <c r="KPE39" s="899"/>
      <c r="KPF39" s="899"/>
      <c r="KPG39" s="899"/>
      <c r="KPH39" s="899"/>
      <c r="KPI39" s="899"/>
      <c r="KPJ39" s="899"/>
      <c r="KPK39" s="899"/>
      <c r="KPL39" s="899"/>
      <c r="KPM39" s="899"/>
      <c r="KPN39" s="899"/>
      <c r="KPO39" s="899"/>
      <c r="KPP39" s="899"/>
      <c r="KPQ39" s="899"/>
      <c r="KPR39" s="899"/>
      <c r="KPS39" s="899"/>
      <c r="KPT39" s="899"/>
      <c r="KPU39" s="899"/>
      <c r="KPV39" s="899"/>
      <c r="KPW39" s="899"/>
      <c r="KPX39" s="899"/>
      <c r="KPY39" s="899"/>
      <c r="KPZ39" s="899"/>
      <c r="KQA39" s="899"/>
      <c r="KQB39" s="899"/>
      <c r="KQC39" s="899"/>
      <c r="KQD39" s="899"/>
      <c r="KQE39" s="899"/>
      <c r="KQF39" s="899"/>
      <c r="KQG39" s="899"/>
      <c r="KQH39" s="899"/>
      <c r="KQI39" s="899"/>
      <c r="KQJ39" s="899"/>
      <c r="KQK39" s="899"/>
      <c r="KQL39" s="899"/>
      <c r="KQM39" s="899"/>
      <c r="KQN39" s="899"/>
      <c r="KQO39" s="899"/>
      <c r="KQP39" s="899"/>
      <c r="KQQ39" s="899"/>
      <c r="KQR39" s="899"/>
      <c r="KQS39" s="899"/>
      <c r="KQT39" s="899"/>
      <c r="KQU39" s="899"/>
      <c r="KQV39" s="899"/>
      <c r="KQW39" s="899"/>
      <c r="KQX39" s="899"/>
      <c r="KQY39" s="899"/>
      <c r="KQZ39" s="899"/>
      <c r="KRA39" s="899"/>
      <c r="KRB39" s="899"/>
      <c r="KRC39" s="899"/>
      <c r="KRD39" s="899"/>
      <c r="KRE39" s="899"/>
      <c r="KRF39" s="899"/>
      <c r="KRG39" s="899"/>
      <c r="KRH39" s="899"/>
      <c r="KRI39" s="899"/>
      <c r="KRJ39" s="899"/>
      <c r="KRK39" s="899"/>
      <c r="KRL39" s="899"/>
      <c r="KRM39" s="899"/>
      <c r="KRN39" s="899"/>
      <c r="KRO39" s="899"/>
      <c r="KRP39" s="899"/>
      <c r="KRQ39" s="899"/>
      <c r="KRR39" s="899"/>
      <c r="KRS39" s="899"/>
      <c r="KRT39" s="899"/>
      <c r="KRU39" s="899"/>
      <c r="KRV39" s="899"/>
      <c r="KRW39" s="899"/>
      <c r="KRX39" s="899"/>
      <c r="KRY39" s="899"/>
      <c r="KRZ39" s="899"/>
      <c r="KSA39" s="899"/>
      <c r="KSB39" s="899"/>
      <c r="KSC39" s="899"/>
      <c r="KSD39" s="899"/>
      <c r="KSE39" s="899"/>
      <c r="KSF39" s="899"/>
      <c r="KSG39" s="899"/>
      <c r="KSH39" s="899"/>
      <c r="KSI39" s="899"/>
      <c r="KSJ39" s="899"/>
      <c r="KSK39" s="899"/>
      <c r="KSL39" s="899"/>
      <c r="KSM39" s="899"/>
      <c r="KSN39" s="899"/>
      <c r="KSO39" s="899"/>
      <c r="KSP39" s="899"/>
      <c r="KSQ39" s="899"/>
      <c r="KSR39" s="899"/>
      <c r="KSS39" s="899"/>
      <c r="KST39" s="899"/>
      <c r="KSU39" s="899"/>
      <c r="KSV39" s="899"/>
      <c r="KSW39" s="899"/>
      <c r="KSX39" s="899"/>
      <c r="KSY39" s="899"/>
      <c r="KSZ39" s="899"/>
      <c r="KTA39" s="899"/>
      <c r="KTB39" s="899"/>
      <c r="KTC39" s="899"/>
      <c r="KTD39" s="899"/>
      <c r="KTE39" s="899"/>
      <c r="KTF39" s="899"/>
      <c r="KTG39" s="899"/>
      <c r="KTH39" s="899"/>
      <c r="KTI39" s="899"/>
      <c r="KTJ39" s="899"/>
      <c r="KTK39" s="899"/>
      <c r="KTL39" s="899"/>
      <c r="KTM39" s="899"/>
      <c r="KTN39" s="899"/>
      <c r="KTO39" s="899"/>
      <c r="KTP39" s="899"/>
      <c r="KTQ39" s="899"/>
      <c r="KTR39" s="899"/>
      <c r="KTS39" s="899"/>
      <c r="KTT39" s="899"/>
      <c r="KTU39" s="899"/>
      <c r="KTV39" s="899"/>
      <c r="KTW39" s="899"/>
      <c r="KTX39" s="899"/>
      <c r="KTY39" s="899"/>
      <c r="KTZ39" s="899"/>
      <c r="KUA39" s="899"/>
      <c r="KUB39" s="899"/>
      <c r="KUC39" s="899"/>
      <c r="KUD39" s="899"/>
      <c r="KUE39" s="899"/>
      <c r="KUF39" s="899"/>
      <c r="KUG39" s="899"/>
      <c r="KUH39" s="899"/>
      <c r="KUI39" s="899"/>
      <c r="KUJ39" s="899"/>
      <c r="KUK39" s="899"/>
      <c r="KUL39" s="899"/>
      <c r="KUM39" s="899"/>
      <c r="KUN39" s="899"/>
      <c r="KUO39" s="899"/>
      <c r="KUP39" s="899"/>
      <c r="KUQ39" s="899"/>
      <c r="KUR39" s="899"/>
      <c r="KUS39" s="899"/>
      <c r="KUT39" s="899"/>
      <c r="KUU39" s="899"/>
      <c r="KUV39" s="899"/>
      <c r="KUW39" s="899"/>
      <c r="KUX39" s="899"/>
      <c r="KUY39" s="899"/>
      <c r="KUZ39" s="899"/>
      <c r="KVA39" s="899"/>
      <c r="KVB39" s="899"/>
      <c r="KVC39" s="899"/>
      <c r="KVD39" s="899"/>
      <c r="KVE39" s="899"/>
      <c r="KVF39" s="899"/>
      <c r="KVG39" s="899"/>
      <c r="KVH39" s="899"/>
      <c r="KVI39" s="899"/>
      <c r="KVJ39" s="899"/>
      <c r="KVK39" s="899"/>
      <c r="KVL39" s="899"/>
      <c r="KVM39" s="899"/>
      <c r="KVN39" s="899"/>
      <c r="KVO39" s="899"/>
      <c r="KVP39" s="899"/>
      <c r="KVQ39" s="899"/>
      <c r="KVR39" s="899"/>
      <c r="KVS39" s="899"/>
      <c r="KVT39" s="899"/>
      <c r="KVU39" s="899"/>
      <c r="KVV39" s="899"/>
      <c r="KVW39" s="899"/>
      <c r="KVX39" s="899"/>
      <c r="KVY39" s="899"/>
      <c r="KVZ39" s="899"/>
      <c r="KWA39" s="899"/>
      <c r="KWB39" s="899"/>
      <c r="KWC39" s="899"/>
      <c r="KWD39" s="899"/>
      <c r="KWE39" s="899"/>
      <c r="KWF39" s="899"/>
      <c r="KWG39" s="899"/>
      <c r="KWH39" s="899"/>
      <c r="KWI39" s="899"/>
      <c r="KWJ39" s="899"/>
      <c r="KWK39" s="899"/>
      <c r="KWL39" s="899"/>
      <c r="KWM39" s="899"/>
      <c r="KWN39" s="899"/>
      <c r="KWO39" s="899"/>
      <c r="KWP39" s="899"/>
      <c r="KWQ39" s="899"/>
      <c r="KWR39" s="899"/>
      <c r="KWS39" s="899"/>
      <c r="KWT39" s="899"/>
      <c r="KWU39" s="899"/>
      <c r="KWV39" s="899"/>
      <c r="KWW39" s="899"/>
      <c r="KWX39" s="899"/>
      <c r="KWY39" s="899"/>
      <c r="KWZ39" s="899"/>
      <c r="KXA39" s="899"/>
      <c r="KXB39" s="899"/>
      <c r="KXC39" s="899"/>
      <c r="KXD39" s="899"/>
      <c r="KXE39" s="899"/>
      <c r="KXF39" s="899"/>
      <c r="KXG39" s="899"/>
      <c r="KXH39" s="899"/>
      <c r="KXI39" s="899"/>
      <c r="KXJ39" s="899"/>
      <c r="KXK39" s="899"/>
      <c r="KXL39" s="899"/>
      <c r="KXM39" s="899"/>
      <c r="KXN39" s="899"/>
      <c r="KXO39" s="899"/>
      <c r="KXP39" s="899"/>
      <c r="KXQ39" s="899"/>
      <c r="KXR39" s="899"/>
      <c r="KXS39" s="899"/>
      <c r="KXT39" s="899"/>
      <c r="KXU39" s="899"/>
      <c r="KXV39" s="899"/>
      <c r="KXW39" s="899"/>
      <c r="KXX39" s="899"/>
      <c r="KXY39" s="899"/>
      <c r="KXZ39" s="899"/>
      <c r="KYA39" s="899"/>
      <c r="KYB39" s="899"/>
      <c r="KYC39" s="899"/>
      <c r="KYD39" s="899"/>
      <c r="KYE39" s="899"/>
      <c r="KYF39" s="899"/>
      <c r="KYG39" s="899"/>
      <c r="KYH39" s="899"/>
      <c r="KYI39" s="899"/>
      <c r="KYJ39" s="899"/>
      <c r="KYK39" s="899"/>
      <c r="KYL39" s="899"/>
      <c r="KYM39" s="899"/>
      <c r="KYN39" s="899"/>
      <c r="KYO39" s="899"/>
      <c r="KYP39" s="899"/>
      <c r="KYQ39" s="899"/>
      <c r="KYR39" s="899"/>
      <c r="KYS39" s="899"/>
      <c r="KYT39" s="899"/>
      <c r="KYU39" s="899"/>
      <c r="KYV39" s="899"/>
      <c r="KYW39" s="899"/>
      <c r="KYX39" s="899"/>
      <c r="KYY39" s="899"/>
      <c r="KYZ39" s="899"/>
      <c r="KZA39" s="899"/>
      <c r="KZB39" s="899"/>
      <c r="KZC39" s="899"/>
      <c r="KZD39" s="899"/>
      <c r="KZE39" s="899"/>
      <c r="KZF39" s="899"/>
      <c r="KZG39" s="899"/>
      <c r="KZH39" s="899"/>
      <c r="KZI39" s="899"/>
      <c r="KZJ39" s="899"/>
      <c r="KZK39" s="899"/>
      <c r="KZL39" s="899"/>
      <c r="KZM39" s="899"/>
      <c r="KZN39" s="899"/>
      <c r="KZO39" s="899"/>
      <c r="KZP39" s="899"/>
      <c r="KZQ39" s="899"/>
      <c r="KZR39" s="899"/>
      <c r="KZS39" s="899"/>
      <c r="KZT39" s="899"/>
      <c r="KZU39" s="899"/>
      <c r="KZV39" s="899"/>
      <c r="KZW39" s="899"/>
      <c r="KZX39" s="899"/>
      <c r="KZY39" s="899"/>
      <c r="KZZ39" s="899"/>
      <c r="LAA39" s="899"/>
      <c r="LAB39" s="899"/>
      <c r="LAC39" s="899"/>
      <c r="LAD39" s="899"/>
      <c r="LAE39" s="899"/>
      <c r="LAF39" s="899"/>
      <c r="LAG39" s="899"/>
      <c r="LAH39" s="899"/>
      <c r="LAI39" s="899"/>
      <c r="LAJ39" s="899"/>
      <c r="LAK39" s="899"/>
      <c r="LAL39" s="899"/>
      <c r="LAM39" s="899"/>
      <c r="LAN39" s="899"/>
      <c r="LAO39" s="899"/>
      <c r="LAP39" s="899"/>
      <c r="LAQ39" s="899"/>
      <c r="LAR39" s="899"/>
      <c r="LAS39" s="899"/>
      <c r="LAT39" s="899"/>
      <c r="LAU39" s="899"/>
      <c r="LAV39" s="899"/>
      <c r="LAW39" s="899"/>
      <c r="LAX39" s="899"/>
      <c r="LAY39" s="899"/>
      <c r="LAZ39" s="899"/>
      <c r="LBA39" s="899"/>
      <c r="LBB39" s="899"/>
      <c r="LBC39" s="899"/>
      <c r="LBD39" s="899"/>
      <c r="LBE39" s="899"/>
      <c r="LBF39" s="899"/>
      <c r="LBG39" s="899"/>
      <c r="LBH39" s="899"/>
      <c r="LBI39" s="899"/>
      <c r="LBJ39" s="899"/>
      <c r="LBK39" s="899"/>
      <c r="LBL39" s="899"/>
      <c r="LBM39" s="899"/>
      <c r="LBN39" s="899"/>
      <c r="LBO39" s="899"/>
      <c r="LBP39" s="899"/>
      <c r="LBQ39" s="899"/>
      <c r="LBR39" s="899"/>
      <c r="LBS39" s="899"/>
      <c r="LBT39" s="899"/>
      <c r="LBU39" s="899"/>
      <c r="LBV39" s="899"/>
      <c r="LBW39" s="899"/>
      <c r="LBX39" s="899"/>
      <c r="LBY39" s="899"/>
      <c r="LBZ39" s="899"/>
      <c r="LCA39" s="899"/>
      <c r="LCB39" s="899"/>
      <c r="LCC39" s="899"/>
      <c r="LCD39" s="899"/>
      <c r="LCE39" s="899"/>
      <c r="LCF39" s="899"/>
      <c r="LCG39" s="899"/>
      <c r="LCH39" s="899"/>
      <c r="LCI39" s="899"/>
      <c r="LCJ39" s="899"/>
      <c r="LCK39" s="899"/>
      <c r="LCL39" s="899"/>
      <c r="LCM39" s="899"/>
      <c r="LCN39" s="899"/>
      <c r="LCO39" s="899"/>
      <c r="LCP39" s="899"/>
      <c r="LCQ39" s="899"/>
      <c r="LCR39" s="899"/>
      <c r="LCS39" s="899"/>
      <c r="LCT39" s="899"/>
      <c r="LCU39" s="899"/>
      <c r="LCV39" s="899"/>
      <c r="LCW39" s="899"/>
      <c r="LCX39" s="899"/>
      <c r="LCY39" s="899"/>
      <c r="LCZ39" s="899"/>
      <c r="LDA39" s="899"/>
      <c r="LDB39" s="899"/>
      <c r="LDC39" s="899"/>
      <c r="LDD39" s="899"/>
      <c r="LDE39" s="899"/>
      <c r="LDF39" s="899"/>
      <c r="LDG39" s="899"/>
      <c r="LDH39" s="899"/>
      <c r="LDI39" s="899"/>
      <c r="LDJ39" s="899"/>
      <c r="LDK39" s="899"/>
      <c r="LDL39" s="899"/>
      <c r="LDM39" s="899"/>
      <c r="LDN39" s="899"/>
      <c r="LDO39" s="899"/>
      <c r="LDP39" s="899"/>
      <c r="LDQ39" s="899"/>
      <c r="LDR39" s="899"/>
      <c r="LDS39" s="899"/>
      <c r="LDT39" s="899"/>
      <c r="LDU39" s="899"/>
      <c r="LDV39" s="899"/>
      <c r="LDW39" s="899"/>
      <c r="LDX39" s="899"/>
      <c r="LDY39" s="899"/>
      <c r="LDZ39" s="899"/>
      <c r="LEA39" s="899"/>
      <c r="LEB39" s="899"/>
      <c r="LEC39" s="899"/>
      <c r="LED39" s="899"/>
      <c r="LEE39" s="899"/>
      <c r="LEF39" s="899"/>
      <c r="LEG39" s="899"/>
      <c r="LEH39" s="899"/>
      <c r="LEI39" s="899"/>
      <c r="LEJ39" s="899"/>
      <c r="LEK39" s="899"/>
      <c r="LEL39" s="899"/>
      <c r="LEM39" s="899"/>
      <c r="LEN39" s="899"/>
      <c r="LEO39" s="899"/>
      <c r="LEP39" s="899"/>
      <c r="LEQ39" s="899"/>
      <c r="LER39" s="899"/>
      <c r="LES39" s="899"/>
      <c r="LET39" s="899"/>
      <c r="LEU39" s="899"/>
      <c r="LEV39" s="899"/>
      <c r="LEW39" s="899"/>
      <c r="LEX39" s="899"/>
      <c r="LEY39" s="899"/>
      <c r="LEZ39" s="899"/>
      <c r="LFA39" s="899"/>
      <c r="LFB39" s="899"/>
      <c r="LFC39" s="899"/>
      <c r="LFD39" s="899"/>
      <c r="LFE39" s="899"/>
      <c r="LFF39" s="899"/>
      <c r="LFG39" s="899"/>
      <c r="LFH39" s="899"/>
      <c r="LFI39" s="899"/>
      <c r="LFJ39" s="899"/>
      <c r="LFK39" s="899"/>
      <c r="LFL39" s="899"/>
      <c r="LFM39" s="899"/>
      <c r="LFN39" s="899"/>
      <c r="LFO39" s="899"/>
      <c r="LFP39" s="899"/>
      <c r="LFQ39" s="899"/>
      <c r="LFR39" s="899"/>
      <c r="LFS39" s="899"/>
      <c r="LFT39" s="899"/>
      <c r="LFU39" s="899"/>
      <c r="LFV39" s="899"/>
      <c r="LFW39" s="899"/>
      <c r="LFX39" s="899"/>
      <c r="LFY39" s="899"/>
      <c r="LFZ39" s="899"/>
      <c r="LGA39" s="899"/>
      <c r="LGB39" s="899"/>
      <c r="LGC39" s="899"/>
      <c r="LGD39" s="899"/>
      <c r="LGE39" s="899"/>
      <c r="LGF39" s="899"/>
      <c r="LGG39" s="899"/>
      <c r="LGH39" s="899"/>
      <c r="LGI39" s="899"/>
      <c r="LGJ39" s="899"/>
      <c r="LGK39" s="899"/>
      <c r="LGL39" s="899"/>
      <c r="LGM39" s="899"/>
      <c r="LGN39" s="899"/>
      <c r="LGO39" s="899"/>
      <c r="LGP39" s="899"/>
      <c r="LGQ39" s="899"/>
      <c r="LGR39" s="899"/>
      <c r="LGS39" s="899"/>
      <c r="LGT39" s="899"/>
      <c r="LGU39" s="899"/>
      <c r="LGV39" s="899"/>
      <c r="LGW39" s="899"/>
      <c r="LGX39" s="899"/>
      <c r="LGY39" s="899"/>
      <c r="LGZ39" s="899"/>
      <c r="LHA39" s="899"/>
      <c r="LHB39" s="899"/>
      <c r="LHC39" s="899"/>
      <c r="LHD39" s="899"/>
      <c r="LHE39" s="899"/>
      <c r="LHF39" s="899"/>
      <c r="LHG39" s="899"/>
      <c r="LHH39" s="899"/>
      <c r="LHI39" s="899"/>
      <c r="LHJ39" s="899"/>
      <c r="LHK39" s="899"/>
      <c r="LHL39" s="899"/>
      <c r="LHM39" s="899"/>
      <c r="LHN39" s="899"/>
      <c r="LHO39" s="899"/>
      <c r="LHP39" s="899"/>
      <c r="LHQ39" s="899"/>
      <c r="LHR39" s="899"/>
      <c r="LHS39" s="899"/>
      <c r="LHT39" s="899"/>
      <c r="LHU39" s="899"/>
      <c r="LHV39" s="899"/>
      <c r="LHW39" s="899"/>
      <c r="LHX39" s="899"/>
      <c r="LHY39" s="899"/>
      <c r="LHZ39" s="899"/>
      <c r="LIA39" s="899"/>
      <c r="LIB39" s="899"/>
      <c r="LIC39" s="899"/>
      <c r="LID39" s="899"/>
      <c r="LIE39" s="899"/>
      <c r="LIF39" s="899"/>
      <c r="LIG39" s="899"/>
      <c r="LIH39" s="899"/>
      <c r="LII39" s="899"/>
      <c r="LIJ39" s="899"/>
      <c r="LIK39" s="899"/>
      <c r="LIL39" s="899"/>
      <c r="LIM39" s="899"/>
      <c r="LIN39" s="899"/>
      <c r="LIO39" s="899"/>
      <c r="LIP39" s="899"/>
      <c r="LIQ39" s="899"/>
      <c r="LIR39" s="899"/>
      <c r="LIS39" s="899"/>
      <c r="LIT39" s="899"/>
      <c r="LIU39" s="899"/>
      <c r="LIV39" s="899"/>
      <c r="LIW39" s="899"/>
      <c r="LIX39" s="899"/>
      <c r="LIY39" s="899"/>
      <c r="LIZ39" s="899"/>
      <c r="LJA39" s="899"/>
      <c r="LJB39" s="899"/>
      <c r="LJC39" s="899"/>
      <c r="LJD39" s="899"/>
      <c r="LJE39" s="899"/>
      <c r="LJF39" s="899"/>
      <c r="LJG39" s="899"/>
      <c r="LJH39" s="899"/>
      <c r="LJI39" s="899"/>
      <c r="LJJ39" s="899"/>
      <c r="LJK39" s="899"/>
      <c r="LJL39" s="899"/>
      <c r="LJM39" s="899"/>
      <c r="LJN39" s="899"/>
      <c r="LJO39" s="899"/>
      <c r="LJP39" s="899"/>
      <c r="LJQ39" s="899"/>
      <c r="LJR39" s="899"/>
      <c r="LJS39" s="899"/>
      <c r="LJT39" s="899"/>
      <c r="LJU39" s="899"/>
      <c r="LJV39" s="899"/>
      <c r="LJW39" s="899"/>
      <c r="LJX39" s="899"/>
      <c r="LJY39" s="899"/>
      <c r="LJZ39" s="899"/>
      <c r="LKA39" s="899"/>
      <c r="LKB39" s="899"/>
      <c r="LKC39" s="899"/>
      <c r="LKD39" s="899"/>
      <c r="LKE39" s="899"/>
      <c r="LKF39" s="899"/>
      <c r="LKG39" s="899"/>
      <c r="LKH39" s="899"/>
      <c r="LKI39" s="899"/>
      <c r="LKJ39" s="899"/>
      <c r="LKK39" s="899"/>
      <c r="LKL39" s="899"/>
      <c r="LKM39" s="899"/>
      <c r="LKN39" s="899"/>
      <c r="LKO39" s="899"/>
      <c r="LKP39" s="899"/>
      <c r="LKQ39" s="899"/>
      <c r="LKR39" s="899"/>
      <c r="LKS39" s="899"/>
      <c r="LKT39" s="899"/>
      <c r="LKU39" s="899"/>
      <c r="LKV39" s="899"/>
      <c r="LKW39" s="899"/>
      <c r="LKX39" s="899"/>
      <c r="LKY39" s="899"/>
      <c r="LKZ39" s="899"/>
      <c r="LLA39" s="899"/>
      <c r="LLB39" s="899"/>
      <c r="LLC39" s="899"/>
      <c r="LLD39" s="899"/>
      <c r="LLE39" s="899"/>
      <c r="LLF39" s="899"/>
      <c r="LLG39" s="899"/>
      <c r="LLH39" s="899"/>
      <c r="LLI39" s="899"/>
      <c r="LLJ39" s="899"/>
      <c r="LLK39" s="899"/>
      <c r="LLL39" s="899"/>
      <c r="LLM39" s="899"/>
      <c r="LLN39" s="899"/>
      <c r="LLO39" s="899"/>
      <c r="LLP39" s="899"/>
      <c r="LLQ39" s="899"/>
      <c r="LLR39" s="899"/>
      <c r="LLS39" s="899"/>
      <c r="LLT39" s="899"/>
      <c r="LLU39" s="899"/>
      <c r="LLV39" s="899"/>
      <c r="LLW39" s="899"/>
      <c r="LLX39" s="899"/>
      <c r="LLY39" s="899"/>
      <c r="LLZ39" s="899"/>
      <c r="LMA39" s="899"/>
      <c r="LMB39" s="899"/>
      <c r="LMC39" s="899"/>
      <c r="LMD39" s="899"/>
      <c r="LME39" s="899"/>
      <c r="LMF39" s="899"/>
      <c r="LMG39" s="899"/>
      <c r="LMH39" s="899"/>
      <c r="LMI39" s="899"/>
      <c r="LMJ39" s="899"/>
      <c r="LMK39" s="899"/>
      <c r="LML39" s="899"/>
      <c r="LMM39" s="899"/>
      <c r="LMN39" s="899"/>
      <c r="LMO39" s="899"/>
      <c r="LMP39" s="899"/>
      <c r="LMQ39" s="899"/>
      <c r="LMR39" s="899"/>
      <c r="LMS39" s="899"/>
      <c r="LMT39" s="899"/>
      <c r="LMU39" s="899"/>
      <c r="LMV39" s="899"/>
      <c r="LMW39" s="899"/>
      <c r="LMX39" s="899"/>
      <c r="LMY39" s="899"/>
      <c r="LMZ39" s="899"/>
      <c r="LNA39" s="899"/>
      <c r="LNB39" s="899"/>
      <c r="LNC39" s="899"/>
      <c r="LND39" s="899"/>
      <c r="LNE39" s="899"/>
      <c r="LNF39" s="899"/>
      <c r="LNG39" s="899"/>
      <c r="LNH39" s="899"/>
      <c r="LNI39" s="899"/>
      <c r="LNJ39" s="899"/>
      <c r="LNK39" s="899"/>
      <c r="LNL39" s="899"/>
      <c r="LNM39" s="899"/>
      <c r="LNN39" s="899"/>
      <c r="LNO39" s="899"/>
      <c r="LNP39" s="899"/>
      <c r="LNQ39" s="899"/>
      <c r="LNR39" s="899"/>
      <c r="LNS39" s="899"/>
      <c r="LNT39" s="899"/>
      <c r="LNU39" s="899"/>
      <c r="LNV39" s="899"/>
      <c r="LNW39" s="899"/>
      <c r="LNX39" s="899"/>
      <c r="LNY39" s="899"/>
      <c r="LNZ39" s="899"/>
      <c r="LOA39" s="899"/>
      <c r="LOB39" s="899"/>
      <c r="LOC39" s="899"/>
      <c r="LOD39" s="899"/>
      <c r="LOE39" s="899"/>
      <c r="LOF39" s="899"/>
      <c r="LOG39" s="899"/>
      <c r="LOH39" s="899"/>
      <c r="LOI39" s="899"/>
      <c r="LOJ39" s="899"/>
      <c r="LOK39" s="899"/>
      <c r="LOL39" s="899"/>
      <c r="LOM39" s="899"/>
      <c r="LON39" s="899"/>
      <c r="LOO39" s="899"/>
      <c r="LOP39" s="899"/>
      <c r="LOQ39" s="899"/>
      <c r="LOR39" s="899"/>
      <c r="LOS39" s="899"/>
      <c r="LOT39" s="899"/>
      <c r="LOU39" s="899"/>
      <c r="LOV39" s="899"/>
      <c r="LOW39" s="899"/>
      <c r="LOX39" s="899"/>
      <c r="LOY39" s="899"/>
      <c r="LOZ39" s="899"/>
      <c r="LPA39" s="899"/>
      <c r="LPB39" s="899"/>
      <c r="LPC39" s="899"/>
      <c r="LPD39" s="899"/>
      <c r="LPE39" s="899"/>
      <c r="LPF39" s="899"/>
      <c r="LPG39" s="899"/>
      <c r="LPH39" s="899"/>
      <c r="LPI39" s="899"/>
      <c r="LPJ39" s="899"/>
      <c r="LPK39" s="899"/>
      <c r="LPL39" s="899"/>
      <c r="LPM39" s="899"/>
      <c r="LPN39" s="899"/>
      <c r="LPO39" s="899"/>
      <c r="LPP39" s="899"/>
      <c r="LPQ39" s="899"/>
      <c r="LPR39" s="899"/>
      <c r="LPS39" s="899"/>
      <c r="LPT39" s="899"/>
      <c r="LPU39" s="899"/>
      <c r="LPV39" s="899"/>
      <c r="LPW39" s="899"/>
      <c r="LPX39" s="899"/>
      <c r="LPY39" s="899"/>
      <c r="LPZ39" s="899"/>
      <c r="LQA39" s="899"/>
      <c r="LQB39" s="899"/>
      <c r="LQC39" s="899"/>
      <c r="LQD39" s="899"/>
      <c r="LQE39" s="899"/>
      <c r="LQF39" s="899"/>
      <c r="LQG39" s="899"/>
      <c r="LQH39" s="899"/>
      <c r="LQI39" s="899"/>
      <c r="LQJ39" s="899"/>
      <c r="LQK39" s="899"/>
      <c r="LQL39" s="899"/>
      <c r="LQM39" s="899"/>
      <c r="LQN39" s="899"/>
      <c r="LQO39" s="899"/>
      <c r="LQP39" s="899"/>
      <c r="LQQ39" s="899"/>
      <c r="LQR39" s="899"/>
      <c r="LQS39" s="899"/>
      <c r="LQT39" s="899"/>
      <c r="LQU39" s="899"/>
      <c r="LQV39" s="899"/>
      <c r="LQW39" s="899"/>
      <c r="LQX39" s="899"/>
      <c r="LQY39" s="899"/>
      <c r="LQZ39" s="899"/>
      <c r="LRA39" s="899"/>
      <c r="LRB39" s="899"/>
      <c r="LRC39" s="899"/>
      <c r="LRD39" s="899"/>
      <c r="LRE39" s="899"/>
      <c r="LRF39" s="899"/>
      <c r="LRG39" s="899"/>
      <c r="LRH39" s="899"/>
      <c r="LRI39" s="899"/>
      <c r="LRJ39" s="899"/>
      <c r="LRK39" s="899"/>
      <c r="LRL39" s="899"/>
      <c r="LRM39" s="899"/>
      <c r="LRN39" s="899"/>
      <c r="LRO39" s="899"/>
      <c r="LRP39" s="899"/>
      <c r="LRQ39" s="899"/>
      <c r="LRR39" s="899"/>
      <c r="LRS39" s="899"/>
      <c r="LRT39" s="899"/>
      <c r="LRU39" s="899"/>
      <c r="LRV39" s="899"/>
      <c r="LRW39" s="899"/>
      <c r="LRX39" s="899"/>
      <c r="LRY39" s="899"/>
      <c r="LRZ39" s="899"/>
      <c r="LSA39" s="899"/>
      <c r="LSB39" s="899"/>
      <c r="LSC39" s="899"/>
      <c r="LSD39" s="899"/>
      <c r="LSE39" s="899"/>
      <c r="LSF39" s="899"/>
      <c r="LSG39" s="899"/>
      <c r="LSH39" s="899"/>
      <c r="LSI39" s="899"/>
      <c r="LSJ39" s="899"/>
      <c r="LSK39" s="899"/>
      <c r="LSL39" s="899"/>
      <c r="LSM39" s="899"/>
      <c r="LSN39" s="899"/>
      <c r="LSO39" s="899"/>
      <c r="LSP39" s="899"/>
      <c r="LSQ39" s="899"/>
      <c r="LSR39" s="899"/>
      <c r="LSS39" s="899"/>
      <c r="LST39" s="899"/>
      <c r="LSU39" s="899"/>
      <c r="LSV39" s="899"/>
      <c r="LSW39" s="899"/>
      <c r="LSX39" s="899"/>
      <c r="LSY39" s="899"/>
      <c r="LSZ39" s="899"/>
      <c r="LTA39" s="899"/>
      <c r="LTB39" s="899"/>
      <c r="LTC39" s="899"/>
      <c r="LTD39" s="899"/>
      <c r="LTE39" s="899"/>
      <c r="LTF39" s="899"/>
      <c r="LTG39" s="899"/>
      <c r="LTH39" s="899"/>
      <c r="LTI39" s="899"/>
      <c r="LTJ39" s="899"/>
      <c r="LTK39" s="899"/>
      <c r="LTL39" s="899"/>
      <c r="LTM39" s="899"/>
      <c r="LTN39" s="899"/>
      <c r="LTO39" s="899"/>
      <c r="LTP39" s="899"/>
      <c r="LTQ39" s="899"/>
      <c r="LTR39" s="899"/>
      <c r="LTS39" s="899"/>
      <c r="LTT39" s="899"/>
      <c r="LTU39" s="899"/>
      <c r="LTV39" s="899"/>
      <c r="LTW39" s="899"/>
      <c r="LTX39" s="899"/>
      <c r="LTY39" s="899"/>
      <c r="LTZ39" s="899"/>
      <c r="LUA39" s="899"/>
      <c r="LUB39" s="899"/>
      <c r="LUC39" s="899"/>
      <c r="LUD39" s="899"/>
      <c r="LUE39" s="899"/>
      <c r="LUF39" s="899"/>
      <c r="LUG39" s="899"/>
      <c r="LUH39" s="899"/>
      <c r="LUI39" s="899"/>
      <c r="LUJ39" s="899"/>
      <c r="LUK39" s="899"/>
      <c r="LUL39" s="899"/>
      <c r="LUM39" s="899"/>
      <c r="LUN39" s="899"/>
      <c r="LUO39" s="899"/>
      <c r="LUP39" s="899"/>
      <c r="LUQ39" s="899"/>
      <c r="LUR39" s="899"/>
      <c r="LUS39" s="899"/>
      <c r="LUT39" s="899"/>
      <c r="LUU39" s="899"/>
      <c r="LUV39" s="899"/>
      <c r="LUW39" s="899"/>
      <c r="LUX39" s="899"/>
      <c r="LUY39" s="899"/>
      <c r="LUZ39" s="899"/>
      <c r="LVA39" s="899"/>
      <c r="LVB39" s="899"/>
      <c r="LVC39" s="899"/>
      <c r="LVD39" s="899"/>
      <c r="LVE39" s="899"/>
      <c r="LVF39" s="899"/>
      <c r="LVG39" s="899"/>
      <c r="LVH39" s="899"/>
      <c r="LVI39" s="899"/>
      <c r="LVJ39" s="899"/>
      <c r="LVK39" s="899"/>
      <c r="LVL39" s="899"/>
      <c r="LVM39" s="899"/>
      <c r="LVN39" s="899"/>
      <c r="LVO39" s="899"/>
      <c r="LVP39" s="899"/>
      <c r="LVQ39" s="899"/>
      <c r="LVR39" s="899"/>
      <c r="LVS39" s="899"/>
      <c r="LVT39" s="899"/>
      <c r="LVU39" s="899"/>
      <c r="LVV39" s="899"/>
      <c r="LVW39" s="899"/>
      <c r="LVX39" s="899"/>
      <c r="LVY39" s="899"/>
      <c r="LVZ39" s="899"/>
      <c r="LWA39" s="899"/>
      <c r="LWB39" s="899"/>
      <c r="LWC39" s="899"/>
      <c r="LWD39" s="899"/>
      <c r="LWE39" s="899"/>
      <c r="LWF39" s="899"/>
      <c r="LWG39" s="899"/>
      <c r="LWH39" s="899"/>
      <c r="LWI39" s="899"/>
      <c r="LWJ39" s="899"/>
      <c r="LWK39" s="899"/>
      <c r="LWL39" s="899"/>
      <c r="LWM39" s="899"/>
      <c r="LWN39" s="899"/>
      <c r="LWO39" s="899"/>
      <c r="LWP39" s="899"/>
      <c r="LWQ39" s="899"/>
      <c r="LWR39" s="899"/>
      <c r="LWS39" s="899"/>
      <c r="LWT39" s="899"/>
      <c r="LWU39" s="899"/>
      <c r="LWV39" s="899"/>
      <c r="LWW39" s="899"/>
      <c r="LWX39" s="899"/>
      <c r="LWY39" s="899"/>
      <c r="LWZ39" s="899"/>
      <c r="LXA39" s="899"/>
      <c r="LXB39" s="899"/>
      <c r="LXC39" s="899"/>
      <c r="LXD39" s="899"/>
      <c r="LXE39" s="899"/>
      <c r="LXF39" s="899"/>
      <c r="LXG39" s="899"/>
      <c r="LXH39" s="899"/>
      <c r="LXI39" s="899"/>
      <c r="LXJ39" s="899"/>
      <c r="LXK39" s="899"/>
      <c r="LXL39" s="899"/>
      <c r="LXM39" s="899"/>
      <c r="LXN39" s="899"/>
      <c r="LXO39" s="899"/>
      <c r="LXP39" s="899"/>
      <c r="LXQ39" s="899"/>
      <c r="LXR39" s="899"/>
      <c r="LXS39" s="899"/>
      <c r="LXT39" s="899"/>
      <c r="LXU39" s="899"/>
      <c r="LXV39" s="899"/>
      <c r="LXW39" s="899"/>
      <c r="LXX39" s="899"/>
      <c r="LXY39" s="899"/>
      <c r="LXZ39" s="899"/>
      <c r="LYA39" s="899"/>
      <c r="LYB39" s="899"/>
      <c r="LYC39" s="899"/>
      <c r="LYD39" s="899"/>
      <c r="LYE39" s="899"/>
      <c r="LYF39" s="899"/>
      <c r="LYG39" s="899"/>
      <c r="LYH39" s="899"/>
      <c r="LYI39" s="899"/>
      <c r="LYJ39" s="899"/>
      <c r="LYK39" s="899"/>
      <c r="LYL39" s="899"/>
      <c r="LYM39" s="899"/>
      <c r="LYN39" s="899"/>
      <c r="LYO39" s="899"/>
      <c r="LYP39" s="899"/>
      <c r="LYQ39" s="899"/>
      <c r="LYR39" s="899"/>
      <c r="LYS39" s="899"/>
      <c r="LYT39" s="899"/>
      <c r="LYU39" s="899"/>
      <c r="LYV39" s="899"/>
      <c r="LYW39" s="899"/>
      <c r="LYX39" s="899"/>
      <c r="LYY39" s="899"/>
      <c r="LYZ39" s="899"/>
      <c r="LZA39" s="899"/>
      <c r="LZB39" s="899"/>
      <c r="LZC39" s="899"/>
      <c r="LZD39" s="899"/>
      <c r="LZE39" s="899"/>
      <c r="LZF39" s="899"/>
      <c r="LZG39" s="899"/>
      <c r="LZH39" s="899"/>
      <c r="LZI39" s="899"/>
      <c r="LZJ39" s="899"/>
      <c r="LZK39" s="899"/>
      <c r="LZL39" s="899"/>
      <c r="LZM39" s="899"/>
      <c r="LZN39" s="899"/>
      <c r="LZO39" s="899"/>
      <c r="LZP39" s="899"/>
      <c r="LZQ39" s="899"/>
      <c r="LZR39" s="899"/>
      <c r="LZS39" s="899"/>
      <c r="LZT39" s="899"/>
      <c r="LZU39" s="899"/>
      <c r="LZV39" s="899"/>
      <c r="LZW39" s="899"/>
      <c r="LZX39" s="899"/>
      <c r="LZY39" s="899"/>
      <c r="LZZ39" s="899"/>
      <c r="MAA39" s="899"/>
      <c r="MAB39" s="899"/>
      <c r="MAC39" s="899"/>
      <c r="MAD39" s="899"/>
      <c r="MAE39" s="899"/>
      <c r="MAF39" s="899"/>
      <c r="MAG39" s="899"/>
      <c r="MAH39" s="899"/>
      <c r="MAI39" s="899"/>
      <c r="MAJ39" s="899"/>
      <c r="MAK39" s="899"/>
      <c r="MAL39" s="899"/>
      <c r="MAM39" s="899"/>
      <c r="MAN39" s="899"/>
      <c r="MAO39" s="899"/>
      <c r="MAP39" s="899"/>
      <c r="MAQ39" s="899"/>
      <c r="MAR39" s="899"/>
      <c r="MAS39" s="899"/>
      <c r="MAT39" s="899"/>
      <c r="MAU39" s="899"/>
      <c r="MAV39" s="899"/>
      <c r="MAW39" s="899"/>
      <c r="MAX39" s="899"/>
      <c r="MAY39" s="899"/>
      <c r="MAZ39" s="899"/>
      <c r="MBA39" s="899"/>
      <c r="MBB39" s="899"/>
      <c r="MBC39" s="899"/>
      <c r="MBD39" s="899"/>
      <c r="MBE39" s="899"/>
      <c r="MBF39" s="899"/>
      <c r="MBG39" s="899"/>
      <c r="MBH39" s="899"/>
      <c r="MBI39" s="899"/>
      <c r="MBJ39" s="899"/>
      <c r="MBK39" s="899"/>
      <c r="MBL39" s="899"/>
      <c r="MBM39" s="899"/>
      <c r="MBN39" s="899"/>
      <c r="MBO39" s="899"/>
      <c r="MBP39" s="899"/>
      <c r="MBQ39" s="899"/>
      <c r="MBR39" s="899"/>
      <c r="MBS39" s="899"/>
      <c r="MBT39" s="899"/>
      <c r="MBU39" s="899"/>
      <c r="MBV39" s="899"/>
      <c r="MBW39" s="899"/>
      <c r="MBX39" s="899"/>
      <c r="MBY39" s="899"/>
      <c r="MBZ39" s="899"/>
      <c r="MCA39" s="899"/>
      <c r="MCB39" s="899"/>
      <c r="MCC39" s="899"/>
      <c r="MCD39" s="899"/>
      <c r="MCE39" s="899"/>
      <c r="MCF39" s="899"/>
      <c r="MCG39" s="899"/>
      <c r="MCH39" s="899"/>
      <c r="MCI39" s="899"/>
      <c r="MCJ39" s="899"/>
      <c r="MCK39" s="899"/>
      <c r="MCL39" s="899"/>
      <c r="MCM39" s="899"/>
      <c r="MCN39" s="899"/>
      <c r="MCO39" s="899"/>
      <c r="MCP39" s="899"/>
      <c r="MCQ39" s="899"/>
      <c r="MCR39" s="899"/>
      <c r="MCS39" s="899"/>
      <c r="MCT39" s="899"/>
      <c r="MCU39" s="899"/>
      <c r="MCV39" s="899"/>
      <c r="MCW39" s="899"/>
      <c r="MCX39" s="899"/>
      <c r="MCY39" s="899"/>
      <c r="MCZ39" s="899"/>
      <c r="MDA39" s="899"/>
      <c r="MDB39" s="899"/>
      <c r="MDC39" s="899"/>
      <c r="MDD39" s="899"/>
      <c r="MDE39" s="899"/>
      <c r="MDF39" s="899"/>
      <c r="MDG39" s="899"/>
      <c r="MDH39" s="899"/>
      <c r="MDI39" s="899"/>
      <c r="MDJ39" s="899"/>
      <c r="MDK39" s="899"/>
      <c r="MDL39" s="899"/>
      <c r="MDM39" s="899"/>
      <c r="MDN39" s="899"/>
      <c r="MDO39" s="899"/>
      <c r="MDP39" s="899"/>
      <c r="MDQ39" s="899"/>
      <c r="MDR39" s="899"/>
      <c r="MDS39" s="899"/>
      <c r="MDT39" s="899"/>
      <c r="MDU39" s="899"/>
      <c r="MDV39" s="899"/>
      <c r="MDW39" s="899"/>
      <c r="MDX39" s="899"/>
      <c r="MDY39" s="899"/>
      <c r="MDZ39" s="899"/>
      <c r="MEA39" s="899"/>
      <c r="MEB39" s="899"/>
      <c r="MEC39" s="899"/>
      <c r="MED39" s="899"/>
      <c r="MEE39" s="899"/>
      <c r="MEF39" s="899"/>
      <c r="MEG39" s="899"/>
      <c r="MEH39" s="899"/>
      <c r="MEI39" s="899"/>
      <c r="MEJ39" s="899"/>
      <c r="MEK39" s="899"/>
      <c r="MEL39" s="899"/>
      <c r="MEM39" s="899"/>
      <c r="MEN39" s="899"/>
      <c r="MEO39" s="899"/>
      <c r="MEP39" s="899"/>
      <c r="MEQ39" s="899"/>
      <c r="MER39" s="899"/>
      <c r="MES39" s="899"/>
      <c r="MET39" s="899"/>
      <c r="MEU39" s="899"/>
      <c r="MEV39" s="899"/>
      <c r="MEW39" s="899"/>
      <c r="MEX39" s="899"/>
      <c r="MEY39" s="899"/>
      <c r="MEZ39" s="899"/>
      <c r="MFA39" s="899"/>
      <c r="MFB39" s="899"/>
      <c r="MFC39" s="899"/>
      <c r="MFD39" s="899"/>
      <c r="MFE39" s="899"/>
      <c r="MFF39" s="899"/>
      <c r="MFG39" s="899"/>
      <c r="MFH39" s="899"/>
      <c r="MFI39" s="899"/>
      <c r="MFJ39" s="899"/>
      <c r="MFK39" s="899"/>
      <c r="MFL39" s="899"/>
      <c r="MFM39" s="899"/>
      <c r="MFN39" s="899"/>
      <c r="MFO39" s="899"/>
      <c r="MFP39" s="899"/>
      <c r="MFQ39" s="899"/>
      <c r="MFR39" s="899"/>
      <c r="MFS39" s="899"/>
      <c r="MFT39" s="899"/>
      <c r="MFU39" s="899"/>
      <c r="MFV39" s="899"/>
      <c r="MFW39" s="899"/>
      <c r="MFX39" s="899"/>
      <c r="MFY39" s="899"/>
      <c r="MFZ39" s="899"/>
      <c r="MGA39" s="899"/>
      <c r="MGB39" s="899"/>
      <c r="MGC39" s="899"/>
      <c r="MGD39" s="899"/>
      <c r="MGE39" s="899"/>
      <c r="MGF39" s="899"/>
      <c r="MGG39" s="899"/>
      <c r="MGH39" s="899"/>
      <c r="MGI39" s="899"/>
      <c r="MGJ39" s="899"/>
      <c r="MGK39" s="899"/>
      <c r="MGL39" s="899"/>
      <c r="MGM39" s="899"/>
      <c r="MGN39" s="899"/>
      <c r="MGO39" s="899"/>
      <c r="MGP39" s="899"/>
      <c r="MGQ39" s="899"/>
      <c r="MGR39" s="899"/>
      <c r="MGS39" s="899"/>
      <c r="MGT39" s="899"/>
      <c r="MGU39" s="899"/>
      <c r="MGV39" s="899"/>
      <c r="MGW39" s="899"/>
      <c r="MGX39" s="899"/>
      <c r="MGY39" s="899"/>
      <c r="MGZ39" s="899"/>
      <c r="MHA39" s="899"/>
      <c r="MHB39" s="899"/>
      <c r="MHC39" s="899"/>
      <c r="MHD39" s="899"/>
      <c r="MHE39" s="899"/>
      <c r="MHF39" s="899"/>
      <c r="MHG39" s="899"/>
      <c r="MHH39" s="899"/>
      <c r="MHI39" s="899"/>
      <c r="MHJ39" s="899"/>
      <c r="MHK39" s="899"/>
      <c r="MHL39" s="899"/>
      <c r="MHM39" s="899"/>
      <c r="MHN39" s="899"/>
      <c r="MHO39" s="899"/>
      <c r="MHP39" s="899"/>
      <c r="MHQ39" s="899"/>
      <c r="MHR39" s="899"/>
      <c r="MHS39" s="899"/>
      <c r="MHT39" s="899"/>
      <c r="MHU39" s="899"/>
      <c r="MHV39" s="899"/>
      <c r="MHW39" s="899"/>
      <c r="MHX39" s="899"/>
      <c r="MHY39" s="899"/>
      <c r="MHZ39" s="899"/>
      <c r="MIA39" s="899"/>
      <c r="MIB39" s="899"/>
      <c r="MIC39" s="899"/>
      <c r="MID39" s="899"/>
      <c r="MIE39" s="899"/>
      <c r="MIF39" s="899"/>
      <c r="MIG39" s="899"/>
      <c r="MIH39" s="899"/>
      <c r="MII39" s="899"/>
      <c r="MIJ39" s="899"/>
      <c r="MIK39" s="899"/>
      <c r="MIL39" s="899"/>
      <c r="MIM39" s="899"/>
      <c r="MIN39" s="899"/>
      <c r="MIO39" s="899"/>
      <c r="MIP39" s="899"/>
      <c r="MIQ39" s="899"/>
      <c r="MIR39" s="899"/>
      <c r="MIS39" s="899"/>
      <c r="MIT39" s="899"/>
      <c r="MIU39" s="899"/>
      <c r="MIV39" s="899"/>
      <c r="MIW39" s="899"/>
      <c r="MIX39" s="899"/>
      <c r="MIY39" s="899"/>
      <c r="MIZ39" s="899"/>
      <c r="MJA39" s="899"/>
      <c r="MJB39" s="899"/>
      <c r="MJC39" s="899"/>
      <c r="MJD39" s="899"/>
      <c r="MJE39" s="899"/>
      <c r="MJF39" s="899"/>
      <c r="MJG39" s="899"/>
      <c r="MJH39" s="899"/>
      <c r="MJI39" s="899"/>
      <c r="MJJ39" s="899"/>
      <c r="MJK39" s="899"/>
      <c r="MJL39" s="899"/>
      <c r="MJM39" s="899"/>
      <c r="MJN39" s="899"/>
      <c r="MJO39" s="899"/>
      <c r="MJP39" s="899"/>
      <c r="MJQ39" s="899"/>
      <c r="MJR39" s="899"/>
      <c r="MJS39" s="899"/>
      <c r="MJT39" s="899"/>
      <c r="MJU39" s="899"/>
      <c r="MJV39" s="899"/>
      <c r="MJW39" s="899"/>
      <c r="MJX39" s="899"/>
      <c r="MJY39" s="899"/>
      <c r="MJZ39" s="899"/>
      <c r="MKA39" s="899"/>
      <c r="MKB39" s="899"/>
      <c r="MKC39" s="899"/>
      <c r="MKD39" s="899"/>
      <c r="MKE39" s="899"/>
      <c r="MKF39" s="899"/>
      <c r="MKG39" s="899"/>
      <c r="MKH39" s="899"/>
      <c r="MKI39" s="899"/>
      <c r="MKJ39" s="899"/>
      <c r="MKK39" s="899"/>
      <c r="MKL39" s="899"/>
      <c r="MKM39" s="899"/>
      <c r="MKN39" s="899"/>
      <c r="MKO39" s="899"/>
      <c r="MKP39" s="899"/>
      <c r="MKQ39" s="899"/>
      <c r="MKR39" s="899"/>
      <c r="MKS39" s="899"/>
      <c r="MKT39" s="899"/>
      <c r="MKU39" s="899"/>
      <c r="MKV39" s="899"/>
      <c r="MKW39" s="899"/>
      <c r="MKX39" s="899"/>
      <c r="MKY39" s="899"/>
      <c r="MKZ39" s="899"/>
      <c r="MLA39" s="899"/>
      <c r="MLB39" s="899"/>
      <c r="MLC39" s="899"/>
      <c r="MLD39" s="899"/>
      <c r="MLE39" s="899"/>
      <c r="MLF39" s="899"/>
      <c r="MLG39" s="899"/>
      <c r="MLH39" s="899"/>
      <c r="MLI39" s="899"/>
      <c r="MLJ39" s="899"/>
      <c r="MLK39" s="899"/>
      <c r="MLL39" s="899"/>
      <c r="MLM39" s="899"/>
      <c r="MLN39" s="899"/>
      <c r="MLO39" s="899"/>
      <c r="MLP39" s="899"/>
      <c r="MLQ39" s="899"/>
      <c r="MLR39" s="899"/>
      <c r="MLS39" s="899"/>
      <c r="MLT39" s="899"/>
      <c r="MLU39" s="899"/>
      <c r="MLV39" s="899"/>
      <c r="MLW39" s="899"/>
      <c r="MLX39" s="899"/>
      <c r="MLY39" s="899"/>
      <c r="MLZ39" s="899"/>
      <c r="MMA39" s="899"/>
      <c r="MMB39" s="899"/>
      <c r="MMC39" s="899"/>
      <c r="MMD39" s="899"/>
      <c r="MME39" s="899"/>
      <c r="MMF39" s="899"/>
      <c r="MMG39" s="899"/>
      <c r="MMH39" s="899"/>
      <c r="MMI39" s="899"/>
      <c r="MMJ39" s="899"/>
      <c r="MMK39" s="899"/>
      <c r="MML39" s="899"/>
      <c r="MMM39" s="899"/>
      <c r="MMN39" s="899"/>
      <c r="MMO39" s="899"/>
      <c r="MMP39" s="899"/>
      <c r="MMQ39" s="899"/>
      <c r="MMR39" s="899"/>
      <c r="MMS39" s="899"/>
      <c r="MMT39" s="899"/>
      <c r="MMU39" s="899"/>
      <c r="MMV39" s="899"/>
      <c r="MMW39" s="899"/>
      <c r="MMX39" s="899"/>
      <c r="MMY39" s="899"/>
      <c r="MMZ39" s="899"/>
      <c r="MNA39" s="899"/>
      <c r="MNB39" s="899"/>
      <c r="MNC39" s="899"/>
      <c r="MND39" s="899"/>
      <c r="MNE39" s="899"/>
      <c r="MNF39" s="899"/>
      <c r="MNG39" s="899"/>
      <c r="MNH39" s="899"/>
      <c r="MNI39" s="899"/>
      <c r="MNJ39" s="899"/>
      <c r="MNK39" s="899"/>
      <c r="MNL39" s="899"/>
      <c r="MNM39" s="899"/>
      <c r="MNN39" s="899"/>
      <c r="MNO39" s="899"/>
      <c r="MNP39" s="899"/>
      <c r="MNQ39" s="899"/>
      <c r="MNR39" s="899"/>
      <c r="MNS39" s="899"/>
      <c r="MNT39" s="899"/>
      <c r="MNU39" s="899"/>
      <c r="MNV39" s="899"/>
      <c r="MNW39" s="899"/>
      <c r="MNX39" s="899"/>
      <c r="MNY39" s="899"/>
      <c r="MNZ39" s="899"/>
      <c r="MOA39" s="899"/>
      <c r="MOB39" s="899"/>
      <c r="MOC39" s="899"/>
      <c r="MOD39" s="899"/>
      <c r="MOE39" s="899"/>
      <c r="MOF39" s="899"/>
      <c r="MOG39" s="899"/>
      <c r="MOH39" s="899"/>
      <c r="MOI39" s="899"/>
      <c r="MOJ39" s="899"/>
      <c r="MOK39" s="899"/>
      <c r="MOL39" s="899"/>
      <c r="MOM39" s="899"/>
      <c r="MON39" s="899"/>
      <c r="MOO39" s="899"/>
      <c r="MOP39" s="899"/>
      <c r="MOQ39" s="899"/>
      <c r="MOR39" s="899"/>
      <c r="MOS39" s="899"/>
      <c r="MOT39" s="899"/>
      <c r="MOU39" s="899"/>
      <c r="MOV39" s="899"/>
      <c r="MOW39" s="899"/>
      <c r="MOX39" s="899"/>
      <c r="MOY39" s="899"/>
      <c r="MOZ39" s="899"/>
      <c r="MPA39" s="899"/>
      <c r="MPB39" s="899"/>
      <c r="MPC39" s="899"/>
      <c r="MPD39" s="899"/>
      <c r="MPE39" s="899"/>
      <c r="MPF39" s="899"/>
      <c r="MPG39" s="899"/>
      <c r="MPH39" s="899"/>
      <c r="MPI39" s="899"/>
      <c r="MPJ39" s="899"/>
      <c r="MPK39" s="899"/>
      <c r="MPL39" s="899"/>
      <c r="MPM39" s="899"/>
      <c r="MPN39" s="899"/>
      <c r="MPO39" s="899"/>
      <c r="MPP39" s="899"/>
      <c r="MPQ39" s="899"/>
      <c r="MPR39" s="899"/>
      <c r="MPS39" s="899"/>
      <c r="MPT39" s="899"/>
      <c r="MPU39" s="899"/>
      <c r="MPV39" s="899"/>
      <c r="MPW39" s="899"/>
      <c r="MPX39" s="899"/>
      <c r="MPY39" s="899"/>
      <c r="MPZ39" s="899"/>
      <c r="MQA39" s="899"/>
      <c r="MQB39" s="899"/>
      <c r="MQC39" s="899"/>
      <c r="MQD39" s="899"/>
      <c r="MQE39" s="899"/>
      <c r="MQF39" s="899"/>
      <c r="MQG39" s="899"/>
      <c r="MQH39" s="899"/>
      <c r="MQI39" s="899"/>
      <c r="MQJ39" s="899"/>
      <c r="MQK39" s="899"/>
      <c r="MQL39" s="899"/>
      <c r="MQM39" s="899"/>
      <c r="MQN39" s="899"/>
      <c r="MQO39" s="899"/>
      <c r="MQP39" s="899"/>
      <c r="MQQ39" s="899"/>
      <c r="MQR39" s="899"/>
      <c r="MQS39" s="899"/>
      <c r="MQT39" s="899"/>
      <c r="MQU39" s="899"/>
      <c r="MQV39" s="899"/>
      <c r="MQW39" s="899"/>
      <c r="MQX39" s="899"/>
      <c r="MQY39" s="899"/>
      <c r="MQZ39" s="899"/>
      <c r="MRA39" s="899"/>
      <c r="MRB39" s="899"/>
      <c r="MRC39" s="899"/>
      <c r="MRD39" s="899"/>
      <c r="MRE39" s="899"/>
      <c r="MRF39" s="899"/>
      <c r="MRG39" s="899"/>
      <c r="MRH39" s="899"/>
      <c r="MRI39" s="899"/>
      <c r="MRJ39" s="899"/>
      <c r="MRK39" s="899"/>
      <c r="MRL39" s="899"/>
      <c r="MRM39" s="899"/>
      <c r="MRN39" s="899"/>
      <c r="MRO39" s="899"/>
      <c r="MRP39" s="899"/>
      <c r="MRQ39" s="899"/>
      <c r="MRR39" s="899"/>
      <c r="MRS39" s="899"/>
      <c r="MRT39" s="899"/>
      <c r="MRU39" s="899"/>
      <c r="MRV39" s="899"/>
      <c r="MRW39" s="899"/>
      <c r="MRX39" s="899"/>
      <c r="MRY39" s="899"/>
      <c r="MRZ39" s="899"/>
      <c r="MSA39" s="899"/>
      <c r="MSB39" s="899"/>
      <c r="MSC39" s="899"/>
      <c r="MSD39" s="899"/>
      <c r="MSE39" s="899"/>
      <c r="MSF39" s="899"/>
      <c r="MSG39" s="899"/>
      <c r="MSH39" s="899"/>
      <c r="MSI39" s="899"/>
      <c r="MSJ39" s="899"/>
      <c r="MSK39" s="899"/>
      <c r="MSL39" s="899"/>
      <c r="MSM39" s="899"/>
      <c r="MSN39" s="899"/>
      <c r="MSO39" s="899"/>
      <c r="MSP39" s="899"/>
      <c r="MSQ39" s="899"/>
      <c r="MSR39" s="899"/>
      <c r="MSS39" s="899"/>
      <c r="MST39" s="899"/>
      <c r="MSU39" s="899"/>
      <c r="MSV39" s="899"/>
      <c r="MSW39" s="899"/>
      <c r="MSX39" s="899"/>
      <c r="MSY39" s="899"/>
      <c r="MSZ39" s="899"/>
      <c r="MTA39" s="899"/>
      <c r="MTB39" s="899"/>
      <c r="MTC39" s="899"/>
      <c r="MTD39" s="899"/>
      <c r="MTE39" s="899"/>
      <c r="MTF39" s="899"/>
      <c r="MTG39" s="899"/>
      <c r="MTH39" s="899"/>
      <c r="MTI39" s="899"/>
      <c r="MTJ39" s="899"/>
      <c r="MTK39" s="899"/>
      <c r="MTL39" s="899"/>
      <c r="MTM39" s="899"/>
      <c r="MTN39" s="899"/>
      <c r="MTO39" s="899"/>
      <c r="MTP39" s="899"/>
      <c r="MTQ39" s="899"/>
      <c r="MTR39" s="899"/>
      <c r="MTS39" s="899"/>
      <c r="MTT39" s="899"/>
      <c r="MTU39" s="899"/>
      <c r="MTV39" s="899"/>
      <c r="MTW39" s="899"/>
      <c r="MTX39" s="899"/>
      <c r="MTY39" s="899"/>
      <c r="MTZ39" s="899"/>
      <c r="MUA39" s="899"/>
      <c r="MUB39" s="899"/>
      <c r="MUC39" s="899"/>
      <c r="MUD39" s="899"/>
      <c r="MUE39" s="899"/>
      <c r="MUF39" s="899"/>
      <c r="MUG39" s="899"/>
      <c r="MUH39" s="899"/>
      <c r="MUI39" s="899"/>
      <c r="MUJ39" s="899"/>
      <c r="MUK39" s="899"/>
      <c r="MUL39" s="899"/>
      <c r="MUM39" s="899"/>
      <c r="MUN39" s="899"/>
      <c r="MUO39" s="899"/>
      <c r="MUP39" s="899"/>
      <c r="MUQ39" s="899"/>
      <c r="MUR39" s="899"/>
      <c r="MUS39" s="899"/>
      <c r="MUT39" s="899"/>
      <c r="MUU39" s="899"/>
      <c r="MUV39" s="899"/>
      <c r="MUW39" s="899"/>
      <c r="MUX39" s="899"/>
      <c r="MUY39" s="899"/>
      <c r="MUZ39" s="899"/>
      <c r="MVA39" s="899"/>
      <c r="MVB39" s="899"/>
      <c r="MVC39" s="899"/>
      <c r="MVD39" s="899"/>
      <c r="MVE39" s="899"/>
      <c r="MVF39" s="899"/>
      <c r="MVG39" s="899"/>
      <c r="MVH39" s="899"/>
      <c r="MVI39" s="899"/>
      <c r="MVJ39" s="899"/>
      <c r="MVK39" s="899"/>
      <c r="MVL39" s="899"/>
      <c r="MVM39" s="899"/>
      <c r="MVN39" s="899"/>
      <c r="MVO39" s="899"/>
      <c r="MVP39" s="899"/>
      <c r="MVQ39" s="899"/>
      <c r="MVR39" s="899"/>
      <c r="MVS39" s="899"/>
      <c r="MVT39" s="899"/>
      <c r="MVU39" s="899"/>
      <c r="MVV39" s="899"/>
      <c r="MVW39" s="899"/>
      <c r="MVX39" s="899"/>
      <c r="MVY39" s="899"/>
      <c r="MVZ39" s="899"/>
      <c r="MWA39" s="899"/>
      <c r="MWB39" s="899"/>
      <c r="MWC39" s="899"/>
      <c r="MWD39" s="899"/>
      <c r="MWE39" s="899"/>
      <c r="MWF39" s="899"/>
      <c r="MWG39" s="899"/>
      <c r="MWH39" s="899"/>
      <c r="MWI39" s="899"/>
      <c r="MWJ39" s="899"/>
      <c r="MWK39" s="899"/>
      <c r="MWL39" s="899"/>
      <c r="MWM39" s="899"/>
      <c r="MWN39" s="899"/>
      <c r="MWO39" s="899"/>
      <c r="MWP39" s="899"/>
      <c r="MWQ39" s="899"/>
      <c r="MWR39" s="899"/>
      <c r="MWS39" s="899"/>
      <c r="MWT39" s="899"/>
      <c r="MWU39" s="899"/>
      <c r="MWV39" s="899"/>
      <c r="MWW39" s="899"/>
      <c r="MWX39" s="899"/>
      <c r="MWY39" s="899"/>
      <c r="MWZ39" s="899"/>
      <c r="MXA39" s="899"/>
      <c r="MXB39" s="899"/>
      <c r="MXC39" s="899"/>
      <c r="MXD39" s="899"/>
      <c r="MXE39" s="899"/>
      <c r="MXF39" s="899"/>
      <c r="MXG39" s="899"/>
      <c r="MXH39" s="899"/>
      <c r="MXI39" s="899"/>
      <c r="MXJ39" s="899"/>
      <c r="MXK39" s="899"/>
      <c r="MXL39" s="899"/>
      <c r="MXM39" s="899"/>
      <c r="MXN39" s="899"/>
      <c r="MXO39" s="899"/>
      <c r="MXP39" s="899"/>
      <c r="MXQ39" s="899"/>
      <c r="MXR39" s="899"/>
      <c r="MXS39" s="899"/>
      <c r="MXT39" s="899"/>
      <c r="MXU39" s="899"/>
      <c r="MXV39" s="899"/>
      <c r="MXW39" s="899"/>
      <c r="MXX39" s="899"/>
      <c r="MXY39" s="899"/>
      <c r="MXZ39" s="899"/>
      <c r="MYA39" s="899"/>
      <c r="MYB39" s="899"/>
      <c r="MYC39" s="899"/>
      <c r="MYD39" s="899"/>
      <c r="MYE39" s="899"/>
      <c r="MYF39" s="899"/>
      <c r="MYG39" s="899"/>
      <c r="MYH39" s="899"/>
      <c r="MYI39" s="899"/>
      <c r="MYJ39" s="899"/>
      <c r="MYK39" s="899"/>
      <c r="MYL39" s="899"/>
      <c r="MYM39" s="899"/>
      <c r="MYN39" s="899"/>
      <c r="MYO39" s="899"/>
      <c r="MYP39" s="899"/>
      <c r="MYQ39" s="899"/>
      <c r="MYR39" s="899"/>
      <c r="MYS39" s="899"/>
      <c r="MYT39" s="899"/>
      <c r="MYU39" s="899"/>
      <c r="MYV39" s="899"/>
      <c r="MYW39" s="899"/>
      <c r="MYX39" s="899"/>
      <c r="MYY39" s="899"/>
      <c r="MYZ39" s="899"/>
      <c r="MZA39" s="899"/>
      <c r="MZB39" s="899"/>
      <c r="MZC39" s="899"/>
      <c r="MZD39" s="899"/>
      <c r="MZE39" s="899"/>
      <c r="MZF39" s="899"/>
      <c r="MZG39" s="899"/>
      <c r="MZH39" s="899"/>
      <c r="MZI39" s="899"/>
      <c r="MZJ39" s="899"/>
      <c r="MZK39" s="899"/>
      <c r="MZL39" s="899"/>
      <c r="MZM39" s="899"/>
      <c r="MZN39" s="899"/>
      <c r="MZO39" s="899"/>
      <c r="MZP39" s="899"/>
      <c r="MZQ39" s="899"/>
      <c r="MZR39" s="899"/>
      <c r="MZS39" s="899"/>
      <c r="MZT39" s="899"/>
      <c r="MZU39" s="899"/>
      <c r="MZV39" s="899"/>
      <c r="MZW39" s="899"/>
      <c r="MZX39" s="899"/>
      <c r="MZY39" s="899"/>
      <c r="MZZ39" s="899"/>
      <c r="NAA39" s="899"/>
      <c r="NAB39" s="899"/>
      <c r="NAC39" s="899"/>
      <c r="NAD39" s="899"/>
      <c r="NAE39" s="899"/>
      <c r="NAF39" s="899"/>
      <c r="NAG39" s="899"/>
      <c r="NAH39" s="899"/>
      <c r="NAI39" s="899"/>
      <c r="NAJ39" s="899"/>
      <c r="NAK39" s="899"/>
      <c r="NAL39" s="899"/>
      <c r="NAM39" s="899"/>
      <c r="NAN39" s="899"/>
      <c r="NAO39" s="899"/>
      <c r="NAP39" s="899"/>
      <c r="NAQ39" s="899"/>
      <c r="NAR39" s="899"/>
      <c r="NAS39" s="899"/>
      <c r="NAT39" s="899"/>
      <c r="NAU39" s="899"/>
      <c r="NAV39" s="899"/>
      <c r="NAW39" s="899"/>
      <c r="NAX39" s="899"/>
      <c r="NAY39" s="899"/>
      <c r="NAZ39" s="899"/>
      <c r="NBA39" s="899"/>
      <c r="NBB39" s="899"/>
      <c r="NBC39" s="899"/>
      <c r="NBD39" s="899"/>
      <c r="NBE39" s="899"/>
      <c r="NBF39" s="899"/>
      <c r="NBG39" s="899"/>
      <c r="NBH39" s="899"/>
      <c r="NBI39" s="899"/>
      <c r="NBJ39" s="899"/>
      <c r="NBK39" s="899"/>
      <c r="NBL39" s="899"/>
      <c r="NBM39" s="899"/>
      <c r="NBN39" s="899"/>
      <c r="NBO39" s="899"/>
      <c r="NBP39" s="899"/>
      <c r="NBQ39" s="899"/>
      <c r="NBR39" s="899"/>
      <c r="NBS39" s="899"/>
      <c r="NBT39" s="899"/>
      <c r="NBU39" s="899"/>
      <c r="NBV39" s="899"/>
      <c r="NBW39" s="899"/>
      <c r="NBX39" s="899"/>
      <c r="NBY39" s="899"/>
      <c r="NBZ39" s="899"/>
      <c r="NCA39" s="899"/>
      <c r="NCB39" s="899"/>
      <c r="NCC39" s="899"/>
      <c r="NCD39" s="899"/>
      <c r="NCE39" s="899"/>
      <c r="NCF39" s="899"/>
      <c r="NCG39" s="899"/>
      <c r="NCH39" s="899"/>
      <c r="NCI39" s="899"/>
      <c r="NCJ39" s="899"/>
      <c r="NCK39" s="899"/>
      <c r="NCL39" s="899"/>
      <c r="NCM39" s="899"/>
      <c r="NCN39" s="899"/>
      <c r="NCO39" s="899"/>
      <c r="NCP39" s="899"/>
      <c r="NCQ39" s="899"/>
      <c r="NCR39" s="899"/>
      <c r="NCS39" s="899"/>
      <c r="NCT39" s="899"/>
      <c r="NCU39" s="899"/>
      <c r="NCV39" s="899"/>
      <c r="NCW39" s="899"/>
      <c r="NCX39" s="899"/>
      <c r="NCY39" s="899"/>
      <c r="NCZ39" s="899"/>
      <c r="NDA39" s="899"/>
      <c r="NDB39" s="899"/>
      <c r="NDC39" s="899"/>
      <c r="NDD39" s="899"/>
      <c r="NDE39" s="899"/>
      <c r="NDF39" s="899"/>
      <c r="NDG39" s="899"/>
      <c r="NDH39" s="899"/>
      <c r="NDI39" s="899"/>
      <c r="NDJ39" s="899"/>
      <c r="NDK39" s="899"/>
      <c r="NDL39" s="899"/>
      <c r="NDM39" s="899"/>
      <c r="NDN39" s="899"/>
      <c r="NDO39" s="899"/>
      <c r="NDP39" s="899"/>
      <c r="NDQ39" s="899"/>
      <c r="NDR39" s="899"/>
      <c r="NDS39" s="899"/>
      <c r="NDT39" s="899"/>
      <c r="NDU39" s="899"/>
      <c r="NDV39" s="899"/>
      <c r="NDW39" s="899"/>
      <c r="NDX39" s="899"/>
      <c r="NDY39" s="899"/>
      <c r="NDZ39" s="899"/>
      <c r="NEA39" s="899"/>
      <c r="NEB39" s="899"/>
      <c r="NEC39" s="899"/>
      <c r="NED39" s="899"/>
      <c r="NEE39" s="899"/>
      <c r="NEF39" s="899"/>
      <c r="NEG39" s="899"/>
      <c r="NEH39" s="899"/>
      <c r="NEI39" s="899"/>
      <c r="NEJ39" s="899"/>
      <c r="NEK39" s="899"/>
      <c r="NEL39" s="899"/>
      <c r="NEM39" s="899"/>
      <c r="NEN39" s="899"/>
      <c r="NEO39" s="899"/>
      <c r="NEP39" s="899"/>
      <c r="NEQ39" s="899"/>
      <c r="NER39" s="899"/>
      <c r="NES39" s="899"/>
      <c r="NET39" s="899"/>
      <c r="NEU39" s="899"/>
      <c r="NEV39" s="899"/>
      <c r="NEW39" s="899"/>
      <c r="NEX39" s="899"/>
      <c r="NEY39" s="899"/>
      <c r="NEZ39" s="899"/>
      <c r="NFA39" s="899"/>
      <c r="NFB39" s="899"/>
      <c r="NFC39" s="899"/>
      <c r="NFD39" s="899"/>
      <c r="NFE39" s="899"/>
      <c r="NFF39" s="899"/>
      <c r="NFG39" s="899"/>
      <c r="NFH39" s="899"/>
      <c r="NFI39" s="899"/>
      <c r="NFJ39" s="899"/>
      <c r="NFK39" s="899"/>
      <c r="NFL39" s="899"/>
      <c r="NFM39" s="899"/>
      <c r="NFN39" s="899"/>
      <c r="NFO39" s="899"/>
      <c r="NFP39" s="899"/>
      <c r="NFQ39" s="899"/>
      <c r="NFR39" s="899"/>
      <c r="NFS39" s="899"/>
      <c r="NFT39" s="899"/>
      <c r="NFU39" s="899"/>
      <c r="NFV39" s="899"/>
      <c r="NFW39" s="899"/>
      <c r="NFX39" s="899"/>
      <c r="NFY39" s="899"/>
      <c r="NFZ39" s="899"/>
      <c r="NGA39" s="899"/>
      <c r="NGB39" s="899"/>
      <c r="NGC39" s="899"/>
      <c r="NGD39" s="899"/>
      <c r="NGE39" s="899"/>
      <c r="NGF39" s="899"/>
      <c r="NGG39" s="899"/>
      <c r="NGH39" s="899"/>
      <c r="NGI39" s="899"/>
      <c r="NGJ39" s="899"/>
      <c r="NGK39" s="899"/>
      <c r="NGL39" s="899"/>
      <c r="NGM39" s="899"/>
      <c r="NGN39" s="899"/>
      <c r="NGO39" s="899"/>
      <c r="NGP39" s="899"/>
      <c r="NGQ39" s="899"/>
      <c r="NGR39" s="899"/>
      <c r="NGS39" s="899"/>
      <c r="NGT39" s="899"/>
      <c r="NGU39" s="899"/>
      <c r="NGV39" s="899"/>
      <c r="NGW39" s="899"/>
      <c r="NGX39" s="899"/>
      <c r="NGY39" s="899"/>
      <c r="NGZ39" s="899"/>
      <c r="NHA39" s="899"/>
      <c r="NHB39" s="899"/>
      <c r="NHC39" s="899"/>
      <c r="NHD39" s="899"/>
      <c r="NHE39" s="899"/>
      <c r="NHF39" s="899"/>
      <c r="NHG39" s="899"/>
      <c r="NHH39" s="899"/>
      <c r="NHI39" s="899"/>
      <c r="NHJ39" s="899"/>
      <c r="NHK39" s="899"/>
      <c r="NHL39" s="899"/>
      <c r="NHM39" s="899"/>
      <c r="NHN39" s="899"/>
      <c r="NHO39" s="899"/>
      <c r="NHP39" s="899"/>
      <c r="NHQ39" s="899"/>
      <c r="NHR39" s="899"/>
      <c r="NHS39" s="899"/>
      <c r="NHT39" s="899"/>
      <c r="NHU39" s="899"/>
      <c r="NHV39" s="899"/>
      <c r="NHW39" s="899"/>
      <c r="NHX39" s="899"/>
      <c r="NHY39" s="899"/>
      <c r="NHZ39" s="899"/>
      <c r="NIA39" s="899"/>
      <c r="NIB39" s="899"/>
      <c r="NIC39" s="899"/>
      <c r="NID39" s="899"/>
      <c r="NIE39" s="899"/>
      <c r="NIF39" s="899"/>
      <c r="NIG39" s="899"/>
      <c r="NIH39" s="899"/>
      <c r="NII39" s="899"/>
      <c r="NIJ39" s="899"/>
      <c r="NIK39" s="899"/>
      <c r="NIL39" s="899"/>
      <c r="NIM39" s="899"/>
      <c r="NIN39" s="899"/>
      <c r="NIO39" s="899"/>
      <c r="NIP39" s="899"/>
      <c r="NIQ39" s="899"/>
      <c r="NIR39" s="899"/>
      <c r="NIS39" s="899"/>
      <c r="NIT39" s="899"/>
      <c r="NIU39" s="899"/>
      <c r="NIV39" s="899"/>
      <c r="NIW39" s="899"/>
      <c r="NIX39" s="899"/>
      <c r="NIY39" s="899"/>
      <c r="NIZ39" s="899"/>
      <c r="NJA39" s="899"/>
      <c r="NJB39" s="899"/>
      <c r="NJC39" s="899"/>
      <c r="NJD39" s="899"/>
      <c r="NJE39" s="899"/>
      <c r="NJF39" s="899"/>
      <c r="NJG39" s="899"/>
      <c r="NJH39" s="899"/>
      <c r="NJI39" s="899"/>
      <c r="NJJ39" s="899"/>
      <c r="NJK39" s="899"/>
      <c r="NJL39" s="899"/>
      <c r="NJM39" s="899"/>
      <c r="NJN39" s="899"/>
      <c r="NJO39" s="899"/>
      <c r="NJP39" s="899"/>
      <c r="NJQ39" s="899"/>
      <c r="NJR39" s="899"/>
      <c r="NJS39" s="899"/>
      <c r="NJT39" s="899"/>
      <c r="NJU39" s="899"/>
      <c r="NJV39" s="899"/>
      <c r="NJW39" s="899"/>
      <c r="NJX39" s="899"/>
      <c r="NJY39" s="899"/>
      <c r="NJZ39" s="899"/>
      <c r="NKA39" s="899"/>
      <c r="NKB39" s="899"/>
      <c r="NKC39" s="899"/>
      <c r="NKD39" s="899"/>
      <c r="NKE39" s="899"/>
      <c r="NKF39" s="899"/>
      <c r="NKG39" s="899"/>
      <c r="NKH39" s="899"/>
      <c r="NKI39" s="899"/>
      <c r="NKJ39" s="899"/>
      <c r="NKK39" s="899"/>
      <c r="NKL39" s="899"/>
      <c r="NKM39" s="899"/>
      <c r="NKN39" s="899"/>
      <c r="NKO39" s="899"/>
      <c r="NKP39" s="899"/>
      <c r="NKQ39" s="899"/>
      <c r="NKR39" s="899"/>
      <c r="NKS39" s="899"/>
      <c r="NKT39" s="899"/>
      <c r="NKU39" s="899"/>
      <c r="NKV39" s="899"/>
      <c r="NKW39" s="899"/>
      <c r="NKX39" s="899"/>
      <c r="NKY39" s="899"/>
      <c r="NKZ39" s="899"/>
      <c r="NLA39" s="899"/>
      <c r="NLB39" s="899"/>
      <c r="NLC39" s="899"/>
      <c r="NLD39" s="899"/>
      <c r="NLE39" s="899"/>
      <c r="NLF39" s="899"/>
      <c r="NLG39" s="899"/>
      <c r="NLH39" s="899"/>
      <c r="NLI39" s="899"/>
      <c r="NLJ39" s="899"/>
      <c r="NLK39" s="899"/>
      <c r="NLL39" s="899"/>
      <c r="NLM39" s="899"/>
      <c r="NLN39" s="899"/>
      <c r="NLO39" s="899"/>
      <c r="NLP39" s="899"/>
      <c r="NLQ39" s="899"/>
      <c r="NLR39" s="899"/>
      <c r="NLS39" s="899"/>
      <c r="NLT39" s="899"/>
      <c r="NLU39" s="899"/>
      <c r="NLV39" s="899"/>
      <c r="NLW39" s="899"/>
      <c r="NLX39" s="899"/>
      <c r="NLY39" s="899"/>
      <c r="NLZ39" s="899"/>
      <c r="NMA39" s="899"/>
      <c r="NMB39" s="899"/>
      <c r="NMC39" s="899"/>
      <c r="NMD39" s="899"/>
      <c r="NME39" s="899"/>
      <c r="NMF39" s="899"/>
      <c r="NMG39" s="899"/>
      <c r="NMH39" s="899"/>
      <c r="NMI39" s="899"/>
      <c r="NMJ39" s="899"/>
      <c r="NMK39" s="899"/>
      <c r="NML39" s="899"/>
      <c r="NMM39" s="899"/>
      <c r="NMN39" s="899"/>
      <c r="NMO39" s="899"/>
      <c r="NMP39" s="899"/>
      <c r="NMQ39" s="899"/>
      <c r="NMR39" s="899"/>
      <c r="NMS39" s="899"/>
      <c r="NMT39" s="899"/>
      <c r="NMU39" s="899"/>
      <c r="NMV39" s="899"/>
      <c r="NMW39" s="899"/>
      <c r="NMX39" s="899"/>
      <c r="NMY39" s="899"/>
      <c r="NMZ39" s="899"/>
      <c r="NNA39" s="899"/>
      <c r="NNB39" s="899"/>
      <c r="NNC39" s="899"/>
      <c r="NND39" s="899"/>
      <c r="NNE39" s="899"/>
      <c r="NNF39" s="899"/>
      <c r="NNG39" s="899"/>
      <c r="NNH39" s="899"/>
      <c r="NNI39" s="899"/>
      <c r="NNJ39" s="899"/>
      <c r="NNK39" s="899"/>
      <c r="NNL39" s="899"/>
      <c r="NNM39" s="899"/>
      <c r="NNN39" s="899"/>
      <c r="NNO39" s="899"/>
      <c r="NNP39" s="899"/>
      <c r="NNQ39" s="899"/>
      <c r="NNR39" s="899"/>
      <c r="NNS39" s="899"/>
      <c r="NNT39" s="899"/>
      <c r="NNU39" s="899"/>
      <c r="NNV39" s="899"/>
      <c r="NNW39" s="899"/>
      <c r="NNX39" s="899"/>
      <c r="NNY39" s="899"/>
      <c r="NNZ39" s="899"/>
      <c r="NOA39" s="899"/>
      <c r="NOB39" s="899"/>
      <c r="NOC39" s="899"/>
      <c r="NOD39" s="899"/>
      <c r="NOE39" s="899"/>
      <c r="NOF39" s="899"/>
      <c r="NOG39" s="899"/>
      <c r="NOH39" s="899"/>
      <c r="NOI39" s="899"/>
      <c r="NOJ39" s="899"/>
      <c r="NOK39" s="899"/>
      <c r="NOL39" s="899"/>
      <c r="NOM39" s="899"/>
      <c r="NON39" s="899"/>
      <c r="NOO39" s="899"/>
      <c r="NOP39" s="899"/>
      <c r="NOQ39" s="899"/>
      <c r="NOR39" s="899"/>
      <c r="NOS39" s="899"/>
      <c r="NOT39" s="899"/>
      <c r="NOU39" s="899"/>
      <c r="NOV39" s="899"/>
      <c r="NOW39" s="899"/>
      <c r="NOX39" s="899"/>
      <c r="NOY39" s="899"/>
      <c r="NOZ39" s="899"/>
      <c r="NPA39" s="899"/>
      <c r="NPB39" s="899"/>
      <c r="NPC39" s="899"/>
      <c r="NPD39" s="899"/>
      <c r="NPE39" s="899"/>
      <c r="NPF39" s="899"/>
      <c r="NPG39" s="899"/>
      <c r="NPH39" s="899"/>
      <c r="NPI39" s="899"/>
      <c r="NPJ39" s="899"/>
      <c r="NPK39" s="899"/>
      <c r="NPL39" s="899"/>
      <c r="NPM39" s="899"/>
      <c r="NPN39" s="899"/>
      <c r="NPO39" s="899"/>
      <c r="NPP39" s="899"/>
      <c r="NPQ39" s="899"/>
      <c r="NPR39" s="899"/>
      <c r="NPS39" s="899"/>
      <c r="NPT39" s="899"/>
      <c r="NPU39" s="899"/>
      <c r="NPV39" s="899"/>
      <c r="NPW39" s="899"/>
      <c r="NPX39" s="899"/>
      <c r="NPY39" s="899"/>
      <c r="NPZ39" s="899"/>
      <c r="NQA39" s="899"/>
      <c r="NQB39" s="899"/>
      <c r="NQC39" s="899"/>
      <c r="NQD39" s="899"/>
      <c r="NQE39" s="899"/>
      <c r="NQF39" s="899"/>
      <c r="NQG39" s="899"/>
      <c r="NQH39" s="899"/>
      <c r="NQI39" s="899"/>
      <c r="NQJ39" s="899"/>
      <c r="NQK39" s="899"/>
      <c r="NQL39" s="899"/>
      <c r="NQM39" s="899"/>
      <c r="NQN39" s="899"/>
      <c r="NQO39" s="899"/>
      <c r="NQP39" s="899"/>
      <c r="NQQ39" s="899"/>
      <c r="NQR39" s="899"/>
      <c r="NQS39" s="899"/>
      <c r="NQT39" s="899"/>
      <c r="NQU39" s="899"/>
      <c r="NQV39" s="899"/>
      <c r="NQW39" s="899"/>
      <c r="NQX39" s="899"/>
      <c r="NQY39" s="899"/>
      <c r="NQZ39" s="899"/>
      <c r="NRA39" s="899"/>
      <c r="NRB39" s="899"/>
      <c r="NRC39" s="899"/>
      <c r="NRD39" s="899"/>
      <c r="NRE39" s="899"/>
      <c r="NRF39" s="899"/>
      <c r="NRG39" s="899"/>
      <c r="NRH39" s="899"/>
      <c r="NRI39" s="899"/>
      <c r="NRJ39" s="899"/>
      <c r="NRK39" s="899"/>
      <c r="NRL39" s="899"/>
      <c r="NRM39" s="899"/>
      <c r="NRN39" s="899"/>
      <c r="NRO39" s="899"/>
      <c r="NRP39" s="899"/>
      <c r="NRQ39" s="899"/>
      <c r="NRR39" s="899"/>
      <c r="NRS39" s="899"/>
      <c r="NRT39" s="899"/>
      <c r="NRU39" s="899"/>
      <c r="NRV39" s="899"/>
      <c r="NRW39" s="899"/>
      <c r="NRX39" s="899"/>
      <c r="NRY39" s="899"/>
      <c r="NRZ39" s="899"/>
      <c r="NSA39" s="899"/>
      <c r="NSB39" s="899"/>
      <c r="NSC39" s="899"/>
      <c r="NSD39" s="899"/>
      <c r="NSE39" s="899"/>
      <c r="NSF39" s="899"/>
      <c r="NSG39" s="899"/>
      <c r="NSH39" s="899"/>
      <c r="NSI39" s="899"/>
      <c r="NSJ39" s="899"/>
      <c r="NSK39" s="899"/>
      <c r="NSL39" s="899"/>
      <c r="NSM39" s="899"/>
      <c r="NSN39" s="899"/>
      <c r="NSO39" s="899"/>
      <c r="NSP39" s="899"/>
      <c r="NSQ39" s="899"/>
      <c r="NSR39" s="899"/>
      <c r="NSS39" s="899"/>
      <c r="NST39" s="899"/>
      <c r="NSU39" s="899"/>
      <c r="NSV39" s="899"/>
      <c r="NSW39" s="899"/>
      <c r="NSX39" s="899"/>
      <c r="NSY39" s="899"/>
      <c r="NSZ39" s="899"/>
      <c r="NTA39" s="899"/>
      <c r="NTB39" s="899"/>
      <c r="NTC39" s="899"/>
      <c r="NTD39" s="899"/>
      <c r="NTE39" s="899"/>
      <c r="NTF39" s="899"/>
      <c r="NTG39" s="899"/>
      <c r="NTH39" s="899"/>
      <c r="NTI39" s="899"/>
      <c r="NTJ39" s="899"/>
      <c r="NTK39" s="899"/>
      <c r="NTL39" s="899"/>
      <c r="NTM39" s="899"/>
      <c r="NTN39" s="899"/>
      <c r="NTO39" s="899"/>
      <c r="NTP39" s="899"/>
      <c r="NTQ39" s="899"/>
      <c r="NTR39" s="899"/>
      <c r="NTS39" s="899"/>
      <c r="NTT39" s="899"/>
      <c r="NTU39" s="899"/>
      <c r="NTV39" s="899"/>
      <c r="NTW39" s="899"/>
      <c r="NTX39" s="899"/>
      <c r="NTY39" s="899"/>
      <c r="NTZ39" s="899"/>
      <c r="NUA39" s="899"/>
      <c r="NUB39" s="899"/>
      <c r="NUC39" s="899"/>
      <c r="NUD39" s="899"/>
      <c r="NUE39" s="899"/>
      <c r="NUF39" s="899"/>
      <c r="NUG39" s="899"/>
      <c r="NUH39" s="899"/>
      <c r="NUI39" s="899"/>
      <c r="NUJ39" s="899"/>
      <c r="NUK39" s="899"/>
      <c r="NUL39" s="899"/>
      <c r="NUM39" s="899"/>
      <c r="NUN39" s="899"/>
      <c r="NUO39" s="899"/>
      <c r="NUP39" s="899"/>
      <c r="NUQ39" s="899"/>
      <c r="NUR39" s="899"/>
      <c r="NUS39" s="899"/>
      <c r="NUT39" s="899"/>
      <c r="NUU39" s="899"/>
      <c r="NUV39" s="899"/>
      <c r="NUW39" s="899"/>
      <c r="NUX39" s="899"/>
      <c r="NUY39" s="899"/>
      <c r="NUZ39" s="899"/>
      <c r="NVA39" s="899"/>
      <c r="NVB39" s="899"/>
      <c r="NVC39" s="899"/>
      <c r="NVD39" s="899"/>
      <c r="NVE39" s="899"/>
      <c r="NVF39" s="899"/>
      <c r="NVG39" s="899"/>
      <c r="NVH39" s="899"/>
      <c r="NVI39" s="899"/>
      <c r="NVJ39" s="899"/>
      <c r="NVK39" s="899"/>
      <c r="NVL39" s="899"/>
      <c r="NVM39" s="899"/>
      <c r="NVN39" s="899"/>
      <c r="NVO39" s="899"/>
      <c r="NVP39" s="899"/>
      <c r="NVQ39" s="899"/>
      <c r="NVR39" s="899"/>
      <c r="NVS39" s="899"/>
      <c r="NVT39" s="899"/>
      <c r="NVU39" s="899"/>
      <c r="NVV39" s="899"/>
      <c r="NVW39" s="899"/>
      <c r="NVX39" s="899"/>
      <c r="NVY39" s="899"/>
      <c r="NVZ39" s="899"/>
      <c r="NWA39" s="899"/>
      <c r="NWB39" s="899"/>
      <c r="NWC39" s="899"/>
      <c r="NWD39" s="899"/>
      <c r="NWE39" s="899"/>
      <c r="NWF39" s="899"/>
      <c r="NWG39" s="899"/>
      <c r="NWH39" s="899"/>
      <c r="NWI39" s="899"/>
      <c r="NWJ39" s="899"/>
      <c r="NWK39" s="899"/>
      <c r="NWL39" s="899"/>
      <c r="NWM39" s="899"/>
      <c r="NWN39" s="899"/>
      <c r="NWO39" s="899"/>
      <c r="NWP39" s="899"/>
      <c r="NWQ39" s="899"/>
      <c r="NWR39" s="899"/>
      <c r="NWS39" s="899"/>
      <c r="NWT39" s="899"/>
      <c r="NWU39" s="899"/>
      <c r="NWV39" s="899"/>
      <c r="NWW39" s="899"/>
      <c r="NWX39" s="899"/>
      <c r="NWY39" s="899"/>
      <c r="NWZ39" s="899"/>
      <c r="NXA39" s="899"/>
      <c r="NXB39" s="899"/>
      <c r="NXC39" s="899"/>
      <c r="NXD39" s="899"/>
      <c r="NXE39" s="899"/>
      <c r="NXF39" s="899"/>
      <c r="NXG39" s="899"/>
      <c r="NXH39" s="899"/>
      <c r="NXI39" s="899"/>
      <c r="NXJ39" s="899"/>
      <c r="NXK39" s="899"/>
      <c r="NXL39" s="899"/>
      <c r="NXM39" s="899"/>
      <c r="NXN39" s="899"/>
      <c r="NXO39" s="899"/>
      <c r="NXP39" s="899"/>
      <c r="NXQ39" s="899"/>
      <c r="NXR39" s="899"/>
      <c r="NXS39" s="899"/>
      <c r="NXT39" s="899"/>
      <c r="NXU39" s="899"/>
      <c r="NXV39" s="899"/>
      <c r="NXW39" s="899"/>
      <c r="NXX39" s="899"/>
      <c r="NXY39" s="899"/>
      <c r="NXZ39" s="899"/>
      <c r="NYA39" s="899"/>
      <c r="NYB39" s="899"/>
      <c r="NYC39" s="899"/>
      <c r="NYD39" s="899"/>
      <c r="NYE39" s="899"/>
      <c r="NYF39" s="899"/>
      <c r="NYG39" s="899"/>
      <c r="NYH39" s="899"/>
      <c r="NYI39" s="899"/>
      <c r="NYJ39" s="899"/>
      <c r="NYK39" s="899"/>
      <c r="NYL39" s="899"/>
      <c r="NYM39" s="899"/>
      <c r="NYN39" s="899"/>
      <c r="NYO39" s="899"/>
      <c r="NYP39" s="899"/>
      <c r="NYQ39" s="899"/>
      <c r="NYR39" s="899"/>
      <c r="NYS39" s="899"/>
      <c r="NYT39" s="899"/>
      <c r="NYU39" s="899"/>
      <c r="NYV39" s="899"/>
      <c r="NYW39" s="899"/>
      <c r="NYX39" s="899"/>
      <c r="NYY39" s="899"/>
      <c r="NYZ39" s="899"/>
      <c r="NZA39" s="899"/>
      <c r="NZB39" s="899"/>
      <c r="NZC39" s="899"/>
      <c r="NZD39" s="899"/>
      <c r="NZE39" s="899"/>
      <c r="NZF39" s="899"/>
      <c r="NZG39" s="899"/>
      <c r="NZH39" s="899"/>
      <c r="NZI39" s="899"/>
      <c r="NZJ39" s="899"/>
      <c r="NZK39" s="899"/>
      <c r="NZL39" s="899"/>
      <c r="NZM39" s="899"/>
      <c r="NZN39" s="899"/>
      <c r="NZO39" s="899"/>
      <c r="NZP39" s="899"/>
      <c r="NZQ39" s="899"/>
      <c r="NZR39" s="899"/>
      <c r="NZS39" s="899"/>
      <c r="NZT39" s="899"/>
      <c r="NZU39" s="899"/>
      <c r="NZV39" s="899"/>
      <c r="NZW39" s="899"/>
      <c r="NZX39" s="899"/>
      <c r="NZY39" s="899"/>
      <c r="NZZ39" s="899"/>
      <c r="OAA39" s="899"/>
      <c r="OAB39" s="899"/>
      <c r="OAC39" s="899"/>
      <c r="OAD39" s="899"/>
      <c r="OAE39" s="899"/>
      <c r="OAF39" s="899"/>
      <c r="OAG39" s="899"/>
      <c r="OAH39" s="899"/>
      <c r="OAI39" s="899"/>
      <c r="OAJ39" s="899"/>
      <c r="OAK39" s="899"/>
      <c r="OAL39" s="899"/>
      <c r="OAM39" s="899"/>
      <c r="OAN39" s="899"/>
      <c r="OAO39" s="899"/>
      <c r="OAP39" s="899"/>
      <c r="OAQ39" s="899"/>
      <c r="OAR39" s="899"/>
      <c r="OAS39" s="899"/>
      <c r="OAT39" s="899"/>
      <c r="OAU39" s="899"/>
      <c r="OAV39" s="899"/>
      <c r="OAW39" s="899"/>
      <c r="OAX39" s="899"/>
      <c r="OAY39" s="899"/>
      <c r="OAZ39" s="899"/>
      <c r="OBA39" s="899"/>
      <c r="OBB39" s="899"/>
      <c r="OBC39" s="899"/>
      <c r="OBD39" s="899"/>
      <c r="OBE39" s="899"/>
      <c r="OBF39" s="899"/>
      <c r="OBG39" s="899"/>
      <c r="OBH39" s="899"/>
      <c r="OBI39" s="899"/>
      <c r="OBJ39" s="899"/>
      <c r="OBK39" s="899"/>
      <c r="OBL39" s="899"/>
      <c r="OBM39" s="899"/>
      <c r="OBN39" s="899"/>
      <c r="OBO39" s="899"/>
      <c r="OBP39" s="899"/>
      <c r="OBQ39" s="899"/>
      <c r="OBR39" s="899"/>
      <c r="OBS39" s="899"/>
      <c r="OBT39" s="899"/>
      <c r="OBU39" s="899"/>
      <c r="OBV39" s="899"/>
      <c r="OBW39" s="899"/>
      <c r="OBX39" s="899"/>
      <c r="OBY39" s="899"/>
      <c r="OBZ39" s="899"/>
      <c r="OCA39" s="899"/>
      <c r="OCB39" s="899"/>
      <c r="OCC39" s="899"/>
      <c r="OCD39" s="899"/>
      <c r="OCE39" s="899"/>
      <c r="OCF39" s="899"/>
      <c r="OCG39" s="899"/>
      <c r="OCH39" s="899"/>
      <c r="OCI39" s="899"/>
      <c r="OCJ39" s="899"/>
      <c r="OCK39" s="899"/>
      <c r="OCL39" s="899"/>
      <c r="OCM39" s="899"/>
      <c r="OCN39" s="899"/>
      <c r="OCO39" s="899"/>
      <c r="OCP39" s="899"/>
      <c r="OCQ39" s="899"/>
      <c r="OCR39" s="899"/>
      <c r="OCS39" s="899"/>
      <c r="OCT39" s="899"/>
      <c r="OCU39" s="899"/>
      <c r="OCV39" s="899"/>
      <c r="OCW39" s="899"/>
      <c r="OCX39" s="899"/>
      <c r="OCY39" s="899"/>
      <c r="OCZ39" s="899"/>
      <c r="ODA39" s="899"/>
      <c r="ODB39" s="899"/>
      <c r="ODC39" s="899"/>
      <c r="ODD39" s="899"/>
      <c r="ODE39" s="899"/>
      <c r="ODF39" s="899"/>
      <c r="ODG39" s="899"/>
      <c r="ODH39" s="899"/>
      <c r="ODI39" s="899"/>
      <c r="ODJ39" s="899"/>
      <c r="ODK39" s="899"/>
      <c r="ODL39" s="899"/>
      <c r="ODM39" s="899"/>
      <c r="ODN39" s="899"/>
      <c r="ODO39" s="899"/>
      <c r="ODP39" s="899"/>
      <c r="ODQ39" s="899"/>
      <c r="ODR39" s="899"/>
      <c r="ODS39" s="899"/>
      <c r="ODT39" s="899"/>
      <c r="ODU39" s="899"/>
      <c r="ODV39" s="899"/>
      <c r="ODW39" s="899"/>
      <c r="ODX39" s="899"/>
      <c r="ODY39" s="899"/>
      <c r="ODZ39" s="899"/>
      <c r="OEA39" s="899"/>
      <c r="OEB39" s="899"/>
      <c r="OEC39" s="899"/>
      <c r="OED39" s="899"/>
      <c r="OEE39" s="899"/>
      <c r="OEF39" s="899"/>
      <c r="OEG39" s="899"/>
      <c r="OEH39" s="899"/>
      <c r="OEI39" s="899"/>
      <c r="OEJ39" s="899"/>
      <c r="OEK39" s="899"/>
      <c r="OEL39" s="899"/>
      <c r="OEM39" s="899"/>
      <c r="OEN39" s="899"/>
      <c r="OEO39" s="899"/>
      <c r="OEP39" s="899"/>
      <c r="OEQ39" s="899"/>
      <c r="OER39" s="899"/>
      <c r="OES39" s="899"/>
      <c r="OET39" s="899"/>
      <c r="OEU39" s="899"/>
      <c r="OEV39" s="899"/>
      <c r="OEW39" s="899"/>
      <c r="OEX39" s="899"/>
      <c r="OEY39" s="899"/>
      <c r="OEZ39" s="899"/>
      <c r="OFA39" s="899"/>
      <c r="OFB39" s="899"/>
      <c r="OFC39" s="899"/>
      <c r="OFD39" s="899"/>
      <c r="OFE39" s="899"/>
      <c r="OFF39" s="899"/>
      <c r="OFG39" s="899"/>
      <c r="OFH39" s="899"/>
      <c r="OFI39" s="899"/>
      <c r="OFJ39" s="899"/>
      <c r="OFK39" s="899"/>
      <c r="OFL39" s="899"/>
      <c r="OFM39" s="899"/>
      <c r="OFN39" s="899"/>
      <c r="OFO39" s="899"/>
      <c r="OFP39" s="899"/>
      <c r="OFQ39" s="899"/>
      <c r="OFR39" s="899"/>
      <c r="OFS39" s="899"/>
      <c r="OFT39" s="899"/>
      <c r="OFU39" s="899"/>
      <c r="OFV39" s="899"/>
      <c r="OFW39" s="899"/>
      <c r="OFX39" s="899"/>
      <c r="OFY39" s="899"/>
      <c r="OFZ39" s="899"/>
      <c r="OGA39" s="899"/>
      <c r="OGB39" s="899"/>
      <c r="OGC39" s="899"/>
      <c r="OGD39" s="899"/>
      <c r="OGE39" s="899"/>
      <c r="OGF39" s="899"/>
      <c r="OGG39" s="899"/>
      <c r="OGH39" s="899"/>
      <c r="OGI39" s="899"/>
      <c r="OGJ39" s="899"/>
      <c r="OGK39" s="899"/>
      <c r="OGL39" s="899"/>
      <c r="OGM39" s="899"/>
      <c r="OGN39" s="899"/>
      <c r="OGO39" s="899"/>
      <c r="OGP39" s="899"/>
      <c r="OGQ39" s="899"/>
      <c r="OGR39" s="899"/>
      <c r="OGS39" s="899"/>
      <c r="OGT39" s="899"/>
      <c r="OGU39" s="899"/>
      <c r="OGV39" s="899"/>
      <c r="OGW39" s="899"/>
      <c r="OGX39" s="899"/>
      <c r="OGY39" s="899"/>
      <c r="OGZ39" s="899"/>
      <c r="OHA39" s="899"/>
      <c r="OHB39" s="899"/>
      <c r="OHC39" s="899"/>
      <c r="OHD39" s="899"/>
      <c r="OHE39" s="899"/>
      <c r="OHF39" s="899"/>
      <c r="OHG39" s="899"/>
      <c r="OHH39" s="899"/>
      <c r="OHI39" s="899"/>
      <c r="OHJ39" s="899"/>
      <c r="OHK39" s="899"/>
      <c r="OHL39" s="899"/>
      <c r="OHM39" s="899"/>
      <c r="OHN39" s="899"/>
      <c r="OHO39" s="899"/>
      <c r="OHP39" s="899"/>
      <c r="OHQ39" s="899"/>
      <c r="OHR39" s="899"/>
      <c r="OHS39" s="899"/>
      <c r="OHT39" s="899"/>
      <c r="OHU39" s="899"/>
      <c r="OHV39" s="899"/>
      <c r="OHW39" s="899"/>
      <c r="OHX39" s="899"/>
      <c r="OHY39" s="899"/>
      <c r="OHZ39" s="899"/>
      <c r="OIA39" s="899"/>
      <c r="OIB39" s="899"/>
      <c r="OIC39" s="899"/>
      <c r="OID39" s="899"/>
      <c r="OIE39" s="899"/>
      <c r="OIF39" s="899"/>
      <c r="OIG39" s="899"/>
      <c r="OIH39" s="899"/>
      <c r="OII39" s="899"/>
      <c r="OIJ39" s="899"/>
      <c r="OIK39" s="899"/>
      <c r="OIL39" s="899"/>
      <c r="OIM39" s="899"/>
      <c r="OIN39" s="899"/>
      <c r="OIO39" s="899"/>
      <c r="OIP39" s="899"/>
      <c r="OIQ39" s="899"/>
      <c r="OIR39" s="899"/>
      <c r="OIS39" s="899"/>
      <c r="OIT39" s="899"/>
      <c r="OIU39" s="899"/>
      <c r="OIV39" s="899"/>
      <c r="OIW39" s="899"/>
      <c r="OIX39" s="899"/>
      <c r="OIY39" s="899"/>
      <c r="OIZ39" s="899"/>
      <c r="OJA39" s="899"/>
      <c r="OJB39" s="899"/>
      <c r="OJC39" s="899"/>
      <c r="OJD39" s="899"/>
      <c r="OJE39" s="899"/>
      <c r="OJF39" s="899"/>
      <c r="OJG39" s="899"/>
      <c r="OJH39" s="899"/>
      <c r="OJI39" s="899"/>
      <c r="OJJ39" s="899"/>
      <c r="OJK39" s="899"/>
      <c r="OJL39" s="899"/>
      <c r="OJM39" s="899"/>
      <c r="OJN39" s="899"/>
      <c r="OJO39" s="899"/>
      <c r="OJP39" s="899"/>
      <c r="OJQ39" s="899"/>
      <c r="OJR39" s="899"/>
      <c r="OJS39" s="899"/>
      <c r="OJT39" s="899"/>
      <c r="OJU39" s="899"/>
      <c r="OJV39" s="899"/>
      <c r="OJW39" s="899"/>
      <c r="OJX39" s="899"/>
      <c r="OJY39" s="899"/>
      <c r="OJZ39" s="899"/>
      <c r="OKA39" s="899"/>
      <c r="OKB39" s="899"/>
      <c r="OKC39" s="899"/>
      <c r="OKD39" s="899"/>
      <c r="OKE39" s="899"/>
      <c r="OKF39" s="899"/>
      <c r="OKG39" s="899"/>
      <c r="OKH39" s="899"/>
      <c r="OKI39" s="899"/>
      <c r="OKJ39" s="899"/>
      <c r="OKK39" s="899"/>
      <c r="OKL39" s="899"/>
      <c r="OKM39" s="899"/>
      <c r="OKN39" s="899"/>
      <c r="OKO39" s="899"/>
      <c r="OKP39" s="899"/>
      <c r="OKQ39" s="899"/>
      <c r="OKR39" s="899"/>
      <c r="OKS39" s="899"/>
      <c r="OKT39" s="899"/>
      <c r="OKU39" s="899"/>
      <c r="OKV39" s="899"/>
      <c r="OKW39" s="899"/>
      <c r="OKX39" s="899"/>
      <c r="OKY39" s="899"/>
      <c r="OKZ39" s="899"/>
      <c r="OLA39" s="899"/>
      <c r="OLB39" s="899"/>
      <c r="OLC39" s="899"/>
      <c r="OLD39" s="899"/>
      <c r="OLE39" s="899"/>
      <c r="OLF39" s="899"/>
      <c r="OLG39" s="899"/>
      <c r="OLH39" s="899"/>
      <c r="OLI39" s="899"/>
      <c r="OLJ39" s="899"/>
      <c r="OLK39" s="899"/>
      <c r="OLL39" s="899"/>
      <c r="OLM39" s="899"/>
      <c r="OLN39" s="899"/>
      <c r="OLO39" s="899"/>
      <c r="OLP39" s="899"/>
      <c r="OLQ39" s="899"/>
      <c r="OLR39" s="899"/>
      <c r="OLS39" s="899"/>
      <c r="OLT39" s="899"/>
      <c r="OLU39" s="899"/>
      <c r="OLV39" s="899"/>
      <c r="OLW39" s="899"/>
      <c r="OLX39" s="899"/>
      <c r="OLY39" s="899"/>
      <c r="OLZ39" s="899"/>
      <c r="OMA39" s="899"/>
      <c r="OMB39" s="899"/>
      <c r="OMC39" s="899"/>
      <c r="OMD39" s="899"/>
      <c r="OME39" s="899"/>
      <c r="OMF39" s="899"/>
      <c r="OMG39" s="899"/>
      <c r="OMH39" s="899"/>
      <c r="OMI39" s="899"/>
      <c r="OMJ39" s="899"/>
      <c r="OMK39" s="899"/>
      <c r="OML39" s="899"/>
      <c r="OMM39" s="899"/>
      <c r="OMN39" s="899"/>
      <c r="OMO39" s="899"/>
      <c r="OMP39" s="899"/>
      <c r="OMQ39" s="899"/>
      <c r="OMR39" s="899"/>
      <c r="OMS39" s="899"/>
      <c r="OMT39" s="899"/>
      <c r="OMU39" s="899"/>
      <c r="OMV39" s="899"/>
      <c r="OMW39" s="899"/>
      <c r="OMX39" s="899"/>
      <c r="OMY39" s="899"/>
      <c r="OMZ39" s="899"/>
      <c r="ONA39" s="899"/>
      <c r="ONB39" s="899"/>
      <c r="ONC39" s="899"/>
      <c r="OND39" s="899"/>
      <c r="ONE39" s="899"/>
      <c r="ONF39" s="899"/>
      <c r="ONG39" s="899"/>
      <c r="ONH39" s="899"/>
      <c r="ONI39" s="899"/>
      <c r="ONJ39" s="899"/>
      <c r="ONK39" s="899"/>
      <c r="ONL39" s="899"/>
      <c r="ONM39" s="899"/>
      <c r="ONN39" s="899"/>
      <c r="ONO39" s="899"/>
      <c r="ONP39" s="899"/>
      <c r="ONQ39" s="899"/>
      <c r="ONR39" s="899"/>
      <c r="ONS39" s="899"/>
      <c r="ONT39" s="899"/>
      <c r="ONU39" s="899"/>
      <c r="ONV39" s="899"/>
      <c r="ONW39" s="899"/>
      <c r="ONX39" s="899"/>
      <c r="ONY39" s="899"/>
      <c r="ONZ39" s="899"/>
      <c r="OOA39" s="899"/>
      <c r="OOB39" s="899"/>
      <c r="OOC39" s="899"/>
      <c r="OOD39" s="899"/>
      <c r="OOE39" s="899"/>
      <c r="OOF39" s="899"/>
      <c r="OOG39" s="899"/>
      <c r="OOH39" s="899"/>
      <c r="OOI39" s="899"/>
      <c r="OOJ39" s="899"/>
      <c r="OOK39" s="899"/>
      <c r="OOL39" s="899"/>
      <c r="OOM39" s="899"/>
      <c r="OON39" s="899"/>
      <c r="OOO39" s="899"/>
      <c r="OOP39" s="899"/>
      <c r="OOQ39" s="899"/>
      <c r="OOR39" s="899"/>
      <c r="OOS39" s="899"/>
      <c r="OOT39" s="899"/>
      <c r="OOU39" s="899"/>
      <c r="OOV39" s="899"/>
      <c r="OOW39" s="899"/>
      <c r="OOX39" s="899"/>
      <c r="OOY39" s="899"/>
      <c r="OOZ39" s="899"/>
      <c r="OPA39" s="899"/>
      <c r="OPB39" s="899"/>
      <c r="OPC39" s="899"/>
      <c r="OPD39" s="899"/>
      <c r="OPE39" s="899"/>
      <c r="OPF39" s="899"/>
      <c r="OPG39" s="899"/>
      <c r="OPH39" s="899"/>
      <c r="OPI39" s="899"/>
      <c r="OPJ39" s="899"/>
      <c r="OPK39" s="899"/>
      <c r="OPL39" s="899"/>
      <c r="OPM39" s="899"/>
      <c r="OPN39" s="899"/>
      <c r="OPO39" s="899"/>
      <c r="OPP39" s="899"/>
      <c r="OPQ39" s="899"/>
      <c r="OPR39" s="899"/>
      <c r="OPS39" s="899"/>
      <c r="OPT39" s="899"/>
      <c r="OPU39" s="899"/>
      <c r="OPV39" s="899"/>
      <c r="OPW39" s="899"/>
      <c r="OPX39" s="899"/>
      <c r="OPY39" s="899"/>
      <c r="OPZ39" s="899"/>
      <c r="OQA39" s="899"/>
      <c r="OQB39" s="899"/>
      <c r="OQC39" s="899"/>
      <c r="OQD39" s="899"/>
      <c r="OQE39" s="899"/>
      <c r="OQF39" s="899"/>
      <c r="OQG39" s="899"/>
      <c r="OQH39" s="899"/>
      <c r="OQI39" s="899"/>
      <c r="OQJ39" s="899"/>
      <c r="OQK39" s="899"/>
      <c r="OQL39" s="899"/>
      <c r="OQM39" s="899"/>
      <c r="OQN39" s="899"/>
      <c r="OQO39" s="899"/>
      <c r="OQP39" s="899"/>
      <c r="OQQ39" s="899"/>
      <c r="OQR39" s="899"/>
      <c r="OQS39" s="899"/>
      <c r="OQT39" s="899"/>
      <c r="OQU39" s="899"/>
      <c r="OQV39" s="899"/>
      <c r="OQW39" s="899"/>
      <c r="OQX39" s="899"/>
      <c r="OQY39" s="899"/>
      <c r="OQZ39" s="899"/>
      <c r="ORA39" s="899"/>
      <c r="ORB39" s="899"/>
      <c r="ORC39" s="899"/>
      <c r="ORD39" s="899"/>
      <c r="ORE39" s="899"/>
      <c r="ORF39" s="899"/>
      <c r="ORG39" s="899"/>
      <c r="ORH39" s="899"/>
      <c r="ORI39" s="899"/>
      <c r="ORJ39" s="899"/>
      <c r="ORK39" s="899"/>
      <c r="ORL39" s="899"/>
      <c r="ORM39" s="899"/>
      <c r="ORN39" s="899"/>
      <c r="ORO39" s="899"/>
      <c r="ORP39" s="899"/>
      <c r="ORQ39" s="899"/>
      <c r="ORR39" s="899"/>
      <c r="ORS39" s="899"/>
      <c r="ORT39" s="899"/>
      <c r="ORU39" s="899"/>
      <c r="ORV39" s="899"/>
      <c r="ORW39" s="899"/>
      <c r="ORX39" s="899"/>
      <c r="ORY39" s="899"/>
      <c r="ORZ39" s="899"/>
      <c r="OSA39" s="899"/>
      <c r="OSB39" s="899"/>
      <c r="OSC39" s="899"/>
      <c r="OSD39" s="899"/>
      <c r="OSE39" s="899"/>
      <c r="OSF39" s="899"/>
      <c r="OSG39" s="899"/>
      <c r="OSH39" s="899"/>
      <c r="OSI39" s="899"/>
      <c r="OSJ39" s="899"/>
      <c r="OSK39" s="899"/>
      <c r="OSL39" s="899"/>
      <c r="OSM39" s="899"/>
      <c r="OSN39" s="899"/>
      <c r="OSO39" s="899"/>
      <c r="OSP39" s="899"/>
      <c r="OSQ39" s="899"/>
      <c r="OSR39" s="899"/>
      <c r="OSS39" s="899"/>
      <c r="OST39" s="899"/>
      <c r="OSU39" s="899"/>
      <c r="OSV39" s="899"/>
      <c r="OSW39" s="899"/>
      <c r="OSX39" s="899"/>
      <c r="OSY39" s="899"/>
      <c r="OSZ39" s="899"/>
      <c r="OTA39" s="899"/>
      <c r="OTB39" s="899"/>
      <c r="OTC39" s="899"/>
      <c r="OTD39" s="899"/>
      <c r="OTE39" s="899"/>
      <c r="OTF39" s="899"/>
      <c r="OTG39" s="899"/>
      <c r="OTH39" s="899"/>
      <c r="OTI39" s="899"/>
      <c r="OTJ39" s="899"/>
      <c r="OTK39" s="899"/>
      <c r="OTL39" s="899"/>
      <c r="OTM39" s="899"/>
      <c r="OTN39" s="899"/>
      <c r="OTO39" s="899"/>
      <c r="OTP39" s="899"/>
      <c r="OTQ39" s="899"/>
      <c r="OTR39" s="899"/>
      <c r="OTS39" s="899"/>
      <c r="OTT39" s="899"/>
      <c r="OTU39" s="899"/>
      <c r="OTV39" s="899"/>
      <c r="OTW39" s="899"/>
      <c r="OTX39" s="899"/>
      <c r="OTY39" s="899"/>
      <c r="OTZ39" s="899"/>
      <c r="OUA39" s="899"/>
      <c r="OUB39" s="899"/>
      <c r="OUC39" s="899"/>
      <c r="OUD39" s="899"/>
      <c r="OUE39" s="899"/>
      <c r="OUF39" s="899"/>
      <c r="OUG39" s="899"/>
      <c r="OUH39" s="899"/>
      <c r="OUI39" s="899"/>
      <c r="OUJ39" s="899"/>
      <c r="OUK39" s="899"/>
      <c r="OUL39" s="899"/>
      <c r="OUM39" s="899"/>
      <c r="OUN39" s="899"/>
      <c r="OUO39" s="899"/>
      <c r="OUP39" s="899"/>
      <c r="OUQ39" s="899"/>
      <c r="OUR39" s="899"/>
      <c r="OUS39" s="899"/>
      <c r="OUT39" s="899"/>
      <c r="OUU39" s="899"/>
      <c r="OUV39" s="899"/>
      <c r="OUW39" s="899"/>
      <c r="OUX39" s="899"/>
      <c r="OUY39" s="899"/>
      <c r="OUZ39" s="899"/>
      <c r="OVA39" s="899"/>
      <c r="OVB39" s="899"/>
      <c r="OVC39" s="899"/>
      <c r="OVD39" s="899"/>
      <c r="OVE39" s="899"/>
      <c r="OVF39" s="899"/>
      <c r="OVG39" s="899"/>
      <c r="OVH39" s="899"/>
      <c r="OVI39" s="899"/>
      <c r="OVJ39" s="899"/>
      <c r="OVK39" s="899"/>
      <c r="OVL39" s="899"/>
      <c r="OVM39" s="899"/>
      <c r="OVN39" s="899"/>
      <c r="OVO39" s="899"/>
      <c r="OVP39" s="899"/>
      <c r="OVQ39" s="899"/>
      <c r="OVR39" s="899"/>
      <c r="OVS39" s="899"/>
      <c r="OVT39" s="899"/>
      <c r="OVU39" s="899"/>
      <c r="OVV39" s="899"/>
      <c r="OVW39" s="899"/>
      <c r="OVX39" s="899"/>
      <c r="OVY39" s="899"/>
      <c r="OVZ39" s="899"/>
      <c r="OWA39" s="899"/>
      <c r="OWB39" s="899"/>
      <c r="OWC39" s="899"/>
      <c r="OWD39" s="899"/>
      <c r="OWE39" s="899"/>
      <c r="OWF39" s="899"/>
      <c r="OWG39" s="899"/>
      <c r="OWH39" s="899"/>
      <c r="OWI39" s="899"/>
      <c r="OWJ39" s="899"/>
      <c r="OWK39" s="899"/>
      <c r="OWL39" s="899"/>
      <c r="OWM39" s="899"/>
      <c r="OWN39" s="899"/>
      <c r="OWO39" s="899"/>
      <c r="OWP39" s="899"/>
      <c r="OWQ39" s="899"/>
      <c r="OWR39" s="899"/>
      <c r="OWS39" s="899"/>
      <c r="OWT39" s="899"/>
      <c r="OWU39" s="899"/>
      <c r="OWV39" s="899"/>
      <c r="OWW39" s="899"/>
      <c r="OWX39" s="899"/>
      <c r="OWY39" s="899"/>
      <c r="OWZ39" s="899"/>
      <c r="OXA39" s="899"/>
      <c r="OXB39" s="899"/>
      <c r="OXC39" s="899"/>
      <c r="OXD39" s="899"/>
      <c r="OXE39" s="899"/>
      <c r="OXF39" s="899"/>
      <c r="OXG39" s="899"/>
      <c r="OXH39" s="899"/>
      <c r="OXI39" s="899"/>
      <c r="OXJ39" s="899"/>
      <c r="OXK39" s="899"/>
      <c r="OXL39" s="899"/>
      <c r="OXM39" s="899"/>
      <c r="OXN39" s="899"/>
      <c r="OXO39" s="899"/>
      <c r="OXP39" s="899"/>
      <c r="OXQ39" s="899"/>
      <c r="OXR39" s="899"/>
      <c r="OXS39" s="899"/>
      <c r="OXT39" s="899"/>
      <c r="OXU39" s="899"/>
      <c r="OXV39" s="899"/>
      <c r="OXW39" s="899"/>
      <c r="OXX39" s="899"/>
      <c r="OXY39" s="899"/>
      <c r="OXZ39" s="899"/>
      <c r="OYA39" s="899"/>
      <c r="OYB39" s="899"/>
      <c r="OYC39" s="899"/>
      <c r="OYD39" s="899"/>
      <c r="OYE39" s="899"/>
      <c r="OYF39" s="899"/>
      <c r="OYG39" s="899"/>
      <c r="OYH39" s="899"/>
      <c r="OYI39" s="899"/>
      <c r="OYJ39" s="899"/>
      <c r="OYK39" s="899"/>
      <c r="OYL39" s="899"/>
      <c r="OYM39" s="899"/>
      <c r="OYN39" s="899"/>
      <c r="OYO39" s="899"/>
      <c r="OYP39" s="899"/>
      <c r="OYQ39" s="899"/>
      <c r="OYR39" s="899"/>
      <c r="OYS39" s="899"/>
      <c r="OYT39" s="899"/>
      <c r="OYU39" s="899"/>
      <c r="OYV39" s="899"/>
      <c r="OYW39" s="899"/>
      <c r="OYX39" s="899"/>
      <c r="OYY39" s="899"/>
      <c r="OYZ39" s="899"/>
      <c r="OZA39" s="899"/>
      <c r="OZB39" s="899"/>
      <c r="OZC39" s="899"/>
      <c r="OZD39" s="899"/>
      <c r="OZE39" s="899"/>
      <c r="OZF39" s="899"/>
      <c r="OZG39" s="899"/>
      <c r="OZH39" s="899"/>
      <c r="OZI39" s="899"/>
      <c r="OZJ39" s="899"/>
      <c r="OZK39" s="899"/>
      <c r="OZL39" s="899"/>
      <c r="OZM39" s="899"/>
      <c r="OZN39" s="899"/>
      <c r="OZO39" s="899"/>
      <c r="OZP39" s="899"/>
      <c r="OZQ39" s="899"/>
      <c r="OZR39" s="899"/>
      <c r="OZS39" s="899"/>
      <c r="OZT39" s="899"/>
      <c r="OZU39" s="899"/>
      <c r="OZV39" s="899"/>
      <c r="OZW39" s="899"/>
      <c r="OZX39" s="899"/>
      <c r="OZY39" s="899"/>
      <c r="OZZ39" s="899"/>
      <c r="PAA39" s="899"/>
      <c r="PAB39" s="899"/>
      <c r="PAC39" s="899"/>
      <c r="PAD39" s="899"/>
      <c r="PAE39" s="899"/>
      <c r="PAF39" s="899"/>
      <c r="PAG39" s="899"/>
      <c r="PAH39" s="899"/>
      <c r="PAI39" s="899"/>
      <c r="PAJ39" s="899"/>
      <c r="PAK39" s="899"/>
      <c r="PAL39" s="899"/>
      <c r="PAM39" s="899"/>
      <c r="PAN39" s="899"/>
      <c r="PAO39" s="899"/>
      <c r="PAP39" s="899"/>
      <c r="PAQ39" s="899"/>
      <c r="PAR39" s="899"/>
      <c r="PAS39" s="899"/>
      <c r="PAT39" s="899"/>
      <c r="PAU39" s="899"/>
      <c r="PAV39" s="899"/>
      <c r="PAW39" s="899"/>
      <c r="PAX39" s="899"/>
      <c r="PAY39" s="899"/>
      <c r="PAZ39" s="899"/>
      <c r="PBA39" s="899"/>
      <c r="PBB39" s="899"/>
      <c r="PBC39" s="899"/>
      <c r="PBD39" s="899"/>
      <c r="PBE39" s="899"/>
      <c r="PBF39" s="899"/>
      <c r="PBG39" s="899"/>
      <c r="PBH39" s="899"/>
      <c r="PBI39" s="899"/>
      <c r="PBJ39" s="899"/>
      <c r="PBK39" s="899"/>
      <c r="PBL39" s="899"/>
      <c r="PBM39" s="899"/>
      <c r="PBN39" s="899"/>
      <c r="PBO39" s="899"/>
      <c r="PBP39" s="899"/>
      <c r="PBQ39" s="899"/>
      <c r="PBR39" s="899"/>
      <c r="PBS39" s="899"/>
      <c r="PBT39" s="899"/>
      <c r="PBU39" s="899"/>
      <c r="PBV39" s="899"/>
      <c r="PBW39" s="899"/>
      <c r="PBX39" s="899"/>
      <c r="PBY39" s="899"/>
      <c r="PBZ39" s="899"/>
      <c r="PCA39" s="899"/>
      <c r="PCB39" s="899"/>
      <c r="PCC39" s="899"/>
      <c r="PCD39" s="899"/>
      <c r="PCE39" s="899"/>
      <c r="PCF39" s="899"/>
      <c r="PCG39" s="899"/>
      <c r="PCH39" s="899"/>
      <c r="PCI39" s="899"/>
      <c r="PCJ39" s="899"/>
      <c r="PCK39" s="899"/>
      <c r="PCL39" s="899"/>
      <c r="PCM39" s="899"/>
      <c r="PCN39" s="899"/>
      <c r="PCO39" s="899"/>
      <c r="PCP39" s="899"/>
      <c r="PCQ39" s="899"/>
      <c r="PCR39" s="899"/>
      <c r="PCS39" s="899"/>
      <c r="PCT39" s="899"/>
      <c r="PCU39" s="899"/>
      <c r="PCV39" s="899"/>
      <c r="PCW39" s="899"/>
      <c r="PCX39" s="899"/>
      <c r="PCY39" s="899"/>
      <c r="PCZ39" s="899"/>
      <c r="PDA39" s="899"/>
      <c r="PDB39" s="899"/>
      <c r="PDC39" s="899"/>
      <c r="PDD39" s="899"/>
      <c r="PDE39" s="899"/>
      <c r="PDF39" s="899"/>
      <c r="PDG39" s="899"/>
      <c r="PDH39" s="899"/>
      <c r="PDI39" s="899"/>
      <c r="PDJ39" s="899"/>
      <c r="PDK39" s="899"/>
      <c r="PDL39" s="899"/>
      <c r="PDM39" s="899"/>
      <c r="PDN39" s="899"/>
      <c r="PDO39" s="899"/>
      <c r="PDP39" s="899"/>
      <c r="PDQ39" s="899"/>
      <c r="PDR39" s="899"/>
      <c r="PDS39" s="899"/>
      <c r="PDT39" s="899"/>
      <c r="PDU39" s="899"/>
      <c r="PDV39" s="899"/>
      <c r="PDW39" s="899"/>
      <c r="PDX39" s="899"/>
      <c r="PDY39" s="899"/>
      <c r="PDZ39" s="899"/>
      <c r="PEA39" s="899"/>
      <c r="PEB39" s="899"/>
      <c r="PEC39" s="899"/>
      <c r="PED39" s="899"/>
      <c r="PEE39" s="899"/>
      <c r="PEF39" s="899"/>
      <c r="PEG39" s="899"/>
      <c r="PEH39" s="899"/>
      <c r="PEI39" s="899"/>
      <c r="PEJ39" s="899"/>
      <c r="PEK39" s="899"/>
      <c r="PEL39" s="899"/>
      <c r="PEM39" s="899"/>
      <c r="PEN39" s="899"/>
      <c r="PEO39" s="899"/>
      <c r="PEP39" s="899"/>
      <c r="PEQ39" s="899"/>
      <c r="PER39" s="899"/>
      <c r="PES39" s="899"/>
      <c r="PET39" s="899"/>
      <c r="PEU39" s="899"/>
      <c r="PEV39" s="899"/>
      <c r="PEW39" s="899"/>
      <c r="PEX39" s="899"/>
      <c r="PEY39" s="899"/>
      <c r="PEZ39" s="899"/>
      <c r="PFA39" s="899"/>
      <c r="PFB39" s="899"/>
      <c r="PFC39" s="899"/>
      <c r="PFD39" s="899"/>
      <c r="PFE39" s="899"/>
      <c r="PFF39" s="899"/>
      <c r="PFG39" s="899"/>
      <c r="PFH39" s="899"/>
      <c r="PFI39" s="899"/>
      <c r="PFJ39" s="899"/>
      <c r="PFK39" s="899"/>
      <c r="PFL39" s="899"/>
      <c r="PFM39" s="899"/>
      <c r="PFN39" s="899"/>
      <c r="PFO39" s="899"/>
      <c r="PFP39" s="899"/>
      <c r="PFQ39" s="899"/>
      <c r="PFR39" s="899"/>
      <c r="PFS39" s="899"/>
      <c r="PFT39" s="899"/>
      <c r="PFU39" s="899"/>
      <c r="PFV39" s="899"/>
      <c r="PFW39" s="899"/>
      <c r="PFX39" s="899"/>
      <c r="PFY39" s="899"/>
      <c r="PFZ39" s="899"/>
      <c r="PGA39" s="899"/>
      <c r="PGB39" s="899"/>
      <c r="PGC39" s="899"/>
      <c r="PGD39" s="899"/>
      <c r="PGE39" s="899"/>
      <c r="PGF39" s="899"/>
      <c r="PGG39" s="899"/>
      <c r="PGH39" s="899"/>
      <c r="PGI39" s="899"/>
      <c r="PGJ39" s="899"/>
      <c r="PGK39" s="899"/>
      <c r="PGL39" s="899"/>
      <c r="PGM39" s="899"/>
      <c r="PGN39" s="899"/>
      <c r="PGO39" s="899"/>
      <c r="PGP39" s="899"/>
      <c r="PGQ39" s="899"/>
      <c r="PGR39" s="899"/>
      <c r="PGS39" s="899"/>
      <c r="PGT39" s="899"/>
      <c r="PGU39" s="899"/>
      <c r="PGV39" s="899"/>
      <c r="PGW39" s="899"/>
      <c r="PGX39" s="899"/>
      <c r="PGY39" s="899"/>
      <c r="PGZ39" s="899"/>
      <c r="PHA39" s="899"/>
      <c r="PHB39" s="899"/>
      <c r="PHC39" s="899"/>
      <c r="PHD39" s="899"/>
      <c r="PHE39" s="899"/>
      <c r="PHF39" s="899"/>
      <c r="PHG39" s="899"/>
      <c r="PHH39" s="899"/>
      <c r="PHI39" s="899"/>
      <c r="PHJ39" s="899"/>
      <c r="PHK39" s="899"/>
      <c r="PHL39" s="899"/>
      <c r="PHM39" s="899"/>
      <c r="PHN39" s="899"/>
      <c r="PHO39" s="899"/>
      <c r="PHP39" s="899"/>
      <c r="PHQ39" s="899"/>
      <c r="PHR39" s="899"/>
      <c r="PHS39" s="899"/>
      <c r="PHT39" s="899"/>
      <c r="PHU39" s="899"/>
      <c r="PHV39" s="899"/>
      <c r="PHW39" s="899"/>
      <c r="PHX39" s="899"/>
      <c r="PHY39" s="899"/>
      <c r="PHZ39" s="899"/>
      <c r="PIA39" s="899"/>
      <c r="PIB39" s="899"/>
      <c r="PIC39" s="899"/>
      <c r="PID39" s="899"/>
      <c r="PIE39" s="899"/>
      <c r="PIF39" s="899"/>
      <c r="PIG39" s="899"/>
      <c r="PIH39" s="899"/>
      <c r="PII39" s="899"/>
      <c r="PIJ39" s="899"/>
      <c r="PIK39" s="899"/>
      <c r="PIL39" s="899"/>
      <c r="PIM39" s="899"/>
      <c r="PIN39" s="899"/>
      <c r="PIO39" s="899"/>
      <c r="PIP39" s="899"/>
      <c r="PIQ39" s="899"/>
      <c r="PIR39" s="899"/>
      <c r="PIS39" s="899"/>
      <c r="PIT39" s="899"/>
      <c r="PIU39" s="899"/>
      <c r="PIV39" s="899"/>
      <c r="PIW39" s="899"/>
      <c r="PIX39" s="899"/>
      <c r="PIY39" s="899"/>
      <c r="PIZ39" s="899"/>
      <c r="PJA39" s="899"/>
      <c r="PJB39" s="899"/>
      <c r="PJC39" s="899"/>
      <c r="PJD39" s="899"/>
      <c r="PJE39" s="899"/>
      <c r="PJF39" s="899"/>
      <c r="PJG39" s="899"/>
      <c r="PJH39" s="899"/>
      <c r="PJI39" s="899"/>
      <c r="PJJ39" s="899"/>
      <c r="PJK39" s="899"/>
      <c r="PJL39" s="899"/>
      <c r="PJM39" s="899"/>
      <c r="PJN39" s="899"/>
      <c r="PJO39" s="899"/>
      <c r="PJP39" s="899"/>
      <c r="PJQ39" s="899"/>
      <c r="PJR39" s="899"/>
      <c r="PJS39" s="899"/>
      <c r="PJT39" s="899"/>
      <c r="PJU39" s="899"/>
      <c r="PJV39" s="899"/>
      <c r="PJW39" s="899"/>
      <c r="PJX39" s="899"/>
      <c r="PJY39" s="899"/>
      <c r="PJZ39" s="899"/>
      <c r="PKA39" s="899"/>
      <c r="PKB39" s="899"/>
      <c r="PKC39" s="899"/>
      <c r="PKD39" s="899"/>
      <c r="PKE39" s="899"/>
      <c r="PKF39" s="899"/>
      <c r="PKG39" s="899"/>
      <c r="PKH39" s="899"/>
      <c r="PKI39" s="899"/>
      <c r="PKJ39" s="899"/>
      <c r="PKK39" s="899"/>
      <c r="PKL39" s="899"/>
      <c r="PKM39" s="899"/>
      <c r="PKN39" s="899"/>
      <c r="PKO39" s="899"/>
      <c r="PKP39" s="899"/>
      <c r="PKQ39" s="899"/>
      <c r="PKR39" s="899"/>
      <c r="PKS39" s="899"/>
      <c r="PKT39" s="899"/>
      <c r="PKU39" s="899"/>
      <c r="PKV39" s="899"/>
      <c r="PKW39" s="899"/>
      <c r="PKX39" s="899"/>
      <c r="PKY39" s="899"/>
      <c r="PKZ39" s="899"/>
      <c r="PLA39" s="899"/>
      <c r="PLB39" s="899"/>
      <c r="PLC39" s="899"/>
      <c r="PLD39" s="899"/>
      <c r="PLE39" s="899"/>
      <c r="PLF39" s="899"/>
      <c r="PLG39" s="899"/>
      <c r="PLH39" s="899"/>
      <c r="PLI39" s="899"/>
      <c r="PLJ39" s="899"/>
      <c r="PLK39" s="899"/>
      <c r="PLL39" s="899"/>
      <c r="PLM39" s="899"/>
      <c r="PLN39" s="899"/>
      <c r="PLO39" s="899"/>
      <c r="PLP39" s="899"/>
      <c r="PLQ39" s="899"/>
      <c r="PLR39" s="899"/>
      <c r="PLS39" s="899"/>
      <c r="PLT39" s="899"/>
      <c r="PLU39" s="899"/>
      <c r="PLV39" s="899"/>
      <c r="PLW39" s="899"/>
      <c r="PLX39" s="899"/>
      <c r="PLY39" s="899"/>
      <c r="PLZ39" s="899"/>
      <c r="PMA39" s="899"/>
      <c r="PMB39" s="899"/>
      <c r="PMC39" s="899"/>
      <c r="PMD39" s="899"/>
      <c r="PME39" s="899"/>
      <c r="PMF39" s="899"/>
      <c r="PMG39" s="899"/>
      <c r="PMH39" s="899"/>
      <c r="PMI39" s="899"/>
      <c r="PMJ39" s="899"/>
      <c r="PMK39" s="899"/>
      <c r="PML39" s="899"/>
      <c r="PMM39" s="899"/>
      <c r="PMN39" s="899"/>
      <c r="PMO39" s="899"/>
      <c r="PMP39" s="899"/>
      <c r="PMQ39" s="899"/>
      <c r="PMR39" s="899"/>
      <c r="PMS39" s="899"/>
      <c r="PMT39" s="899"/>
      <c r="PMU39" s="899"/>
      <c r="PMV39" s="899"/>
      <c r="PMW39" s="899"/>
      <c r="PMX39" s="899"/>
      <c r="PMY39" s="899"/>
      <c r="PMZ39" s="899"/>
      <c r="PNA39" s="899"/>
      <c r="PNB39" s="899"/>
      <c r="PNC39" s="899"/>
      <c r="PND39" s="899"/>
      <c r="PNE39" s="899"/>
      <c r="PNF39" s="899"/>
      <c r="PNG39" s="899"/>
      <c r="PNH39" s="899"/>
      <c r="PNI39" s="899"/>
      <c r="PNJ39" s="899"/>
      <c r="PNK39" s="899"/>
      <c r="PNL39" s="899"/>
      <c r="PNM39" s="899"/>
      <c r="PNN39" s="899"/>
      <c r="PNO39" s="899"/>
      <c r="PNP39" s="899"/>
      <c r="PNQ39" s="899"/>
      <c r="PNR39" s="899"/>
      <c r="PNS39" s="899"/>
      <c r="PNT39" s="899"/>
      <c r="PNU39" s="899"/>
      <c r="PNV39" s="899"/>
      <c r="PNW39" s="899"/>
      <c r="PNX39" s="899"/>
      <c r="PNY39" s="899"/>
      <c r="PNZ39" s="899"/>
      <c r="POA39" s="899"/>
      <c r="POB39" s="899"/>
      <c r="POC39" s="899"/>
      <c r="POD39" s="899"/>
      <c r="POE39" s="899"/>
      <c r="POF39" s="899"/>
      <c r="POG39" s="899"/>
      <c r="POH39" s="899"/>
      <c r="POI39" s="899"/>
      <c r="POJ39" s="899"/>
      <c r="POK39" s="899"/>
      <c r="POL39" s="899"/>
      <c r="POM39" s="899"/>
      <c r="PON39" s="899"/>
      <c r="POO39" s="899"/>
      <c r="POP39" s="899"/>
      <c r="POQ39" s="899"/>
      <c r="POR39" s="899"/>
      <c r="POS39" s="899"/>
      <c r="POT39" s="899"/>
      <c r="POU39" s="899"/>
      <c r="POV39" s="899"/>
      <c r="POW39" s="899"/>
      <c r="POX39" s="899"/>
      <c r="POY39" s="899"/>
      <c r="POZ39" s="899"/>
      <c r="PPA39" s="899"/>
      <c r="PPB39" s="899"/>
      <c r="PPC39" s="899"/>
      <c r="PPD39" s="899"/>
      <c r="PPE39" s="899"/>
      <c r="PPF39" s="899"/>
      <c r="PPG39" s="899"/>
      <c r="PPH39" s="899"/>
      <c r="PPI39" s="899"/>
      <c r="PPJ39" s="899"/>
      <c r="PPK39" s="899"/>
      <c r="PPL39" s="899"/>
      <c r="PPM39" s="899"/>
      <c r="PPN39" s="899"/>
      <c r="PPO39" s="899"/>
      <c r="PPP39" s="899"/>
      <c r="PPQ39" s="899"/>
      <c r="PPR39" s="899"/>
      <c r="PPS39" s="899"/>
      <c r="PPT39" s="899"/>
      <c r="PPU39" s="899"/>
      <c r="PPV39" s="899"/>
      <c r="PPW39" s="899"/>
      <c r="PPX39" s="899"/>
      <c r="PPY39" s="899"/>
      <c r="PPZ39" s="899"/>
      <c r="PQA39" s="899"/>
      <c r="PQB39" s="899"/>
      <c r="PQC39" s="899"/>
      <c r="PQD39" s="899"/>
      <c r="PQE39" s="899"/>
      <c r="PQF39" s="899"/>
      <c r="PQG39" s="899"/>
      <c r="PQH39" s="899"/>
      <c r="PQI39" s="899"/>
      <c r="PQJ39" s="899"/>
      <c r="PQK39" s="899"/>
      <c r="PQL39" s="899"/>
      <c r="PQM39" s="899"/>
      <c r="PQN39" s="899"/>
      <c r="PQO39" s="899"/>
      <c r="PQP39" s="899"/>
      <c r="PQQ39" s="899"/>
      <c r="PQR39" s="899"/>
      <c r="PQS39" s="899"/>
      <c r="PQT39" s="899"/>
      <c r="PQU39" s="899"/>
      <c r="PQV39" s="899"/>
      <c r="PQW39" s="899"/>
      <c r="PQX39" s="899"/>
      <c r="PQY39" s="899"/>
      <c r="PQZ39" s="899"/>
      <c r="PRA39" s="899"/>
      <c r="PRB39" s="899"/>
      <c r="PRC39" s="899"/>
      <c r="PRD39" s="899"/>
      <c r="PRE39" s="899"/>
      <c r="PRF39" s="899"/>
      <c r="PRG39" s="899"/>
      <c r="PRH39" s="899"/>
      <c r="PRI39" s="899"/>
      <c r="PRJ39" s="899"/>
      <c r="PRK39" s="899"/>
      <c r="PRL39" s="899"/>
      <c r="PRM39" s="899"/>
      <c r="PRN39" s="899"/>
      <c r="PRO39" s="899"/>
      <c r="PRP39" s="899"/>
      <c r="PRQ39" s="899"/>
      <c r="PRR39" s="899"/>
      <c r="PRS39" s="899"/>
      <c r="PRT39" s="899"/>
      <c r="PRU39" s="899"/>
      <c r="PRV39" s="899"/>
      <c r="PRW39" s="899"/>
      <c r="PRX39" s="899"/>
      <c r="PRY39" s="899"/>
      <c r="PRZ39" s="899"/>
      <c r="PSA39" s="899"/>
      <c r="PSB39" s="899"/>
      <c r="PSC39" s="899"/>
      <c r="PSD39" s="899"/>
      <c r="PSE39" s="899"/>
      <c r="PSF39" s="899"/>
      <c r="PSG39" s="899"/>
      <c r="PSH39" s="899"/>
      <c r="PSI39" s="899"/>
      <c r="PSJ39" s="899"/>
      <c r="PSK39" s="899"/>
      <c r="PSL39" s="899"/>
      <c r="PSM39" s="899"/>
      <c r="PSN39" s="899"/>
      <c r="PSO39" s="899"/>
      <c r="PSP39" s="899"/>
      <c r="PSQ39" s="899"/>
      <c r="PSR39" s="899"/>
      <c r="PSS39" s="899"/>
      <c r="PST39" s="899"/>
      <c r="PSU39" s="899"/>
      <c r="PSV39" s="899"/>
      <c r="PSW39" s="899"/>
      <c r="PSX39" s="899"/>
      <c r="PSY39" s="899"/>
      <c r="PSZ39" s="899"/>
      <c r="PTA39" s="899"/>
      <c r="PTB39" s="899"/>
      <c r="PTC39" s="899"/>
      <c r="PTD39" s="899"/>
      <c r="PTE39" s="899"/>
      <c r="PTF39" s="899"/>
      <c r="PTG39" s="899"/>
      <c r="PTH39" s="899"/>
      <c r="PTI39" s="899"/>
      <c r="PTJ39" s="899"/>
      <c r="PTK39" s="899"/>
      <c r="PTL39" s="899"/>
      <c r="PTM39" s="899"/>
      <c r="PTN39" s="899"/>
      <c r="PTO39" s="899"/>
      <c r="PTP39" s="899"/>
      <c r="PTQ39" s="899"/>
      <c r="PTR39" s="899"/>
      <c r="PTS39" s="899"/>
      <c r="PTT39" s="899"/>
      <c r="PTU39" s="899"/>
      <c r="PTV39" s="899"/>
      <c r="PTW39" s="899"/>
      <c r="PTX39" s="899"/>
      <c r="PTY39" s="899"/>
      <c r="PTZ39" s="899"/>
      <c r="PUA39" s="899"/>
      <c r="PUB39" s="899"/>
      <c r="PUC39" s="899"/>
      <c r="PUD39" s="899"/>
      <c r="PUE39" s="899"/>
      <c r="PUF39" s="899"/>
      <c r="PUG39" s="899"/>
      <c r="PUH39" s="899"/>
      <c r="PUI39" s="899"/>
      <c r="PUJ39" s="899"/>
      <c r="PUK39" s="899"/>
      <c r="PUL39" s="899"/>
      <c r="PUM39" s="899"/>
      <c r="PUN39" s="899"/>
      <c r="PUO39" s="899"/>
      <c r="PUP39" s="899"/>
      <c r="PUQ39" s="899"/>
      <c r="PUR39" s="899"/>
      <c r="PUS39" s="899"/>
      <c r="PUT39" s="899"/>
      <c r="PUU39" s="899"/>
      <c r="PUV39" s="899"/>
      <c r="PUW39" s="899"/>
      <c r="PUX39" s="899"/>
      <c r="PUY39" s="899"/>
      <c r="PUZ39" s="899"/>
      <c r="PVA39" s="899"/>
      <c r="PVB39" s="899"/>
      <c r="PVC39" s="899"/>
      <c r="PVD39" s="899"/>
      <c r="PVE39" s="899"/>
      <c r="PVF39" s="899"/>
      <c r="PVG39" s="899"/>
      <c r="PVH39" s="899"/>
      <c r="PVI39" s="899"/>
      <c r="PVJ39" s="899"/>
      <c r="PVK39" s="899"/>
      <c r="PVL39" s="899"/>
      <c r="PVM39" s="899"/>
      <c r="PVN39" s="899"/>
      <c r="PVO39" s="899"/>
      <c r="PVP39" s="899"/>
      <c r="PVQ39" s="899"/>
      <c r="PVR39" s="899"/>
      <c r="PVS39" s="899"/>
      <c r="PVT39" s="899"/>
      <c r="PVU39" s="899"/>
      <c r="PVV39" s="899"/>
      <c r="PVW39" s="899"/>
      <c r="PVX39" s="899"/>
      <c r="PVY39" s="899"/>
      <c r="PVZ39" s="899"/>
      <c r="PWA39" s="899"/>
      <c r="PWB39" s="899"/>
      <c r="PWC39" s="899"/>
      <c r="PWD39" s="899"/>
      <c r="PWE39" s="899"/>
      <c r="PWF39" s="899"/>
      <c r="PWG39" s="899"/>
      <c r="PWH39" s="899"/>
      <c r="PWI39" s="899"/>
      <c r="PWJ39" s="899"/>
      <c r="PWK39" s="899"/>
      <c r="PWL39" s="899"/>
      <c r="PWM39" s="899"/>
      <c r="PWN39" s="899"/>
      <c r="PWO39" s="899"/>
      <c r="PWP39" s="899"/>
      <c r="PWQ39" s="899"/>
      <c r="PWR39" s="899"/>
      <c r="PWS39" s="899"/>
      <c r="PWT39" s="899"/>
      <c r="PWU39" s="899"/>
      <c r="PWV39" s="899"/>
      <c r="PWW39" s="899"/>
      <c r="PWX39" s="899"/>
      <c r="PWY39" s="899"/>
      <c r="PWZ39" s="899"/>
      <c r="PXA39" s="899"/>
      <c r="PXB39" s="899"/>
      <c r="PXC39" s="899"/>
      <c r="PXD39" s="899"/>
      <c r="PXE39" s="899"/>
      <c r="PXF39" s="899"/>
      <c r="PXG39" s="899"/>
      <c r="PXH39" s="899"/>
      <c r="PXI39" s="899"/>
      <c r="PXJ39" s="899"/>
      <c r="PXK39" s="899"/>
      <c r="PXL39" s="899"/>
      <c r="PXM39" s="899"/>
      <c r="PXN39" s="899"/>
      <c r="PXO39" s="899"/>
      <c r="PXP39" s="899"/>
      <c r="PXQ39" s="899"/>
      <c r="PXR39" s="899"/>
      <c r="PXS39" s="899"/>
      <c r="PXT39" s="899"/>
      <c r="PXU39" s="899"/>
      <c r="PXV39" s="899"/>
      <c r="PXW39" s="899"/>
      <c r="PXX39" s="899"/>
      <c r="PXY39" s="899"/>
      <c r="PXZ39" s="899"/>
      <c r="PYA39" s="899"/>
      <c r="PYB39" s="899"/>
      <c r="PYC39" s="899"/>
      <c r="PYD39" s="899"/>
      <c r="PYE39" s="899"/>
      <c r="PYF39" s="899"/>
      <c r="PYG39" s="899"/>
      <c r="PYH39" s="899"/>
      <c r="PYI39" s="899"/>
      <c r="PYJ39" s="899"/>
      <c r="PYK39" s="899"/>
      <c r="PYL39" s="899"/>
      <c r="PYM39" s="899"/>
      <c r="PYN39" s="899"/>
      <c r="PYO39" s="899"/>
      <c r="PYP39" s="899"/>
      <c r="PYQ39" s="899"/>
      <c r="PYR39" s="899"/>
      <c r="PYS39" s="899"/>
      <c r="PYT39" s="899"/>
      <c r="PYU39" s="899"/>
      <c r="PYV39" s="899"/>
      <c r="PYW39" s="899"/>
      <c r="PYX39" s="899"/>
      <c r="PYY39" s="899"/>
      <c r="PYZ39" s="899"/>
      <c r="PZA39" s="899"/>
      <c r="PZB39" s="899"/>
      <c r="PZC39" s="899"/>
      <c r="PZD39" s="899"/>
      <c r="PZE39" s="899"/>
      <c r="PZF39" s="899"/>
      <c r="PZG39" s="899"/>
      <c r="PZH39" s="899"/>
      <c r="PZI39" s="899"/>
      <c r="PZJ39" s="899"/>
      <c r="PZK39" s="899"/>
      <c r="PZL39" s="899"/>
      <c r="PZM39" s="899"/>
      <c r="PZN39" s="899"/>
      <c r="PZO39" s="899"/>
      <c r="PZP39" s="899"/>
      <c r="PZQ39" s="899"/>
      <c r="PZR39" s="899"/>
      <c r="PZS39" s="899"/>
      <c r="PZT39" s="899"/>
      <c r="PZU39" s="899"/>
      <c r="PZV39" s="899"/>
      <c r="PZW39" s="899"/>
      <c r="PZX39" s="899"/>
      <c r="PZY39" s="899"/>
      <c r="PZZ39" s="899"/>
      <c r="QAA39" s="899"/>
      <c r="QAB39" s="899"/>
      <c r="QAC39" s="899"/>
      <c r="QAD39" s="899"/>
      <c r="QAE39" s="899"/>
      <c r="QAF39" s="899"/>
      <c r="QAG39" s="899"/>
      <c r="QAH39" s="899"/>
      <c r="QAI39" s="899"/>
      <c r="QAJ39" s="899"/>
      <c r="QAK39" s="899"/>
      <c r="QAL39" s="899"/>
      <c r="QAM39" s="899"/>
      <c r="QAN39" s="899"/>
      <c r="QAO39" s="899"/>
      <c r="QAP39" s="899"/>
      <c r="QAQ39" s="899"/>
      <c r="QAR39" s="899"/>
      <c r="QAS39" s="899"/>
      <c r="QAT39" s="899"/>
      <c r="QAU39" s="899"/>
      <c r="QAV39" s="899"/>
      <c r="QAW39" s="899"/>
      <c r="QAX39" s="899"/>
      <c r="QAY39" s="899"/>
      <c r="QAZ39" s="899"/>
      <c r="QBA39" s="899"/>
      <c r="QBB39" s="899"/>
      <c r="QBC39" s="899"/>
      <c r="QBD39" s="899"/>
      <c r="QBE39" s="899"/>
      <c r="QBF39" s="899"/>
      <c r="QBG39" s="899"/>
      <c r="QBH39" s="899"/>
      <c r="QBI39" s="899"/>
      <c r="QBJ39" s="899"/>
      <c r="QBK39" s="899"/>
      <c r="QBL39" s="899"/>
      <c r="QBM39" s="899"/>
      <c r="QBN39" s="899"/>
      <c r="QBO39" s="899"/>
      <c r="QBP39" s="899"/>
      <c r="QBQ39" s="899"/>
      <c r="QBR39" s="899"/>
      <c r="QBS39" s="899"/>
      <c r="QBT39" s="899"/>
      <c r="QBU39" s="899"/>
      <c r="QBV39" s="899"/>
      <c r="QBW39" s="899"/>
      <c r="QBX39" s="899"/>
      <c r="QBY39" s="899"/>
      <c r="QBZ39" s="899"/>
      <c r="QCA39" s="899"/>
      <c r="QCB39" s="899"/>
      <c r="QCC39" s="899"/>
      <c r="QCD39" s="899"/>
      <c r="QCE39" s="899"/>
      <c r="QCF39" s="899"/>
      <c r="QCG39" s="899"/>
      <c r="QCH39" s="899"/>
      <c r="QCI39" s="899"/>
      <c r="QCJ39" s="899"/>
      <c r="QCK39" s="899"/>
      <c r="QCL39" s="899"/>
      <c r="QCM39" s="899"/>
      <c r="QCN39" s="899"/>
      <c r="QCO39" s="899"/>
      <c r="QCP39" s="899"/>
      <c r="QCQ39" s="899"/>
      <c r="QCR39" s="899"/>
      <c r="QCS39" s="899"/>
      <c r="QCT39" s="899"/>
      <c r="QCU39" s="899"/>
      <c r="QCV39" s="899"/>
      <c r="QCW39" s="899"/>
      <c r="QCX39" s="899"/>
      <c r="QCY39" s="899"/>
      <c r="QCZ39" s="899"/>
      <c r="QDA39" s="899"/>
      <c r="QDB39" s="899"/>
      <c r="QDC39" s="899"/>
      <c r="QDD39" s="899"/>
      <c r="QDE39" s="899"/>
      <c r="QDF39" s="899"/>
      <c r="QDG39" s="899"/>
      <c r="QDH39" s="899"/>
      <c r="QDI39" s="899"/>
      <c r="QDJ39" s="899"/>
      <c r="QDK39" s="899"/>
      <c r="QDL39" s="899"/>
      <c r="QDM39" s="899"/>
      <c r="QDN39" s="899"/>
      <c r="QDO39" s="899"/>
      <c r="QDP39" s="899"/>
      <c r="QDQ39" s="899"/>
      <c r="QDR39" s="899"/>
      <c r="QDS39" s="899"/>
      <c r="QDT39" s="899"/>
      <c r="QDU39" s="899"/>
      <c r="QDV39" s="899"/>
      <c r="QDW39" s="899"/>
      <c r="QDX39" s="899"/>
      <c r="QDY39" s="899"/>
      <c r="QDZ39" s="899"/>
      <c r="QEA39" s="899"/>
      <c r="QEB39" s="899"/>
      <c r="QEC39" s="899"/>
      <c r="QED39" s="899"/>
      <c r="QEE39" s="899"/>
      <c r="QEF39" s="899"/>
      <c r="QEG39" s="899"/>
      <c r="QEH39" s="899"/>
      <c r="QEI39" s="899"/>
      <c r="QEJ39" s="899"/>
      <c r="QEK39" s="899"/>
      <c r="QEL39" s="899"/>
      <c r="QEM39" s="899"/>
      <c r="QEN39" s="899"/>
      <c r="QEO39" s="899"/>
      <c r="QEP39" s="899"/>
      <c r="QEQ39" s="899"/>
      <c r="QER39" s="899"/>
      <c r="QES39" s="899"/>
      <c r="QET39" s="899"/>
      <c r="QEU39" s="899"/>
      <c r="QEV39" s="899"/>
      <c r="QEW39" s="899"/>
      <c r="QEX39" s="899"/>
      <c r="QEY39" s="899"/>
      <c r="QEZ39" s="899"/>
      <c r="QFA39" s="899"/>
      <c r="QFB39" s="899"/>
      <c r="QFC39" s="899"/>
      <c r="QFD39" s="899"/>
      <c r="QFE39" s="899"/>
      <c r="QFF39" s="899"/>
      <c r="QFG39" s="899"/>
      <c r="QFH39" s="899"/>
      <c r="QFI39" s="899"/>
      <c r="QFJ39" s="899"/>
      <c r="QFK39" s="899"/>
      <c r="QFL39" s="899"/>
      <c r="QFM39" s="899"/>
      <c r="QFN39" s="899"/>
      <c r="QFO39" s="899"/>
      <c r="QFP39" s="899"/>
      <c r="QFQ39" s="899"/>
      <c r="QFR39" s="899"/>
      <c r="QFS39" s="899"/>
      <c r="QFT39" s="899"/>
      <c r="QFU39" s="899"/>
      <c r="QFV39" s="899"/>
      <c r="QFW39" s="899"/>
      <c r="QFX39" s="899"/>
      <c r="QFY39" s="899"/>
      <c r="QFZ39" s="899"/>
      <c r="QGA39" s="899"/>
      <c r="QGB39" s="899"/>
      <c r="QGC39" s="899"/>
      <c r="QGD39" s="899"/>
      <c r="QGE39" s="899"/>
      <c r="QGF39" s="899"/>
      <c r="QGG39" s="899"/>
      <c r="QGH39" s="899"/>
      <c r="QGI39" s="899"/>
      <c r="QGJ39" s="899"/>
      <c r="QGK39" s="899"/>
      <c r="QGL39" s="899"/>
      <c r="QGM39" s="899"/>
      <c r="QGN39" s="899"/>
      <c r="QGO39" s="899"/>
      <c r="QGP39" s="899"/>
      <c r="QGQ39" s="899"/>
      <c r="QGR39" s="899"/>
      <c r="QGS39" s="899"/>
      <c r="QGT39" s="899"/>
      <c r="QGU39" s="899"/>
      <c r="QGV39" s="899"/>
      <c r="QGW39" s="899"/>
      <c r="QGX39" s="899"/>
      <c r="QGY39" s="899"/>
      <c r="QGZ39" s="899"/>
      <c r="QHA39" s="899"/>
      <c r="QHB39" s="899"/>
      <c r="QHC39" s="899"/>
      <c r="QHD39" s="899"/>
      <c r="QHE39" s="899"/>
      <c r="QHF39" s="899"/>
      <c r="QHG39" s="899"/>
      <c r="QHH39" s="899"/>
      <c r="QHI39" s="899"/>
      <c r="QHJ39" s="899"/>
      <c r="QHK39" s="899"/>
      <c r="QHL39" s="899"/>
      <c r="QHM39" s="899"/>
      <c r="QHN39" s="899"/>
      <c r="QHO39" s="899"/>
      <c r="QHP39" s="899"/>
      <c r="QHQ39" s="899"/>
      <c r="QHR39" s="899"/>
      <c r="QHS39" s="899"/>
      <c r="QHT39" s="899"/>
      <c r="QHU39" s="899"/>
      <c r="QHV39" s="899"/>
      <c r="QHW39" s="899"/>
      <c r="QHX39" s="899"/>
      <c r="QHY39" s="899"/>
      <c r="QHZ39" s="899"/>
      <c r="QIA39" s="899"/>
      <c r="QIB39" s="899"/>
      <c r="QIC39" s="899"/>
      <c r="QID39" s="899"/>
      <c r="QIE39" s="899"/>
      <c r="QIF39" s="899"/>
      <c r="QIG39" s="899"/>
      <c r="QIH39" s="899"/>
      <c r="QII39" s="899"/>
      <c r="QIJ39" s="899"/>
      <c r="QIK39" s="899"/>
      <c r="QIL39" s="899"/>
      <c r="QIM39" s="899"/>
      <c r="QIN39" s="899"/>
      <c r="QIO39" s="899"/>
      <c r="QIP39" s="899"/>
      <c r="QIQ39" s="899"/>
      <c r="QIR39" s="899"/>
      <c r="QIS39" s="899"/>
      <c r="QIT39" s="899"/>
      <c r="QIU39" s="899"/>
      <c r="QIV39" s="899"/>
      <c r="QIW39" s="899"/>
      <c r="QIX39" s="899"/>
      <c r="QIY39" s="899"/>
      <c r="QIZ39" s="899"/>
      <c r="QJA39" s="899"/>
      <c r="QJB39" s="899"/>
      <c r="QJC39" s="899"/>
      <c r="QJD39" s="899"/>
      <c r="QJE39" s="899"/>
      <c r="QJF39" s="899"/>
      <c r="QJG39" s="899"/>
      <c r="QJH39" s="899"/>
      <c r="QJI39" s="899"/>
      <c r="QJJ39" s="899"/>
      <c r="QJK39" s="899"/>
      <c r="QJL39" s="899"/>
      <c r="QJM39" s="899"/>
      <c r="QJN39" s="899"/>
      <c r="QJO39" s="899"/>
      <c r="QJP39" s="899"/>
      <c r="QJQ39" s="899"/>
      <c r="QJR39" s="899"/>
      <c r="QJS39" s="899"/>
      <c r="QJT39" s="899"/>
      <c r="QJU39" s="899"/>
      <c r="QJV39" s="899"/>
      <c r="QJW39" s="899"/>
      <c r="QJX39" s="899"/>
      <c r="QJY39" s="899"/>
      <c r="QJZ39" s="899"/>
      <c r="QKA39" s="899"/>
      <c r="QKB39" s="899"/>
      <c r="QKC39" s="899"/>
      <c r="QKD39" s="899"/>
      <c r="QKE39" s="899"/>
      <c r="QKF39" s="899"/>
      <c r="QKG39" s="899"/>
      <c r="QKH39" s="899"/>
      <c r="QKI39" s="899"/>
      <c r="QKJ39" s="899"/>
      <c r="QKK39" s="899"/>
      <c r="QKL39" s="899"/>
      <c r="QKM39" s="899"/>
      <c r="QKN39" s="899"/>
      <c r="QKO39" s="899"/>
      <c r="QKP39" s="899"/>
      <c r="QKQ39" s="899"/>
      <c r="QKR39" s="899"/>
      <c r="QKS39" s="899"/>
      <c r="QKT39" s="899"/>
      <c r="QKU39" s="899"/>
      <c r="QKV39" s="899"/>
      <c r="QKW39" s="899"/>
      <c r="QKX39" s="899"/>
      <c r="QKY39" s="899"/>
      <c r="QKZ39" s="899"/>
      <c r="QLA39" s="899"/>
      <c r="QLB39" s="899"/>
      <c r="QLC39" s="899"/>
      <c r="QLD39" s="899"/>
      <c r="QLE39" s="899"/>
      <c r="QLF39" s="899"/>
      <c r="QLG39" s="899"/>
      <c r="QLH39" s="899"/>
      <c r="QLI39" s="899"/>
      <c r="QLJ39" s="899"/>
      <c r="QLK39" s="899"/>
      <c r="QLL39" s="899"/>
      <c r="QLM39" s="899"/>
      <c r="QLN39" s="899"/>
      <c r="QLO39" s="899"/>
      <c r="QLP39" s="899"/>
      <c r="QLQ39" s="899"/>
      <c r="QLR39" s="899"/>
      <c r="QLS39" s="899"/>
      <c r="QLT39" s="899"/>
      <c r="QLU39" s="899"/>
      <c r="QLV39" s="899"/>
      <c r="QLW39" s="899"/>
      <c r="QLX39" s="899"/>
      <c r="QLY39" s="899"/>
      <c r="QLZ39" s="899"/>
      <c r="QMA39" s="899"/>
      <c r="QMB39" s="899"/>
      <c r="QMC39" s="899"/>
      <c r="QMD39" s="899"/>
      <c r="QME39" s="899"/>
      <c r="QMF39" s="899"/>
      <c r="QMG39" s="899"/>
      <c r="QMH39" s="899"/>
      <c r="QMI39" s="899"/>
      <c r="QMJ39" s="899"/>
      <c r="QMK39" s="899"/>
      <c r="QML39" s="899"/>
      <c r="QMM39" s="899"/>
      <c r="QMN39" s="899"/>
      <c r="QMO39" s="899"/>
      <c r="QMP39" s="899"/>
      <c r="QMQ39" s="899"/>
      <c r="QMR39" s="899"/>
      <c r="QMS39" s="899"/>
      <c r="QMT39" s="899"/>
      <c r="QMU39" s="899"/>
      <c r="QMV39" s="899"/>
      <c r="QMW39" s="899"/>
      <c r="QMX39" s="899"/>
      <c r="QMY39" s="899"/>
      <c r="QMZ39" s="899"/>
      <c r="QNA39" s="899"/>
      <c r="QNB39" s="899"/>
      <c r="QNC39" s="899"/>
      <c r="QND39" s="899"/>
      <c r="QNE39" s="899"/>
      <c r="QNF39" s="899"/>
      <c r="QNG39" s="899"/>
      <c r="QNH39" s="899"/>
      <c r="QNI39" s="899"/>
      <c r="QNJ39" s="899"/>
      <c r="QNK39" s="899"/>
      <c r="QNL39" s="899"/>
      <c r="QNM39" s="899"/>
      <c r="QNN39" s="899"/>
      <c r="QNO39" s="899"/>
      <c r="QNP39" s="899"/>
      <c r="QNQ39" s="899"/>
      <c r="QNR39" s="899"/>
      <c r="QNS39" s="899"/>
      <c r="QNT39" s="899"/>
      <c r="QNU39" s="899"/>
      <c r="QNV39" s="899"/>
      <c r="QNW39" s="899"/>
      <c r="QNX39" s="899"/>
      <c r="QNY39" s="899"/>
      <c r="QNZ39" s="899"/>
      <c r="QOA39" s="899"/>
      <c r="QOB39" s="899"/>
      <c r="QOC39" s="899"/>
      <c r="QOD39" s="899"/>
      <c r="QOE39" s="899"/>
      <c r="QOF39" s="899"/>
      <c r="QOG39" s="899"/>
      <c r="QOH39" s="899"/>
      <c r="QOI39" s="899"/>
      <c r="QOJ39" s="899"/>
      <c r="QOK39" s="899"/>
      <c r="QOL39" s="899"/>
      <c r="QOM39" s="899"/>
      <c r="QON39" s="899"/>
      <c r="QOO39" s="899"/>
      <c r="QOP39" s="899"/>
      <c r="QOQ39" s="899"/>
      <c r="QOR39" s="899"/>
      <c r="QOS39" s="899"/>
      <c r="QOT39" s="899"/>
      <c r="QOU39" s="899"/>
      <c r="QOV39" s="899"/>
      <c r="QOW39" s="899"/>
      <c r="QOX39" s="899"/>
      <c r="QOY39" s="899"/>
      <c r="QOZ39" s="899"/>
      <c r="QPA39" s="899"/>
      <c r="QPB39" s="899"/>
      <c r="QPC39" s="899"/>
      <c r="QPD39" s="899"/>
      <c r="QPE39" s="899"/>
      <c r="QPF39" s="899"/>
      <c r="QPG39" s="899"/>
      <c r="QPH39" s="899"/>
      <c r="QPI39" s="899"/>
      <c r="QPJ39" s="899"/>
      <c r="QPK39" s="899"/>
      <c r="QPL39" s="899"/>
      <c r="QPM39" s="899"/>
      <c r="QPN39" s="899"/>
      <c r="QPO39" s="899"/>
      <c r="QPP39" s="899"/>
      <c r="QPQ39" s="899"/>
      <c r="QPR39" s="899"/>
      <c r="QPS39" s="899"/>
      <c r="QPT39" s="899"/>
      <c r="QPU39" s="899"/>
      <c r="QPV39" s="899"/>
      <c r="QPW39" s="899"/>
      <c r="QPX39" s="899"/>
      <c r="QPY39" s="899"/>
      <c r="QPZ39" s="899"/>
      <c r="QQA39" s="899"/>
      <c r="QQB39" s="899"/>
      <c r="QQC39" s="899"/>
      <c r="QQD39" s="899"/>
      <c r="QQE39" s="899"/>
      <c r="QQF39" s="899"/>
      <c r="QQG39" s="899"/>
      <c r="QQH39" s="899"/>
      <c r="QQI39" s="899"/>
      <c r="QQJ39" s="899"/>
      <c r="QQK39" s="899"/>
      <c r="QQL39" s="899"/>
      <c r="QQM39" s="899"/>
      <c r="QQN39" s="899"/>
      <c r="QQO39" s="899"/>
      <c r="QQP39" s="899"/>
      <c r="QQQ39" s="899"/>
      <c r="QQR39" s="899"/>
      <c r="QQS39" s="899"/>
      <c r="QQT39" s="899"/>
      <c r="QQU39" s="899"/>
      <c r="QQV39" s="899"/>
      <c r="QQW39" s="899"/>
      <c r="QQX39" s="899"/>
      <c r="QQY39" s="899"/>
      <c r="QQZ39" s="899"/>
      <c r="QRA39" s="899"/>
      <c r="QRB39" s="899"/>
      <c r="QRC39" s="899"/>
      <c r="QRD39" s="899"/>
      <c r="QRE39" s="899"/>
      <c r="QRF39" s="899"/>
      <c r="QRG39" s="899"/>
      <c r="QRH39" s="899"/>
      <c r="QRI39" s="899"/>
      <c r="QRJ39" s="899"/>
      <c r="QRK39" s="899"/>
      <c r="QRL39" s="899"/>
      <c r="QRM39" s="899"/>
      <c r="QRN39" s="899"/>
      <c r="QRO39" s="899"/>
      <c r="QRP39" s="899"/>
      <c r="QRQ39" s="899"/>
      <c r="QRR39" s="899"/>
      <c r="QRS39" s="899"/>
      <c r="QRT39" s="899"/>
      <c r="QRU39" s="899"/>
      <c r="QRV39" s="899"/>
      <c r="QRW39" s="899"/>
      <c r="QRX39" s="899"/>
      <c r="QRY39" s="899"/>
      <c r="QRZ39" s="899"/>
      <c r="QSA39" s="899"/>
      <c r="QSB39" s="899"/>
      <c r="QSC39" s="899"/>
      <c r="QSD39" s="899"/>
      <c r="QSE39" s="899"/>
      <c r="QSF39" s="899"/>
      <c r="QSG39" s="899"/>
      <c r="QSH39" s="899"/>
      <c r="QSI39" s="899"/>
      <c r="QSJ39" s="899"/>
      <c r="QSK39" s="899"/>
      <c r="QSL39" s="899"/>
      <c r="QSM39" s="899"/>
      <c r="QSN39" s="899"/>
      <c r="QSO39" s="899"/>
      <c r="QSP39" s="899"/>
      <c r="QSQ39" s="899"/>
      <c r="QSR39" s="899"/>
      <c r="QSS39" s="899"/>
      <c r="QST39" s="899"/>
      <c r="QSU39" s="899"/>
      <c r="QSV39" s="899"/>
      <c r="QSW39" s="899"/>
      <c r="QSX39" s="899"/>
      <c r="QSY39" s="899"/>
      <c r="QSZ39" s="899"/>
      <c r="QTA39" s="899"/>
      <c r="QTB39" s="899"/>
      <c r="QTC39" s="899"/>
      <c r="QTD39" s="899"/>
      <c r="QTE39" s="899"/>
      <c r="QTF39" s="899"/>
      <c r="QTG39" s="899"/>
      <c r="QTH39" s="899"/>
      <c r="QTI39" s="899"/>
      <c r="QTJ39" s="899"/>
      <c r="QTK39" s="899"/>
      <c r="QTL39" s="899"/>
      <c r="QTM39" s="899"/>
      <c r="QTN39" s="899"/>
      <c r="QTO39" s="899"/>
      <c r="QTP39" s="899"/>
      <c r="QTQ39" s="899"/>
      <c r="QTR39" s="899"/>
      <c r="QTS39" s="899"/>
      <c r="QTT39" s="899"/>
      <c r="QTU39" s="899"/>
      <c r="QTV39" s="899"/>
      <c r="QTW39" s="899"/>
      <c r="QTX39" s="899"/>
      <c r="QTY39" s="899"/>
      <c r="QTZ39" s="899"/>
      <c r="QUA39" s="899"/>
      <c r="QUB39" s="899"/>
      <c r="QUC39" s="899"/>
      <c r="QUD39" s="899"/>
      <c r="QUE39" s="899"/>
      <c r="QUF39" s="899"/>
      <c r="QUG39" s="899"/>
      <c r="QUH39" s="899"/>
      <c r="QUI39" s="899"/>
      <c r="QUJ39" s="899"/>
      <c r="QUK39" s="899"/>
      <c r="QUL39" s="899"/>
      <c r="QUM39" s="899"/>
      <c r="QUN39" s="899"/>
      <c r="QUO39" s="899"/>
      <c r="QUP39" s="899"/>
      <c r="QUQ39" s="899"/>
      <c r="QUR39" s="899"/>
      <c r="QUS39" s="899"/>
      <c r="QUT39" s="899"/>
      <c r="QUU39" s="899"/>
      <c r="QUV39" s="899"/>
      <c r="QUW39" s="899"/>
      <c r="QUX39" s="899"/>
      <c r="QUY39" s="899"/>
      <c r="QUZ39" s="899"/>
      <c r="QVA39" s="899"/>
      <c r="QVB39" s="899"/>
      <c r="QVC39" s="899"/>
      <c r="QVD39" s="899"/>
      <c r="QVE39" s="899"/>
      <c r="QVF39" s="899"/>
      <c r="QVG39" s="899"/>
      <c r="QVH39" s="899"/>
      <c r="QVI39" s="899"/>
      <c r="QVJ39" s="899"/>
      <c r="QVK39" s="899"/>
      <c r="QVL39" s="899"/>
      <c r="QVM39" s="899"/>
      <c r="QVN39" s="899"/>
      <c r="QVO39" s="899"/>
      <c r="QVP39" s="899"/>
      <c r="QVQ39" s="899"/>
      <c r="QVR39" s="899"/>
      <c r="QVS39" s="899"/>
      <c r="QVT39" s="899"/>
      <c r="QVU39" s="899"/>
      <c r="QVV39" s="899"/>
      <c r="QVW39" s="899"/>
      <c r="QVX39" s="899"/>
      <c r="QVY39" s="899"/>
      <c r="QVZ39" s="899"/>
      <c r="QWA39" s="899"/>
      <c r="QWB39" s="899"/>
      <c r="QWC39" s="899"/>
      <c r="QWD39" s="899"/>
      <c r="QWE39" s="899"/>
      <c r="QWF39" s="899"/>
      <c r="QWG39" s="899"/>
      <c r="QWH39" s="899"/>
      <c r="QWI39" s="899"/>
      <c r="QWJ39" s="899"/>
      <c r="QWK39" s="899"/>
      <c r="QWL39" s="899"/>
      <c r="QWM39" s="899"/>
      <c r="QWN39" s="899"/>
      <c r="QWO39" s="899"/>
      <c r="QWP39" s="899"/>
      <c r="QWQ39" s="899"/>
      <c r="QWR39" s="899"/>
      <c r="QWS39" s="899"/>
      <c r="QWT39" s="899"/>
      <c r="QWU39" s="899"/>
      <c r="QWV39" s="899"/>
      <c r="QWW39" s="899"/>
      <c r="QWX39" s="899"/>
      <c r="QWY39" s="899"/>
      <c r="QWZ39" s="899"/>
      <c r="QXA39" s="899"/>
      <c r="QXB39" s="899"/>
      <c r="QXC39" s="899"/>
      <c r="QXD39" s="899"/>
      <c r="QXE39" s="899"/>
      <c r="QXF39" s="899"/>
      <c r="QXG39" s="899"/>
      <c r="QXH39" s="899"/>
      <c r="QXI39" s="899"/>
      <c r="QXJ39" s="899"/>
      <c r="QXK39" s="899"/>
      <c r="QXL39" s="899"/>
      <c r="QXM39" s="899"/>
      <c r="QXN39" s="899"/>
      <c r="QXO39" s="899"/>
      <c r="QXP39" s="899"/>
      <c r="QXQ39" s="899"/>
      <c r="QXR39" s="899"/>
      <c r="QXS39" s="899"/>
      <c r="QXT39" s="899"/>
      <c r="QXU39" s="899"/>
      <c r="QXV39" s="899"/>
      <c r="QXW39" s="899"/>
      <c r="QXX39" s="899"/>
      <c r="QXY39" s="899"/>
      <c r="QXZ39" s="899"/>
      <c r="QYA39" s="899"/>
      <c r="QYB39" s="899"/>
      <c r="QYC39" s="899"/>
      <c r="QYD39" s="899"/>
      <c r="QYE39" s="899"/>
      <c r="QYF39" s="899"/>
      <c r="QYG39" s="899"/>
      <c r="QYH39" s="899"/>
      <c r="QYI39" s="899"/>
      <c r="QYJ39" s="899"/>
      <c r="QYK39" s="899"/>
      <c r="QYL39" s="899"/>
      <c r="QYM39" s="899"/>
      <c r="QYN39" s="899"/>
      <c r="QYO39" s="899"/>
      <c r="QYP39" s="899"/>
      <c r="QYQ39" s="899"/>
      <c r="QYR39" s="899"/>
      <c r="QYS39" s="899"/>
      <c r="QYT39" s="899"/>
      <c r="QYU39" s="899"/>
      <c r="QYV39" s="899"/>
      <c r="QYW39" s="899"/>
      <c r="QYX39" s="899"/>
      <c r="QYY39" s="899"/>
      <c r="QYZ39" s="899"/>
      <c r="QZA39" s="899"/>
      <c r="QZB39" s="899"/>
      <c r="QZC39" s="899"/>
      <c r="QZD39" s="899"/>
      <c r="QZE39" s="899"/>
      <c r="QZF39" s="899"/>
      <c r="QZG39" s="899"/>
      <c r="QZH39" s="899"/>
      <c r="QZI39" s="899"/>
      <c r="QZJ39" s="899"/>
      <c r="QZK39" s="899"/>
      <c r="QZL39" s="899"/>
      <c r="QZM39" s="899"/>
      <c r="QZN39" s="899"/>
      <c r="QZO39" s="899"/>
      <c r="QZP39" s="899"/>
      <c r="QZQ39" s="899"/>
      <c r="QZR39" s="899"/>
      <c r="QZS39" s="899"/>
      <c r="QZT39" s="899"/>
      <c r="QZU39" s="899"/>
      <c r="QZV39" s="899"/>
      <c r="QZW39" s="899"/>
      <c r="QZX39" s="899"/>
      <c r="QZY39" s="899"/>
      <c r="QZZ39" s="899"/>
      <c r="RAA39" s="899"/>
      <c r="RAB39" s="899"/>
      <c r="RAC39" s="899"/>
      <c r="RAD39" s="899"/>
      <c r="RAE39" s="899"/>
      <c r="RAF39" s="899"/>
      <c r="RAG39" s="899"/>
      <c r="RAH39" s="899"/>
      <c r="RAI39" s="899"/>
      <c r="RAJ39" s="899"/>
      <c r="RAK39" s="899"/>
      <c r="RAL39" s="899"/>
      <c r="RAM39" s="899"/>
      <c r="RAN39" s="899"/>
      <c r="RAO39" s="899"/>
      <c r="RAP39" s="899"/>
      <c r="RAQ39" s="899"/>
      <c r="RAR39" s="899"/>
      <c r="RAS39" s="899"/>
      <c r="RAT39" s="899"/>
      <c r="RAU39" s="899"/>
      <c r="RAV39" s="899"/>
      <c r="RAW39" s="899"/>
      <c r="RAX39" s="899"/>
      <c r="RAY39" s="899"/>
      <c r="RAZ39" s="899"/>
      <c r="RBA39" s="899"/>
      <c r="RBB39" s="899"/>
      <c r="RBC39" s="899"/>
      <c r="RBD39" s="899"/>
      <c r="RBE39" s="899"/>
      <c r="RBF39" s="899"/>
      <c r="RBG39" s="899"/>
      <c r="RBH39" s="899"/>
      <c r="RBI39" s="899"/>
      <c r="RBJ39" s="899"/>
      <c r="RBK39" s="899"/>
      <c r="RBL39" s="899"/>
      <c r="RBM39" s="899"/>
      <c r="RBN39" s="899"/>
      <c r="RBO39" s="899"/>
      <c r="RBP39" s="899"/>
      <c r="RBQ39" s="899"/>
      <c r="RBR39" s="899"/>
      <c r="RBS39" s="899"/>
      <c r="RBT39" s="899"/>
      <c r="RBU39" s="899"/>
      <c r="RBV39" s="899"/>
      <c r="RBW39" s="899"/>
      <c r="RBX39" s="899"/>
      <c r="RBY39" s="899"/>
      <c r="RBZ39" s="899"/>
      <c r="RCA39" s="899"/>
      <c r="RCB39" s="899"/>
      <c r="RCC39" s="899"/>
      <c r="RCD39" s="899"/>
      <c r="RCE39" s="899"/>
      <c r="RCF39" s="899"/>
      <c r="RCG39" s="899"/>
      <c r="RCH39" s="899"/>
      <c r="RCI39" s="899"/>
      <c r="RCJ39" s="899"/>
      <c r="RCK39" s="899"/>
      <c r="RCL39" s="899"/>
      <c r="RCM39" s="899"/>
      <c r="RCN39" s="899"/>
      <c r="RCO39" s="899"/>
      <c r="RCP39" s="899"/>
      <c r="RCQ39" s="899"/>
      <c r="RCR39" s="899"/>
      <c r="RCS39" s="899"/>
      <c r="RCT39" s="899"/>
      <c r="RCU39" s="899"/>
      <c r="RCV39" s="899"/>
      <c r="RCW39" s="899"/>
      <c r="RCX39" s="899"/>
      <c r="RCY39" s="899"/>
      <c r="RCZ39" s="899"/>
      <c r="RDA39" s="899"/>
      <c r="RDB39" s="899"/>
      <c r="RDC39" s="899"/>
      <c r="RDD39" s="899"/>
      <c r="RDE39" s="899"/>
      <c r="RDF39" s="899"/>
      <c r="RDG39" s="899"/>
      <c r="RDH39" s="899"/>
      <c r="RDI39" s="899"/>
      <c r="RDJ39" s="899"/>
      <c r="RDK39" s="899"/>
      <c r="RDL39" s="899"/>
      <c r="RDM39" s="899"/>
      <c r="RDN39" s="899"/>
      <c r="RDO39" s="899"/>
      <c r="RDP39" s="899"/>
      <c r="RDQ39" s="899"/>
      <c r="RDR39" s="899"/>
      <c r="RDS39" s="899"/>
      <c r="RDT39" s="899"/>
      <c r="RDU39" s="899"/>
      <c r="RDV39" s="899"/>
      <c r="RDW39" s="899"/>
      <c r="RDX39" s="899"/>
      <c r="RDY39" s="899"/>
      <c r="RDZ39" s="899"/>
      <c r="REA39" s="899"/>
      <c r="REB39" s="899"/>
      <c r="REC39" s="899"/>
      <c r="RED39" s="899"/>
      <c r="REE39" s="899"/>
      <c r="REF39" s="899"/>
      <c r="REG39" s="899"/>
      <c r="REH39" s="899"/>
      <c r="REI39" s="899"/>
      <c r="REJ39" s="899"/>
      <c r="REK39" s="899"/>
      <c r="REL39" s="899"/>
      <c r="REM39" s="899"/>
      <c r="REN39" s="899"/>
      <c r="REO39" s="899"/>
      <c r="REP39" s="899"/>
      <c r="REQ39" s="899"/>
      <c r="RER39" s="899"/>
      <c r="RES39" s="899"/>
      <c r="RET39" s="899"/>
      <c r="REU39" s="899"/>
      <c r="REV39" s="899"/>
      <c r="REW39" s="899"/>
      <c r="REX39" s="899"/>
      <c r="REY39" s="899"/>
      <c r="REZ39" s="899"/>
      <c r="RFA39" s="899"/>
      <c r="RFB39" s="899"/>
      <c r="RFC39" s="899"/>
      <c r="RFD39" s="899"/>
      <c r="RFE39" s="899"/>
      <c r="RFF39" s="899"/>
      <c r="RFG39" s="899"/>
      <c r="RFH39" s="899"/>
      <c r="RFI39" s="899"/>
      <c r="RFJ39" s="899"/>
      <c r="RFK39" s="899"/>
      <c r="RFL39" s="899"/>
      <c r="RFM39" s="899"/>
      <c r="RFN39" s="899"/>
      <c r="RFO39" s="899"/>
      <c r="RFP39" s="899"/>
      <c r="RFQ39" s="899"/>
      <c r="RFR39" s="899"/>
      <c r="RFS39" s="899"/>
      <c r="RFT39" s="899"/>
      <c r="RFU39" s="899"/>
      <c r="RFV39" s="899"/>
      <c r="RFW39" s="899"/>
      <c r="RFX39" s="899"/>
      <c r="RFY39" s="899"/>
      <c r="RFZ39" s="899"/>
      <c r="RGA39" s="899"/>
      <c r="RGB39" s="899"/>
      <c r="RGC39" s="899"/>
      <c r="RGD39" s="899"/>
      <c r="RGE39" s="899"/>
      <c r="RGF39" s="899"/>
      <c r="RGG39" s="899"/>
      <c r="RGH39" s="899"/>
      <c r="RGI39" s="899"/>
      <c r="RGJ39" s="899"/>
      <c r="RGK39" s="899"/>
      <c r="RGL39" s="899"/>
      <c r="RGM39" s="899"/>
      <c r="RGN39" s="899"/>
      <c r="RGO39" s="899"/>
      <c r="RGP39" s="899"/>
      <c r="RGQ39" s="899"/>
      <c r="RGR39" s="899"/>
      <c r="RGS39" s="899"/>
      <c r="RGT39" s="899"/>
      <c r="RGU39" s="899"/>
      <c r="RGV39" s="899"/>
      <c r="RGW39" s="899"/>
      <c r="RGX39" s="899"/>
      <c r="RGY39" s="899"/>
      <c r="RGZ39" s="899"/>
      <c r="RHA39" s="899"/>
      <c r="RHB39" s="899"/>
      <c r="RHC39" s="899"/>
      <c r="RHD39" s="899"/>
      <c r="RHE39" s="899"/>
      <c r="RHF39" s="899"/>
      <c r="RHG39" s="899"/>
      <c r="RHH39" s="899"/>
      <c r="RHI39" s="899"/>
      <c r="RHJ39" s="899"/>
      <c r="RHK39" s="899"/>
      <c r="RHL39" s="899"/>
      <c r="RHM39" s="899"/>
      <c r="RHN39" s="899"/>
      <c r="RHO39" s="899"/>
      <c r="RHP39" s="899"/>
      <c r="RHQ39" s="899"/>
      <c r="RHR39" s="899"/>
      <c r="RHS39" s="899"/>
      <c r="RHT39" s="899"/>
      <c r="RHU39" s="899"/>
      <c r="RHV39" s="899"/>
      <c r="RHW39" s="899"/>
      <c r="RHX39" s="899"/>
      <c r="RHY39" s="899"/>
      <c r="RHZ39" s="899"/>
      <c r="RIA39" s="899"/>
      <c r="RIB39" s="899"/>
      <c r="RIC39" s="899"/>
      <c r="RID39" s="899"/>
      <c r="RIE39" s="899"/>
      <c r="RIF39" s="899"/>
      <c r="RIG39" s="899"/>
      <c r="RIH39" s="899"/>
      <c r="RII39" s="899"/>
      <c r="RIJ39" s="899"/>
      <c r="RIK39" s="899"/>
      <c r="RIL39" s="899"/>
      <c r="RIM39" s="899"/>
      <c r="RIN39" s="899"/>
      <c r="RIO39" s="899"/>
      <c r="RIP39" s="899"/>
      <c r="RIQ39" s="899"/>
      <c r="RIR39" s="899"/>
      <c r="RIS39" s="899"/>
      <c r="RIT39" s="899"/>
      <c r="RIU39" s="899"/>
      <c r="RIV39" s="899"/>
      <c r="RIW39" s="899"/>
      <c r="RIX39" s="899"/>
      <c r="RIY39" s="899"/>
      <c r="RIZ39" s="899"/>
      <c r="RJA39" s="899"/>
      <c r="RJB39" s="899"/>
      <c r="RJC39" s="899"/>
      <c r="RJD39" s="899"/>
      <c r="RJE39" s="899"/>
      <c r="RJF39" s="899"/>
      <c r="RJG39" s="899"/>
      <c r="RJH39" s="899"/>
      <c r="RJI39" s="899"/>
      <c r="RJJ39" s="899"/>
      <c r="RJK39" s="899"/>
      <c r="RJL39" s="899"/>
      <c r="RJM39" s="899"/>
      <c r="RJN39" s="899"/>
      <c r="RJO39" s="899"/>
      <c r="RJP39" s="899"/>
      <c r="RJQ39" s="899"/>
      <c r="RJR39" s="899"/>
      <c r="RJS39" s="899"/>
      <c r="RJT39" s="899"/>
      <c r="RJU39" s="899"/>
      <c r="RJV39" s="899"/>
      <c r="RJW39" s="899"/>
      <c r="RJX39" s="899"/>
      <c r="RJY39" s="899"/>
      <c r="RJZ39" s="899"/>
      <c r="RKA39" s="899"/>
      <c r="RKB39" s="899"/>
      <c r="RKC39" s="899"/>
      <c r="RKD39" s="899"/>
      <c r="RKE39" s="899"/>
      <c r="RKF39" s="899"/>
      <c r="RKG39" s="899"/>
      <c r="RKH39" s="899"/>
      <c r="RKI39" s="899"/>
      <c r="RKJ39" s="899"/>
      <c r="RKK39" s="899"/>
      <c r="RKL39" s="899"/>
      <c r="RKM39" s="899"/>
      <c r="RKN39" s="899"/>
      <c r="RKO39" s="899"/>
      <c r="RKP39" s="899"/>
      <c r="RKQ39" s="899"/>
      <c r="RKR39" s="899"/>
      <c r="RKS39" s="899"/>
      <c r="RKT39" s="899"/>
      <c r="RKU39" s="899"/>
      <c r="RKV39" s="899"/>
      <c r="RKW39" s="899"/>
      <c r="RKX39" s="899"/>
      <c r="RKY39" s="899"/>
      <c r="RKZ39" s="899"/>
      <c r="RLA39" s="899"/>
      <c r="RLB39" s="899"/>
      <c r="RLC39" s="899"/>
      <c r="RLD39" s="899"/>
      <c r="RLE39" s="899"/>
      <c r="RLF39" s="899"/>
      <c r="RLG39" s="899"/>
      <c r="RLH39" s="899"/>
      <c r="RLI39" s="899"/>
      <c r="RLJ39" s="899"/>
      <c r="RLK39" s="899"/>
      <c r="RLL39" s="899"/>
      <c r="RLM39" s="899"/>
      <c r="RLN39" s="899"/>
      <c r="RLO39" s="899"/>
      <c r="RLP39" s="899"/>
      <c r="RLQ39" s="899"/>
      <c r="RLR39" s="899"/>
      <c r="RLS39" s="899"/>
      <c r="RLT39" s="899"/>
      <c r="RLU39" s="899"/>
      <c r="RLV39" s="899"/>
      <c r="RLW39" s="899"/>
      <c r="RLX39" s="899"/>
      <c r="RLY39" s="899"/>
      <c r="RLZ39" s="899"/>
      <c r="RMA39" s="899"/>
      <c r="RMB39" s="899"/>
      <c r="RMC39" s="899"/>
      <c r="RMD39" s="899"/>
      <c r="RME39" s="899"/>
      <c r="RMF39" s="899"/>
      <c r="RMG39" s="899"/>
      <c r="RMH39" s="899"/>
      <c r="RMI39" s="899"/>
      <c r="RMJ39" s="899"/>
      <c r="RMK39" s="899"/>
      <c r="RML39" s="899"/>
      <c r="RMM39" s="899"/>
      <c r="RMN39" s="899"/>
      <c r="RMO39" s="899"/>
      <c r="RMP39" s="899"/>
      <c r="RMQ39" s="899"/>
      <c r="RMR39" s="899"/>
      <c r="RMS39" s="899"/>
      <c r="RMT39" s="899"/>
      <c r="RMU39" s="899"/>
      <c r="RMV39" s="899"/>
      <c r="RMW39" s="899"/>
      <c r="RMX39" s="899"/>
      <c r="RMY39" s="899"/>
      <c r="RMZ39" s="899"/>
      <c r="RNA39" s="899"/>
      <c r="RNB39" s="899"/>
      <c r="RNC39" s="899"/>
      <c r="RND39" s="899"/>
      <c r="RNE39" s="899"/>
      <c r="RNF39" s="899"/>
      <c r="RNG39" s="899"/>
      <c r="RNH39" s="899"/>
      <c r="RNI39" s="899"/>
      <c r="RNJ39" s="899"/>
      <c r="RNK39" s="899"/>
      <c r="RNL39" s="899"/>
      <c r="RNM39" s="899"/>
      <c r="RNN39" s="899"/>
      <c r="RNO39" s="899"/>
      <c r="RNP39" s="899"/>
      <c r="RNQ39" s="899"/>
      <c r="RNR39" s="899"/>
      <c r="RNS39" s="899"/>
      <c r="RNT39" s="899"/>
      <c r="RNU39" s="899"/>
      <c r="RNV39" s="899"/>
      <c r="RNW39" s="899"/>
      <c r="RNX39" s="899"/>
      <c r="RNY39" s="899"/>
      <c r="RNZ39" s="899"/>
      <c r="ROA39" s="899"/>
      <c r="ROB39" s="899"/>
      <c r="ROC39" s="899"/>
      <c r="ROD39" s="899"/>
      <c r="ROE39" s="899"/>
      <c r="ROF39" s="899"/>
      <c r="ROG39" s="899"/>
      <c r="ROH39" s="899"/>
      <c r="ROI39" s="899"/>
      <c r="ROJ39" s="899"/>
      <c r="ROK39" s="899"/>
      <c r="ROL39" s="899"/>
      <c r="ROM39" s="899"/>
      <c r="RON39" s="899"/>
      <c r="ROO39" s="899"/>
      <c r="ROP39" s="899"/>
      <c r="ROQ39" s="899"/>
      <c r="ROR39" s="899"/>
      <c r="ROS39" s="899"/>
      <c r="ROT39" s="899"/>
      <c r="ROU39" s="899"/>
      <c r="ROV39" s="899"/>
      <c r="ROW39" s="899"/>
      <c r="ROX39" s="899"/>
      <c r="ROY39" s="899"/>
      <c r="ROZ39" s="899"/>
      <c r="RPA39" s="899"/>
      <c r="RPB39" s="899"/>
      <c r="RPC39" s="899"/>
      <c r="RPD39" s="899"/>
      <c r="RPE39" s="899"/>
      <c r="RPF39" s="899"/>
      <c r="RPG39" s="899"/>
      <c r="RPH39" s="899"/>
      <c r="RPI39" s="899"/>
      <c r="RPJ39" s="899"/>
      <c r="RPK39" s="899"/>
      <c r="RPL39" s="899"/>
      <c r="RPM39" s="899"/>
      <c r="RPN39" s="899"/>
      <c r="RPO39" s="899"/>
      <c r="RPP39" s="899"/>
      <c r="RPQ39" s="899"/>
      <c r="RPR39" s="899"/>
      <c r="RPS39" s="899"/>
      <c r="RPT39" s="899"/>
      <c r="RPU39" s="899"/>
      <c r="RPV39" s="899"/>
      <c r="RPW39" s="899"/>
      <c r="RPX39" s="899"/>
      <c r="RPY39" s="899"/>
      <c r="RPZ39" s="899"/>
      <c r="RQA39" s="899"/>
      <c r="RQB39" s="899"/>
      <c r="RQC39" s="899"/>
      <c r="RQD39" s="899"/>
      <c r="RQE39" s="899"/>
      <c r="RQF39" s="899"/>
      <c r="RQG39" s="899"/>
      <c r="RQH39" s="899"/>
      <c r="RQI39" s="899"/>
      <c r="RQJ39" s="899"/>
      <c r="RQK39" s="899"/>
      <c r="RQL39" s="899"/>
      <c r="RQM39" s="899"/>
      <c r="RQN39" s="899"/>
      <c r="RQO39" s="899"/>
      <c r="RQP39" s="899"/>
      <c r="RQQ39" s="899"/>
      <c r="RQR39" s="899"/>
      <c r="RQS39" s="899"/>
      <c r="RQT39" s="899"/>
      <c r="RQU39" s="899"/>
      <c r="RQV39" s="899"/>
      <c r="RQW39" s="899"/>
      <c r="RQX39" s="899"/>
      <c r="RQY39" s="899"/>
      <c r="RQZ39" s="899"/>
      <c r="RRA39" s="899"/>
      <c r="RRB39" s="899"/>
      <c r="RRC39" s="899"/>
      <c r="RRD39" s="899"/>
      <c r="RRE39" s="899"/>
      <c r="RRF39" s="899"/>
      <c r="RRG39" s="899"/>
      <c r="RRH39" s="899"/>
      <c r="RRI39" s="899"/>
      <c r="RRJ39" s="899"/>
      <c r="RRK39" s="899"/>
      <c r="RRL39" s="899"/>
      <c r="RRM39" s="899"/>
      <c r="RRN39" s="899"/>
      <c r="RRO39" s="899"/>
      <c r="RRP39" s="899"/>
      <c r="RRQ39" s="899"/>
      <c r="RRR39" s="899"/>
      <c r="RRS39" s="899"/>
      <c r="RRT39" s="899"/>
      <c r="RRU39" s="899"/>
      <c r="RRV39" s="899"/>
      <c r="RRW39" s="899"/>
      <c r="RRX39" s="899"/>
      <c r="RRY39" s="899"/>
      <c r="RRZ39" s="899"/>
      <c r="RSA39" s="899"/>
      <c r="RSB39" s="899"/>
      <c r="RSC39" s="899"/>
      <c r="RSD39" s="899"/>
      <c r="RSE39" s="899"/>
      <c r="RSF39" s="899"/>
      <c r="RSG39" s="899"/>
      <c r="RSH39" s="899"/>
      <c r="RSI39" s="899"/>
      <c r="RSJ39" s="899"/>
      <c r="RSK39" s="899"/>
      <c r="RSL39" s="899"/>
      <c r="RSM39" s="899"/>
      <c r="RSN39" s="899"/>
      <c r="RSO39" s="899"/>
      <c r="RSP39" s="899"/>
      <c r="RSQ39" s="899"/>
      <c r="RSR39" s="899"/>
      <c r="RSS39" s="899"/>
      <c r="RST39" s="899"/>
      <c r="RSU39" s="899"/>
      <c r="RSV39" s="899"/>
      <c r="RSW39" s="899"/>
      <c r="RSX39" s="899"/>
      <c r="RSY39" s="899"/>
      <c r="RSZ39" s="899"/>
      <c r="RTA39" s="899"/>
      <c r="RTB39" s="899"/>
      <c r="RTC39" s="899"/>
      <c r="RTD39" s="899"/>
      <c r="RTE39" s="899"/>
      <c r="RTF39" s="899"/>
      <c r="RTG39" s="899"/>
      <c r="RTH39" s="899"/>
      <c r="RTI39" s="899"/>
      <c r="RTJ39" s="899"/>
      <c r="RTK39" s="899"/>
      <c r="RTL39" s="899"/>
      <c r="RTM39" s="899"/>
      <c r="RTN39" s="899"/>
      <c r="RTO39" s="899"/>
      <c r="RTP39" s="899"/>
      <c r="RTQ39" s="899"/>
      <c r="RTR39" s="899"/>
      <c r="RTS39" s="899"/>
      <c r="RTT39" s="899"/>
      <c r="RTU39" s="899"/>
      <c r="RTV39" s="899"/>
      <c r="RTW39" s="899"/>
      <c r="RTX39" s="899"/>
      <c r="RTY39" s="899"/>
      <c r="RTZ39" s="899"/>
      <c r="RUA39" s="899"/>
      <c r="RUB39" s="899"/>
      <c r="RUC39" s="899"/>
      <c r="RUD39" s="899"/>
      <c r="RUE39" s="899"/>
      <c r="RUF39" s="899"/>
      <c r="RUG39" s="899"/>
      <c r="RUH39" s="899"/>
      <c r="RUI39" s="899"/>
      <c r="RUJ39" s="899"/>
      <c r="RUK39" s="899"/>
      <c r="RUL39" s="899"/>
      <c r="RUM39" s="899"/>
      <c r="RUN39" s="899"/>
      <c r="RUO39" s="899"/>
      <c r="RUP39" s="899"/>
      <c r="RUQ39" s="899"/>
      <c r="RUR39" s="899"/>
      <c r="RUS39" s="899"/>
      <c r="RUT39" s="899"/>
      <c r="RUU39" s="899"/>
      <c r="RUV39" s="899"/>
      <c r="RUW39" s="899"/>
      <c r="RUX39" s="899"/>
      <c r="RUY39" s="899"/>
      <c r="RUZ39" s="899"/>
      <c r="RVA39" s="899"/>
      <c r="RVB39" s="899"/>
      <c r="RVC39" s="899"/>
      <c r="RVD39" s="899"/>
      <c r="RVE39" s="899"/>
      <c r="RVF39" s="899"/>
      <c r="RVG39" s="899"/>
      <c r="RVH39" s="899"/>
      <c r="RVI39" s="899"/>
      <c r="RVJ39" s="899"/>
      <c r="RVK39" s="899"/>
      <c r="RVL39" s="899"/>
      <c r="RVM39" s="899"/>
      <c r="RVN39" s="899"/>
      <c r="RVO39" s="899"/>
      <c r="RVP39" s="899"/>
      <c r="RVQ39" s="899"/>
      <c r="RVR39" s="899"/>
      <c r="RVS39" s="899"/>
      <c r="RVT39" s="899"/>
      <c r="RVU39" s="899"/>
      <c r="RVV39" s="899"/>
      <c r="RVW39" s="899"/>
      <c r="RVX39" s="899"/>
      <c r="RVY39" s="899"/>
      <c r="RVZ39" s="899"/>
      <c r="RWA39" s="899"/>
      <c r="RWB39" s="899"/>
      <c r="RWC39" s="899"/>
      <c r="RWD39" s="899"/>
      <c r="RWE39" s="899"/>
      <c r="RWF39" s="899"/>
      <c r="RWG39" s="899"/>
      <c r="RWH39" s="899"/>
      <c r="RWI39" s="899"/>
      <c r="RWJ39" s="899"/>
      <c r="RWK39" s="899"/>
      <c r="RWL39" s="899"/>
      <c r="RWM39" s="899"/>
      <c r="RWN39" s="899"/>
      <c r="RWO39" s="899"/>
      <c r="RWP39" s="899"/>
      <c r="RWQ39" s="899"/>
      <c r="RWR39" s="899"/>
      <c r="RWS39" s="899"/>
      <c r="RWT39" s="899"/>
      <c r="RWU39" s="899"/>
      <c r="RWV39" s="899"/>
      <c r="RWW39" s="899"/>
      <c r="RWX39" s="899"/>
      <c r="RWY39" s="899"/>
      <c r="RWZ39" s="899"/>
      <c r="RXA39" s="899"/>
      <c r="RXB39" s="899"/>
      <c r="RXC39" s="899"/>
      <c r="RXD39" s="899"/>
      <c r="RXE39" s="899"/>
      <c r="RXF39" s="899"/>
      <c r="RXG39" s="899"/>
      <c r="RXH39" s="899"/>
      <c r="RXI39" s="899"/>
      <c r="RXJ39" s="899"/>
      <c r="RXK39" s="899"/>
      <c r="RXL39" s="899"/>
      <c r="RXM39" s="899"/>
      <c r="RXN39" s="899"/>
      <c r="RXO39" s="899"/>
      <c r="RXP39" s="899"/>
      <c r="RXQ39" s="899"/>
      <c r="RXR39" s="899"/>
      <c r="RXS39" s="899"/>
      <c r="RXT39" s="899"/>
      <c r="RXU39" s="899"/>
      <c r="RXV39" s="899"/>
      <c r="RXW39" s="899"/>
      <c r="RXX39" s="899"/>
      <c r="RXY39" s="899"/>
      <c r="RXZ39" s="899"/>
      <c r="RYA39" s="899"/>
      <c r="RYB39" s="899"/>
      <c r="RYC39" s="899"/>
      <c r="RYD39" s="899"/>
      <c r="RYE39" s="899"/>
      <c r="RYF39" s="899"/>
      <c r="RYG39" s="899"/>
      <c r="RYH39" s="899"/>
      <c r="RYI39" s="899"/>
      <c r="RYJ39" s="899"/>
      <c r="RYK39" s="899"/>
      <c r="RYL39" s="899"/>
      <c r="RYM39" s="899"/>
      <c r="RYN39" s="899"/>
      <c r="RYO39" s="899"/>
      <c r="RYP39" s="899"/>
      <c r="RYQ39" s="899"/>
      <c r="RYR39" s="899"/>
      <c r="RYS39" s="899"/>
      <c r="RYT39" s="899"/>
      <c r="RYU39" s="899"/>
      <c r="RYV39" s="899"/>
      <c r="RYW39" s="899"/>
      <c r="RYX39" s="899"/>
      <c r="RYY39" s="899"/>
      <c r="RYZ39" s="899"/>
      <c r="RZA39" s="899"/>
      <c r="RZB39" s="899"/>
      <c r="RZC39" s="899"/>
      <c r="RZD39" s="899"/>
      <c r="RZE39" s="899"/>
      <c r="RZF39" s="899"/>
      <c r="RZG39" s="899"/>
      <c r="RZH39" s="899"/>
      <c r="RZI39" s="899"/>
      <c r="RZJ39" s="899"/>
      <c r="RZK39" s="899"/>
      <c r="RZL39" s="899"/>
      <c r="RZM39" s="899"/>
      <c r="RZN39" s="899"/>
      <c r="RZO39" s="899"/>
      <c r="RZP39" s="899"/>
      <c r="RZQ39" s="899"/>
      <c r="RZR39" s="899"/>
      <c r="RZS39" s="899"/>
      <c r="RZT39" s="899"/>
      <c r="RZU39" s="899"/>
      <c r="RZV39" s="899"/>
      <c r="RZW39" s="899"/>
      <c r="RZX39" s="899"/>
      <c r="RZY39" s="899"/>
      <c r="RZZ39" s="899"/>
      <c r="SAA39" s="899"/>
      <c r="SAB39" s="899"/>
      <c r="SAC39" s="899"/>
      <c r="SAD39" s="899"/>
      <c r="SAE39" s="899"/>
      <c r="SAF39" s="899"/>
      <c r="SAG39" s="899"/>
      <c r="SAH39" s="899"/>
      <c r="SAI39" s="899"/>
      <c r="SAJ39" s="899"/>
      <c r="SAK39" s="899"/>
      <c r="SAL39" s="899"/>
      <c r="SAM39" s="899"/>
      <c r="SAN39" s="899"/>
      <c r="SAO39" s="899"/>
      <c r="SAP39" s="899"/>
      <c r="SAQ39" s="899"/>
      <c r="SAR39" s="899"/>
      <c r="SAS39" s="899"/>
      <c r="SAT39" s="899"/>
      <c r="SAU39" s="899"/>
      <c r="SAV39" s="899"/>
      <c r="SAW39" s="899"/>
      <c r="SAX39" s="899"/>
      <c r="SAY39" s="899"/>
      <c r="SAZ39" s="899"/>
      <c r="SBA39" s="899"/>
      <c r="SBB39" s="899"/>
      <c r="SBC39" s="899"/>
      <c r="SBD39" s="899"/>
      <c r="SBE39" s="899"/>
      <c r="SBF39" s="899"/>
      <c r="SBG39" s="899"/>
      <c r="SBH39" s="899"/>
      <c r="SBI39" s="899"/>
      <c r="SBJ39" s="899"/>
      <c r="SBK39" s="899"/>
      <c r="SBL39" s="899"/>
      <c r="SBM39" s="899"/>
      <c r="SBN39" s="899"/>
      <c r="SBO39" s="899"/>
      <c r="SBP39" s="899"/>
      <c r="SBQ39" s="899"/>
      <c r="SBR39" s="899"/>
      <c r="SBS39" s="899"/>
      <c r="SBT39" s="899"/>
      <c r="SBU39" s="899"/>
      <c r="SBV39" s="899"/>
      <c r="SBW39" s="899"/>
      <c r="SBX39" s="899"/>
      <c r="SBY39" s="899"/>
      <c r="SBZ39" s="899"/>
      <c r="SCA39" s="899"/>
      <c r="SCB39" s="899"/>
      <c r="SCC39" s="899"/>
      <c r="SCD39" s="899"/>
      <c r="SCE39" s="899"/>
      <c r="SCF39" s="899"/>
      <c r="SCG39" s="899"/>
      <c r="SCH39" s="899"/>
      <c r="SCI39" s="899"/>
      <c r="SCJ39" s="899"/>
      <c r="SCK39" s="899"/>
      <c r="SCL39" s="899"/>
      <c r="SCM39" s="899"/>
      <c r="SCN39" s="899"/>
      <c r="SCO39" s="899"/>
      <c r="SCP39" s="899"/>
      <c r="SCQ39" s="899"/>
      <c r="SCR39" s="899"/>
      <c r="SCS39" s="899"/>
      <c r="SCT39" s="899"/>
      <c r="SCU39" s="899"/>
      <c r="SCV39" s="899"/>
      <c r="SCW39" s="899"/>
      <c r="SCX39" s="899"/>
      <c r="SCY39" s="899"/>
      <c r="SCZ39" s="899"/>
      <c r="SDA39" s="899"/>
      <c r="SDB39" s="899"/>
      <c r="SDC39" s="899"/>
      <c r="SDD39" s="899"/>
      <c r="SDE39" s="899"/>
      <c r="SDF39" s="899"/>
      <c r="SDG39" s="899"/>
      <c r="SDH39" s="899"/>
      <c r="SDI39" s="899"/>
      <c r="SDJ39" s="899"/>
      <c r="SDK39" s="899"/>
      <c r="SDL39" s="899"/>
      <c r="SDM39" s="899"/>
      <c r="SDN39" s="899"/>
      <c r="SDO39" s="899"/>
      <c r="SDP39" s="899"/>
      <c r="SDQ39" s="899"/>
      <c r="SDR39" s="899"/>
      <c r="SDS39" s="899"/>
      <c r="SDT39" s="899"/>
      <c r="SDU39" s="899"/>
      <c r="SDV39" s="899"/>
      <c r="SDW39" s="899"/>
      <c r="SDX39" s="899"/>
      <c r="SDY39" s="899"/>
      <c r="SDZ39" s="899"/>
      <c r="SEA39" s="899"/>
      <c r="SEB39" s="899"/>
      <c r="SEC39" s="899"/>
      <c r="SED39" s="899"/>
      <c r="SEE39" s="899"/>
      <c r="SEF39" s="899"/>
      <c r="SEG39" s="899"/>
      <c r="SEH39" s="899"/>
      <c r="SEI39" s="899"/>
      <c r="SEJ39" s="899"/>
      <c r="SEK39" s="899"/>
      <c r="SEL39" s="899"/>
      <c r="SEM39" s="899"/>
      <c r="SEN39" s="899"/>
      <c r="SEO39" s="899"/>
      <c r="SEP39" s="899"/>
      <c r="SEQ39" s="899"/>
      <c r="SER39" s="899"/>
      <c r="SES39" s="899"/>
      <c r="SET39" s="899"/>
      <c r="SEU39" s="899"/>
      <c r="SEV39" s="899"/>
      <c r="SEW39" s="899"/>
      <c r="SEX39" s="899"/>
      <c r="SEY39" s="899"/>
      <c r="SEZ39" s="899"/>
      <c r="SFA39" s="899"/>
      <c r="SFB39" s="899"/>
      <c r="SFC39" s="899"/>
      <c r="SFD39" s="899"/>
      <c r="SFE39" s="899"/>
      <c r="SFF39" s="899"/>
      <c r="SFG39" s="899"/>
      <c r="SFH39" s="899"/>
      <c r="SFI39" s="899"/>
      <c r="SFJ39" s="899"/>
      <c r="SFK39" s="899"/>
      <c r="SFL39" s="899"/>
      <c r="SFM39" s="899"/>
      <c r="SFN39" s="899"/>
      <c r="SFO39" s="899"/>
      <c r="SFP39" s="899"/>
      <c r="SFQ39" s="899"/>
      <c r="SFR39" s="899"/>
      <c r="SFS39" s="899"/>
      <c r="SFT39" s="899"/>
      <c r="SFU39" s="899"/>
      <c r="SFV39" s="899"/>
      <c r="SFW39" s="899"/>
      <c r="SFX39" s="899"/>
      <c r="SFY39" s="899"/>
      <c r="SFZ39" s="899"/>
      <c r="SGA39" s="899"/>
      <c r="SGB39" s="899"/>
      <c r="SGC39" s="899"/>
      <c r="SGD39" s="899"/>
      <c r="SGE39" s="899"/>
      <c r="SGF39" s="899"/>
      <c r="SGG39" s="899"/>
      <c r="SGH39" s="899"/>
      <c r="SGI39" s="899"/>
      <c r="SGJ39" s="899"/>
      <c r="SGK39" s="899"/>
      <c r="SGL39" s="899"/>
      <c r="SGM39" s="899"/>
      <c r="SGN39" s="899"/>
      <c r="SGO39" s="899"/>
      <c r="SGP39" s="899"/>
      <c r="SGQ39" s="899"/>
      <c r="SGR39" s="899"/>
      <c r="SGS39" s="899"/>
      <c r="SGT39" s="899"/>
      <c r="SGU39" s="899"/>
      <c r="SGV39" s="899"/>
      <c r="SGW39" s="899"/>
      <c r="SGX39" s="899"/>
      <c r="SGY39" s="899"/>
      <c r="SGZ39" s="899"/>
      <c r="SHA39" s="899"/>
      <c r="SHB39" s="899"/>
      <c r="SHC39" s="899"/>
      <c r="SHD39" s="899"/>
      <c r="SHE39" s="899"/>
      <c r="SHF39" s="899"/>
      <c r="SHG39" s="899"/>
      <c r="SHH39" s="899"/>
      <c r="SHI39" s="899"/>
      <c r="SHJ39" s="899"/>
      <c r="SHK39" s="899"/>
      <c r="SHL39" s="899"/>
      <c r="SHM39" s="899"/>
      <c r="SHN39" s="899"/>
      <c r="SHO39" s="899"/>
      <c r="SHP39" s="899"/>
      <c r="SHQ39" s="899"/>
      <c r="SHR39" s="899"/>
      <c r="SHS39" s="899"/>
      <c r="SHT39" s="899"/>
      <c r="SHU39" s="899"/>
      <c r="SHV39" s="899"/>
      <c r="SHW39" s="899"/>
      <c r="SHX39" s="899"/>
      <c r="SHY39" s="899"/>
      <c r="SHZ39" s="899"/>
      <c r="SIA39" s="899"/>
      <c r="SIB39" s="899"/>
      <c r="SIC39" s="899"/>
      <c r="SID39" s="899"/>
      <c r="SIE39" s="899"/>
      <c r="SIF39" s="899"/>
      <c r="SIG39" s="899"/>
      <c r="SIH39" s="899"/>
      <c r="SII39" s="899"/>
      <c r="SIJ39" s="899"/>
      <c r="SIK39" s="899"/>
      <c r="SIL39" s="899"/>
      <c r="SIM39" s="899"/>
      <c r="SIN39" s="899"/>
      <c r="SIO39" s="899"/>
      <c r="SIP39" s="899"/>
      <c r="SIQ39" s="899"/>
      <c r="SIR39" s="899"/>
      <c r="SIS39" s="899"/>
      <c r="SIT39" s="899"/>
      <c r="SIU39" s="899"/>
      <c r="SIV39" s="899"/>
      <c r="SIW39" s="899"/>
      <c r="SIX39" s="899"/>
      <c r="SIY39" s="899"/>
      <c r="SIZ39" s="899"/>
      <c r="SJA39" s="899"/>
      <c r="SJB39" s="899"/>
      <c r="SJC39" s="899"/>
      <c r="SJD39" s="899"/>
      <c r="SJE39" s="899"/>
      <c r="SJF39" s="899"/>
      <c r="SJG39" s="899"/>
      <c r="SJH39" s="899"/>
      <c r="SJI39" s="899"/>
      <c r="SJJ39" s="899"/>
      <c r="SJK39" s="899"/>
      <c r="SJL39" s="899"/>
      <c r="SJM39" s="899"/>
      <c r="SJN39" s="899"/>
      <c r="SJO39" s="899"/>
      <c r="SJP39" s="899"/>
      <c r="SJQ39" s="899"/>
      <c r="SJR39" s="899"/>
      <c r="SJS39" s="899"/>
      <c r="SJT39" s="899"/>
      <c r="SJU39" s="899"/>
      <c r="SJV39" s="899"/>
      <c r="SJW39" s="899"/>
      <c r="SJX39" s="899"/>
      <c r="SJY39" s="899"/>
      <c r="SJZ39" s="899"/>
      <c r="SKA39" s="899"/>
      <c r="SKB39" s="899"/>
      <c r="SKC39" s="899"/>
      <c r="SKD39" s="899"/>
      <c r="SKE39" s="899"/>
      <c r="SKF39" s="899"/>
      <c r="SKG39" s="899"/>
      <c r="SKH39" s="899"/>
      <c r="SKI39" s="899"/>
      <c r="SKJ39" s="899"/>
      <c r="SKK39" s="899"/>
      <c r="SKL39" s="899"/>
      <c r="SKM39" s="899"/>
      <c r="SKN39" s="899"/>
      <c r="SKO39" s="899"/>
      <c r="SKP39" s="899"/>
      <c r="SKQ39" s="899"/>
      <c r="SKR39" s="899"/>
      <c r="SKS39" s="899"/>
      <c r="SKT39" s="899"/>
      <c r="SKU39" s="899"/>
      <c r="SKV39" s="899"/>
      <c r="SKW39" s="899"/>
      <c r="SKX39" s="899"/>
      <c r="SKY39" s="899"/>
      <c r="SKZ39" s="899"/>
      <c r="SLA39" s="899"/>
      <c r="SLB39" s="899"/>
      <c r="SLC39" s="899"/>
      <c r="SLD39" s="899"/>
      <c r="SLE39" s="899"/>
      <c r="SLF39" s="899"/>
      <c r="SLG39" s="899"/>
      <c r="SLH39" s="899"/>
      <c r="SLI39" s="899"/>
      <c r="SLJ39" s="899"/>
      <c r="SLK39" s="899"/>
      <c r="SLL39" s="899"/>
      <c r="SLM39" s="899"/>
      <c r="SLN39" s="899"/>
      <c r="SLO39" s="899"/>
      <c r="SLP39" s="899"/>
      <c r="SLQ39" s="899"/>
      <c r="SLR39" s="899"/>
      <c r="SLS39" s="899"/>
      <c r="SLT39" s="899"/>
      <c r="SLU39" s="899"/>
      <c r="SLV39" s="899"/>
      <c r="SLW39" s="899"/>
      <c r="SLX39" s="899"/>
      <c r="SLY39" s="899"/>
      <c r="SLZ39" s="899"/>
      <c r="SMA39" s="899"/>
      <c r="SMB39" s="899"/>
      <c r="SMC39" s="899"/>
      <c r="SMD39" s="899"/>
      <c r="SME39" s="899"/>
      <c r="SMF39" s="899"/>
      <c r="SMG39" s="899"/>
      <c r="SMH39" s="899"/>
      <c r="SMI39" s="899"/>
      <c r="SMJ39" s="899"/>
      <c r="SMK39" s="899"/>
      <c r="SML39" s="899"/>
      <c r="SMM39" s="899"/>
      <c r="SMN39" s="899"/>
      <c r="SMO39" s="899"/>
      <c r="SMP39" s="899"/>
      <c r="SMQ39" s="899"/>
      <c r="SMR39" s="899"/>
      <c r="SMS39" s="899"/>
      <c r="SMT39" s="899"/>
      <c r="SMU39" s="899"/>
      <c r="SMV39" s="899"/>
      <c r="SMW39" s="899"/>
      <c r="SMX39" s="899"/>
      <c r="SMY39" s="899"/>
      <c r="SMZ39" s="899"/>
      <c r="SNA39" s="899"/>
      <c r="SNB39" s="899"/>
      <c r="SNC39" s="899"/>
      <c r="SND39" s="899"/>
      <c r="SNE39" s="899"/>
      <c r="SNF39" s="899"/>
      <c r="SNG39" s="899"/>
      <c r="SNH39" s="899"/>
      <c r="SNI39" s="899"/>
      <c r="SNJ39" s="899"/>
      <c r="SNK39" s="899"/>
      <c r="SNL39" s="899"/>
      <c r="SNM39" s="899"/>
      <c r="SNN39" s="899"/>
      <c r="SNO39" s="899"/>
      <c r="SNP39" s="899"/>
      <c r="SNQ39" s="899"/>
      <c r="SNR39" s="899"/>
      <c r="SNS39" s="899"/>
      <c r="SNT39" s="899"/>
      <c r="SNU39" s="899"/>
      <c r="SNV39" s="899"/>
      <c r="SNW39" s="899"/>
      <c r="SNX39" s="899"/>
      <c r="SNY39" s="899"/>
      <c r="SNZ39" s="899"/>
      <c r="SOA39" s="899"/>
      <c r="SOB39" s="899"/>
      <c r="SOC39" s="899"/>
      <c r="SOD39" s="899"/>
      <c r="SOE39" s="899"/>
      <c r="SOF39" s="899"/>
      <c r="SOG39" s="899"/>
      <c r="SOH39" s="899"/>
      <c r="SOI39" s="899"/>
      <c r="SOJ39" s="899"/>
      <c r="SOK39" s="899"/>
      <c r="SOL39" s="899"/>
      <c r="SOM39" s="899"/>
      <c r="SON39" s="899"/>
      <c r="SOO39" s="899"/>
      <c r="SOP39" s="899"/>
      <c r="SOQ39" s="899"/>
      <c r="SOR39" s="899"/>
      <c r="SOS39" s="899"/>
      <c r="SOT39" s="899"/>
      <c r="SOU39" s="899"/>
      <c r="SOV39" s="899"/>
      <c r="SOW39" s="899"/>
      <c r="SOX39" s="899"/>
      <c r="SOY39" s="899"/>
      <c r="SOZ39" s="899"/>
      <c r="SPA39" s="899"/>
      <c r="SPB39" s="899"/>
      <c r="SPC39" s="899"/>
      <c r="SPD39" s="899"/>
      <c r="SPE39" s="899"/>
      <c r="SPF39" s="899"/>
      <c r="SPG39" s="899"/>
      <c r="SPH39" s="899"/>
      <c r="SPI39" s="899"/>
      <c r="SPJ39" s="899"/>
      <c r="SPK39" s="899"/>
      <c r="SPL39" s="899"/>
      <c r="SPM39" s="899"/>
      <c r="SPN39" s="899"/>
      <c r="SPO39" s="899"/>
      <c r="SPP39" s="899"/>
      <c r="SPQ39" s="899"/>
      <c r="SPR39" s="899"/>
      <c r="SPS39" s="899"/>
      <c r="SPT39" s="899"/>
      <c r="SPU39" s="899"/>
      <c r="SPV39" s="899"/>
      <c r="SPW39" s="899"/>
      <c r="SPX39" s="899"/>
      <c r="SPY39" s="899"/>
      <c r="SPZ39" s="899"/>
      <c r="SQA39" s="899"/>
      <c r="SQB39" s="899"/>
      <c r="SQC39" s="899"/>
      <c r="SQD39" s="899"/>
      <c r="SQE39" s="899"/>
      <c r="SQF39" s="899"/>
      <c r="SQG39" s="899"/>
      <c r="SQH39" s="899"/>
      <c r="SQI39" s="899"/>
      <c r="SQJ39" s="899"/>
      <c r="SQK39" s="899"/>
      <c r="SQL39" s="899"/>
      <c r="SQM39" s="899"/>
      <c r="SQN39" s="899"/>
      <c r="SQO39" s="899"/>
      <c r="SQP39" s="899"/>
      <c r="SQQ39" s="899"/>
      <c r="SQR39" s="899"/>
      <c r="SQS39" s="899"/>
      <c r="SQT39" s="899"/>
      <c r="SQU39" s="899"/>
      <c r="SQV39" s="899"/>
      <c r="SQW39" s="899"/>
      <c r="SQX39" s="899"/>
      <c r="SQY39" s="899"/>
      <c r="SQZ39" s="899"/>
      <c r="SRA39" s="899"/>
      <c r="SRB39" s="899"/>
      <c r="SRC39" s="899"/>
      <c r="SRD39" s="899"/>
      <c r="SRE39" s="899"/>
      <c r="SRF39" s="899"/>
      <c r="SRG39" s="899"/>
      <c r="SRH39" s="899"/>
      <c r="SRI39" s="899"/>
      <c r="SRJ39" s="899"/>
      <c r="SRK39" s="899"/>
      <c r="SRL39" s="899"/>
      <c r="SRM39" s="899"/>
      <c r="SRN39" s="899"/>
      <c r="SRO39" s="899"/>
      <c r="SRP39" s="899"/>
      <c r="SRQ39" s="899"/>
      <c r="SRR39" s="899"/>
      <c r="SRS39" s="899"/>
      <c r="SRT39" s="899"/>
      <c r="SRU39" s="899"/>
      <c r="SRV39" s="899"/>
      <c r="SRW39" s="899"/>
      <c r="SRX39" s="899"/>
      <c r="SRY39" s="899"/>
      <c r="SRZ39" s="899"/>
      <c r="SSA39" s="899"/>
      <c r="SSB39" s="899"/>
      <c r="SSC39" s="899"/>
      <c r="SSD39" s="899"/>
      <c r="SSE39" s="899"/>
      <c r="SSF39" s="899"/>
      <c r="SSG39" s="899"/>
      <c r="SSH39" s="899"/>
      <c r="SSI39" s="899"/>
      <c r="SSJ39" s="899"/>
      <c r="SSK39" s="899"/>
      <c r="SSL39" s="899"/>
      <c r="SSM39" s="899"/>
      <c r="SSN39" s="899"/>
      <c r="SSO39" s="899"/>
      <c r="SSP39" s="899"/>
      <c r="SSQ39" s="899"/>
      <c r="SSR39" s="899"/>
      <c r="SSS39" s="899"/>
      <c r="SST39" s="899"/>
      <c r="SSU39" s="899"/>
      <c r="SSV39" s="899"/>
      <c r="SSW39" s="899"/>
      <c r="SSX39" s="899"/>
      <c r="SSY39" s="899"/>
      <c r="SSZ39" s="899"/>
      <c r="STA39" s="899"/>
      <c r="STB39" s="899"/>
      <c r="STC39" s="899"/>
      <c r="STD39" s="899"/>
      <c r="STE39" s="899"/>
      <c r="STF39" s="899"/>
      <c r="STG39" s="899"/>
      <c r="STH39" s="899"/>
      <c r="STI39" s="899"/>
      <c r="STJ39" s="899"/>
      <c r="STK39" s="899"/>
      <c r="STL39" s="899"/>
      <c r="STM39" s="899"/>
      <c r="STN39" s="899"/>
      <c r="STO39" s="899"/>
      <c r="STP39" s="899"/>
      <c r="STQ39" s="899"/>
      <c r="STR39" s="899"/>
      <c r="STS39" s="899"/>
      <c r="STT39" s="899"/>
      <c r="STU39" s="899"/>
      <c r="STV39" s="899"/>
      <c r="STW39" s="899"/>
      <c r="STX39" s="899"/>
      <c r="STY39" s="899"/>
      <c r="STZ39" s="899"/>
      <c r="SUA39" s="899"/>
      <c r="SUB39" s="899"/>
      <c r="SUC39" s="899"/>
      <c r="SUD39" s="899"/>
      <c r="SUE39" s="899"/>
      <c r="SUF39" s="899"/>
      <c r="SUG39" s="899"/>
      <c r="SUH39" s="899"/>
      <c r="SUI39" s="899"/>
      <c r="SUJ39" s="899"/>
      <c r="SUK39" s="899"/>
      <c r="SUL39" s="899"/>
      <c r="SUM39" s="899"/>
      <c r="SUN39" s="899"/>
      <c r="SUO39" s="899"/>
      <c r="SUP39" s="899"/>
      <c r="SUQ39" s="899"/>
      <c r="SUR39" s="899"/>
      <c r="SUS39" s="899"/>
      <c r="SUT39" s="899"/>
      <c r="SUU39" s="899"/>
      <c r="SUV39" s="899"/>
      <c r="SUW39" s="899"/>
      <c r="SUX39" s="899"/>
      <c r="SUY39" s="899"/>
      <c r="SUZ39" s="899"/>
      <c r="SVA39" s="899"/>
      <c r="SVB39" s="899"/>
      <c r="SVC39" s="899"/>
      <c r="SVD39" s="899"/>
      <c r="SVE39" s="899"/>
      <c r="SVF39" s="899"/>
      <c r="SVG39" s="899"/>
      <c r="SVH39" s="899"/>
      <c r="SVI39" s="899"/>
      <c r="SVJ39" s="899"/>
      <c r="SVK39" s="899"/>
      <c r="SVL39" s="899"/>
      <c r="SVM39" s="899"/>
      <c r="SVN39" s="899"/>
      <c r="SVO39" s="899"/>
      <c r="SVP39" s="899"/>
      <c r="SVQ39" s="899"/>
      <c r="SVR39" s="899"/>
      <c r="SVS39" s="899"/>
      <c r="SVT39" s="899"/>
      <c r="SVU39" s="899"/>
      <c r="SVV39" s="899"/>
      <c r="SVW39" s="899"/>
      <c r="SVX39" s="899"/>
      <c r="SVY39" s="899"/>
      <c r="SVZ39" s="899"/>
      <c r="SWA39" s="899"/>
      <c r="SWB39" s="899"/>
      <c r="SWC39" s="899"/>
      <c r="SWD39" s="899"/>
      <c r="SWE39" s="899"/>
      <c r="SWF39" s="899"/>
      <c r="SWG39" s="899"/>
      <c r="SWH39" s="899"/>
      <c r="SWI39" s="899"/>
      <c r="SWJ39" s="899"/>
      <c r="SWK39" s="899"/>
      <c r="SWL39" s="899"/>
      <c r="SWM39" s="899"/>
      <c r="SWN39" s="899"/>
      <c r="SWO39" s="899"/>
      <c r="SWP39" s="899"/>
      <c r="SWQ39" s="899"/>
      <c r="SWR39" s="899"/>
      <c r="SWS39" s="899"/>
      <c r="SWT39" s="899"/>
      <c r="SWU39" s="899"/>
      <c r="SWV39" s="899"/>
      <c r="SWW39" s="899"/>
      <c r="SWX39" s="899"/>
      <c r="SWY39" s="899"/>
      <c r="SWZ39" s="899"/>
      <c r="SXA39" s="899"/>
      <c r="SXB39" s="899"/>
      <c r="SXC39" s="899"/>
      <c r="SXD39" s="899"/>
      <c r="SXE39" s="899"/>
      <c r="SXF39" s="899"/>
      <c r="SXG39" s="899"/>
      <c r="SXH39" s="899"/>
      <c r="SXI39" s="899"/>
      <c r="SXJ39" s="899"/>
      <c r="SXK39" s="899"/>
      <c r="SXL39" s="899"/>
      <c r="SXM39" s="899"/>
      <c r="SXN39" s="899"/>
      <c r="SXO39" s="899"/>
      <c r="SXP39" s="899"/>
      <c r="SXQ39" s="899"/>
      <c r="SXR39" s="899"/>
      <c r="SXS39" s="899"/>
      <c r="SXT39" s="899"/>
      <c r="SXU39" s="899"/>
      <c r="SXV39" s="899"/>
      <c r="SXW39" s="899"/>
      <c r="SXX39" s="899"/>
      <c r="SXY39" s="899"/>
      <c r="SXZ39" s="899"/>
      <c r="SYA39" s="899"/>
      <c r="SYB39" s="899"/>
      <c r="SYC39" s="899"/>
      <c r="SYD39" s="899"/>
      <c r="SYE39" s="899"/>
      <c r="SYF39" s="899"/>
      <c r="SYG39" s="899"/>
      <c r="SYH39" s="899"/>
      <c r="SYI39" s="899"/>
      <c r="SYJ39" s="899"/>
      <c r="SYK39" s="899"/>
      <c r="SYL39" s="899"/>
      <c r="SYM39" s="899"/>
      <c r="SYN39" s="899"/>
      <c r="SYO39" s="899"/>
      <c r="SYP39" s="899"/>
      <c r="SYQ39" s="899"/>
      <c r="SYR39" s="899"/>
      <c r="SYS39" s="899"/>
      <c r="SYT39" s="899"/>
      <c r="SYU39" s="899"/>
      <c r="SYV39" s="899"/>
      <c r="SYW39" s="899"/>
      <c r="SYX39" s="899"/>
      <c r="SYY39" s="899"/>
      <c r="SYZ39" s="899"/>
      <c r="SZA39" s="899"/>
      <c r="SZB39" s="899"/>
      <c r="SZC39" s="899"/>
      <c r="SZD39" s="899"/>
      <c r="SZE39" s="899"/>
      <c r="SZF39" s="899"/>
      <c r="SZG39" s="899"/>
      <c r="SZH39" s="899"/>
      <c r="SZI39" s="899"/>
      <c r="SZJ39" s="899"/>
      <c r="SZK39" s="899"/>
      <c r="SZL39" s="899"/>
      <c r="SZM39" s="899"/>
      <c r="SZN39" s="899"/>
      <c r="SZO39" s="899"/>
      <c r="SZP39" s="899"/>
      <c r="SZQ39" s="899"/>
      <c r="SZR39" s="899"/>
      <c r="SZS39" s="899"/>
      <c r="SZT39" s="899"/>
      <c r="SZU39" s="899"/>
      <c r="SZV39" s="899"/>
      <c r="SZW39" s="899"/>
      <c r="SZX39" s="899"/>
      <c r="SZY39" s="899"/>
      <c r="SZZ39" s="899"/>
      <c r="TAA39" s="899"/>
      <c r="TAB39" s="899"/>
      <c r="TAC39" s="899"/>
      <c r="TAD39" s="899"/>
      <c r="TAE39" s="899"/>
      <c r="TAF39" s="899"/>
      <c r="TAG39" s="899"/>
      <c r="TAH39" s="899"/>
      <c r="TAI39" s="899"/>
      <c r="TAJ39" s="899"/>
      <c r="TAK39" s="899"/>
      <c r="TAL39" s="899"/>
      <c r="TAM39" s="899"/>
      <c r="TAN39" s="899"/>
      <c r="TAO39" s="899"/>
      <c r="TAP39" s="899"/>
      <c r="TAQ39" s="899"/>
      <c r="TAR39" s="899"/>
      <c r="TAS39" s="899"/>
      <c r="TAT39" s="899"/>
      <c r="TAU39" s="899"/>
      <c r="TAV39" s="899"/>
      <c r="TAW39" s="899"/>
      <c r="TAX39" s="899"/>
      <c r="TAY39" s="899"/>
      <c r="TAZ39" s="899"/>
      <c r="TBA39" s="899"/>
      <c r="TBB39" s="899"/>
      <c r="TBC39" s="899"/>
      <c r="TBD39" s="899"/>
      <c r="TBE39" s="899"/>
      <c r="TBF39" s="899"/>
      <c r="TBG39" s="899"/>
      <c r="TBH39" s="899"/>
      <c r="TBI39" s="899"/>
      <c r="TBJ39" s="899"/>
      <c r="TBK39" s="899"/>
      <c r="TBL39" s="899"/>
      <c r="TBM39" s="899"/>
      <c r="TBN39" s="899"/>
      <c r="TBO39" s="899"/>
      <c r="TBP39" s="899"/>
      <c r="TBQ39" s="899"/>
      <c r="TBR39" s="899"/>
      <c r="TBS39" s="899"/>
      <c r="TBT39" s="899"/>
      <c r="TBU39" s="899"/>
      <c r="TBV39" s="899"/>
      <c r="TBW39" s="899"/>
      <c r="TBX39" s="899"/>
      <c r="TBY39" s="899"/>
      <c r="TBZ39" s="899"/>
      <c r="TCA39" s="899"/>
      <c r="TCB39" s="899"/>
      <c r="TCC39" s="899"/>
      <c r="TCD39" s="899"/>
      <c r="TCE39" s="899"/>
      <c r="TCF39" s="899"/>
      <c r="TCG39" s="899"/>
      <c r="TCH39" s="899"/>
      <c r="TCI39" s="899"/>
      <c r="TCJ39" s="899"/>
      <c r="TCK39" s="899"/>
      <c r="TCL39" s="899"/>
      <c r="TCM39" s="899"/>
      <c r="TCN39" s="899"/>
      <c r="TCO39" s="899"/>
      <c r="TCP39" s="899"/>
      <c r="TCQ39" s="899"/>
      <c r="TCR39" s="899"/>
      <c r="TCS39" s="899"/>
      <c r="TCT39" s="899"/>
      <c r="TCU39" s="899"/>
      <c r="TCV39" s="899"/>
      <c r="TCW39" s="899"/>
      <c r="TCX39" s="899"/>
      <c r="TCY39" s="899"/>
      <c r="TCZ39" s="899"/>
      <c r="TDA39" s="899"/>
      <c r="TDB39" s="899"/>
      <c r="TDC39" s="899"/>
      <c r="TDD39" s="899"/>
      <c r="TDE39" s="899"/>
      <c r="TDF39" s="899"/>
      <c r="TDG39" s="899"/>
      <c r="TDH39" s="899"/>
      <c r="TDI39" s="899"/>
      <c r="TDJ39" s="899"/>
      <c r="TDK39" s="899"/>
      <c r="TDL39" s="899"/>
      <c r="TDM39" s="899"/>
      <c r="TDN39" s="899"/>
      <c r="TDO39" s="899"/>
      <c r="TDP39" s="899"/>
      <c r="TDQ39" s="899"/>
      <c r="TDR39" s="899"/>
      <c r="TDS39" s="899"/>
      <c r="TDT39" s="899"/>
      <c r="TDU39" s="899"/>
      <c r="TDV39" s="899"/>
      <c r="TDW39" s="899"/>
      <c r="TDX39" s="899"/>
      <c r="TDY39" s="899"/>
      <c r="TDZ39" s="899"/>
      <c r="TEA39" s="899"/>
      <c r="TEB39" s="899"/>
      <c r="TEC39" s="899"/>
      <c r="TED39" s="899"/>
      <c r="TEE39" s="899"/>
      <c r="TEF39" s="899"/>
      <c r="TEG39" s="899"/>
      <c r="TEH39" s="899"/>
      <c r="TEI39" s="899"/>
      <c r="TEJ39" s="899"/>
      <c r="TEK39" s="899"/>
      <c r="TEL39" s="899"/>
      <c r="TEM39" s="899"/>
      <c r="TEN39" s="899"/>
      <c r="TEO39" s="899"/>
      <c r="TEP39" s="899"/>
      <c r="TEQ39" s="899"/>
      <c r="TER39" s="899"/>
      <c r="TES39" s="899"/>
      <c r="TET39" s="899"/>
      <c r="TEU39" s="899"/>
      <c r="TEV39" s="899"/>
      <c r="TEW39" s="899"/>
      <c r="TEX39" s="899"/>
      <c r="TEY39" s="899"/>
      <c r="TEZ39" s="899"/>
      <c r="TFA39" s="899"/>
      <c r="TFB39" s="899"/>
      <c r="TFC39" s="899"/>
      <c r="TFD39" s="899"/>
      <c r="TFE39" s="899"/>
      <c r="TFF39" s="899"/>
      <c r="TFG39" s="899"/>
      <c r="TFH39" s="899"/>
      <c r="TFI39" s="899"/>
      <c r="TFJ39" s="899"/>
      <c r="TFK39" s="899"/>
      <c r="TFL39" s="899"/>
      <c r="TFM39" s="899"/>
      <c r="TFN39" s="899"/>
      <c r="TFO39" s="899"/>
      <c r="TFP39" s="899"/>
      <c r="TFQ39" s="899"/>
      <c r="TFR39" s="899"/>
      <c r="TFS39" s="899"/>
      <c r="TFT39" s="899"/>
      <c r="TFU39" s="899"/>
      <c r="TFV39" s="899"/>
      <c r="TFW39" s="899"/>
      <c r="TFX39" s="899"/>
      <c r="TFY39" s="899"/>
      <c r="TFZ39" s="899"/>
      <c r="TGA39" s="899"/>
      <c r="TGB39" s="899"/>
      <c r="TGC39" s="899"/>
      <c r="TGD39" s="899"/>
      <c r="TGE39" s="899"/>
      <c r="TGF39" s="899"/>
      <c r="TGG39" s="899"/>
      <c r="TGH39" s="899"/>
      <c r="TGI39" s="899"/>
      <c r="TGJ39" s="899"/>
      <c r="TGK39" s="899"/>
      <c r="TGL39" s="899"/>
      <c r="TGM39" s="899"/>
      <c r="TGN39" s="899"/>
      <c r="TGO39" s="899"/>
      <c r="TGP39" s="899"/>
      <c r="TGQ39" s="899"/>
      <c r="TGR39" s="899"/>
      <c r="TGS39" s="899"/>
      <c r="TGT39" s="899"/>
      <c r="TGU39" s="899"/>
      <c r="TGV39" s="899"/>
      <c r="TGW39" s="899"/>
      <c r="TGX39" s="899"/>
      <c r="TGY39" s="899"/>
      <c r="TGZ39" s="899"/>
      <c r="THA39" s="899"/>
      <c r="THB39" s="899"/>
      <c r="THC39" s="899"/>
      <c r="THD39" s="899"/>
      <c r="THE39" s="899"/>
      <c r="THF39" s="899"/>
      <c r="THG39" s="899"/>
      <c r="THH39" s="899"/>
      <c r="THI39" s="899"/>
      <c r="THJ39" s="899"/>
      <c r="THK39" s="899"/>
      <c r="THL39" s="899"/>
      <c r="THM39" s="899"/>
      <c r="THN39" s="899"/>
      <c r="THO39" s="899"/>
      <c r="THP39" s="899"/>
      <c r="THQ39" s="899"/>
      <c r="THR39" s="899"/>
      <c r="THS39" s="899"/>
      <c r="THT39" s="899"/>
      <c r="THU39" s="899"/>
      <c r="THV39" s="899"/>
      <c r="THW39" s="899"/>
      <c r="THX39" s="899"/>
      <c r="THY39" s="899"/>
      <c r="THZ39" s="899"/>
      <c r="TIA39" s="899"/>
      <c r="TIB39" s="899"/>
      <c r="TIC39" s="899"/>
      <c r="TID39" s="899"/>
      <c r="TIE39" s="899"/>
      <c r="TIF39" s="899"/>
      <c r="TIG39" s="899"/>
      <c r="TIH39" s="899"/>
      <c r="TII39" s="899"/>
      <c r="TIJ39" s="899"/>
      <c r="TIK39" s="899"/>
      <c r="TIL39" s="899"/>
      <c r="TIM39" s="899"/>
      <c r="TIN39" s="899"/>
      <c r="TIO39" s="899"/>
      <c r="TIP39" s="899"/>
      <c r="TIQ39" s="899"/>
      <c r="TIR39" s="899"/>
      <c r="TIS39" s="899"/>
      <c r="TIT39" s="899"/>
      <c r="TIU39" s="899"/>
      <c r="TIV39" s="899"/>
      <c r="TIW39" s="899"/>
      <c r="TIX39" s="899"/>
      <c r="TIY39" s="899"/>
      <c r="TIZ39" s="899"/>
      <c r="TJA39" s="899"/>
      <c r="TJB39" s="899"/>
      <c r="TJC39" s="899"/>
      <c r="TJD39" s="899"/>
      <c r="TJE39" s="899"/>
      <c r="TJF39" s="899"/>
      <c r="TJG39" s="899"/>
      <c r="TJH39" s="899"/>
      <c r="TJI39" s="899"/>
      <c r="TJJ39" s="899"/>
      <c r="TJK39" s="899"/>
      <c r="TJL39" s="899"/>
      <c r="TJM39" s="899"/>
      <c r="TJN39" s="899"/>
      <c r="TJO39" s="899"/>
      <c r="TJP39" s="899"/>
      <c r="TJQ39" s="899"/>
      <c r="TJR39" s="899"/>
      <c r="TJS39" s="899"/>
      <c r="TJT39" s="899"/>
      <c r="TJU39" s="899"/>
      <c r="TJV39" s="899"/>
      <c r="TJW39" s="899"/>
      <c r="TJX39" s="899"/>
      <c r="TJY39" s="899"/>
      <c r="TJZ39" s="899"/>
      <c r="TKA39" s="899"/>
      <c r="TKB39" s="899"/>
      <c r="TKC39" s="899"/>
      <c r="TKD39" s="899"/>
      <c r="TKE39" s="899"/>
      <c r="TKF39" s="899"/>
      <c r="TKG39" s="899"/>
      <c r="TKH39" s="899"/>
      <c r="TKI39" s="899"/>
      <c r="TKJ39" s="899"/>
      <c r="TKK39" s="899"/>
      <c r="TKL39" s="899"/>
      <c r="TKM39" s="899"/>
      <c r="TKN39" s="899"/>
      <c r="TKO39" s="899"/>
      <c r="TKP39" s="899"/>
      <c r="TKQ39" s="899"/>
      <c r="TKR39" s="899"/>
      <c r="TKS39" s="899"/>
      <c r="TKT39" s="899"/>
      <c r="TKU39" s="899"/>
      <c r="TKV39" s="899"/>
      <c r="TKW39" s="899"/>
      <c r="TKX39" s="899"/>
      <c r="TKY39" s="899"/>
      <c r="TKZ39" s="899"/>
      <c r="TLA39" s="899"/>
      <c r="TLB39" s="899"/>
      <c r="TLC39" s="899"/>
      <c r="TLD39" s="899"/>
      <c r="TLE39" s="899"/>
      <c r="TLF39" s="899"/>
      <c r="TLG39" s="899"/>
      <c r="TLH39" s="899"/>
      <c r="TLI39" s="899"/>
      <c r="TLJ39" s="899"/>
      <c r="TLK39" s="899"/>
      <c r="TLL39" s="899"/>
      <c r="TLM39" s="899"/>
      <c r="TLN39" s="899"/>
      <c r="TLO39" s="899"/>
      <c r="TLP39" s="899"/>
      <c r="TLQ39" s="899"/>
      <c r="TLR39" s="899"/>
      <c r="TLS39" s="899"/>
      <c r="TLT39" s="899"/>
      <c r="TLU39" s="899"/>
      <c r="TLV39" s="899"/>
      <c r="TLW39" s="899"/>
      <c r="TLX39" s="899"/>
      <c r="TLY39" s="899"/>
      <c r="TLZ39" s="899"/>
      <c r="TMA39" s="899"/>
      <c r="TMB39" s="899"/>
      <c r="TMC39" s="899"/>
      <c r="TMD39" s="899"/>
      <c r="TME39" s="899"/>
      <c r="TMF39" s="899"/>
      <c r="TMG39" s="899"/>
      <c r="TMH39" s="899"/>
      <c r="TMI39" s="899"/>
      <c r="TMJ39" s="899"/>
      <c r="TMK39" s="899"/>
      <c r="TML39" s="899"/>
      <c r="TMM39" s="899"/>
      <c r="TMN39" s="899"/>
      <c r="TMO39" s="899"/>
      <c r="TMP39" s="899"/>
      <c r="TMQ39" s="899"/>
      <c r="TMR39" s="899"/>
      <c r="TMS39" s="899"/>
      <c r="TMT39" s="899"/>
      <c r="TMU39" s="899"/>
      <c r="TMV39" s="899"/>
      <c r="TMW39" s="899"/>
      <c r="TMX39" s="899"/>
      <c r="TMY39" s="899"/>
      <c r="TMZ39" s="899"/>
      <c r="TNA39" s="899"/>
      <c r="TNB39" s="899"/>
      <c r="TNC39" s="899"/>
      <c r="TND39" s="899"/>
      <c r="TNE39" s="899"/>
      <c r="TNF39" s="899"/>
      <c r="TNG39" s="899"/>
      <c r="TNH39" s="899"/>
      <c r="TNI39" s="899"/>
      <c r="TNJ39" s="899"/>
      <c r="TNK39" s="899"/>
      <c r="TNL39" s="899"/>
      <c r="TNM39" s="899"/>
      <c r="TNN39" s="899"/>
      <c r="TNO39" s="899"/>
      <c r="TNP39" s="899"/>
      <c r="TNQ39" s="899"/>
      <c r="TNR39" s="899"/>
      <c r="TNS39" s="899"/>
      <c r="TNT39" s="899"/>
      <c r="TNU39" s="899"/>
      <c r="TNV39" s="899"/>
      <c r="TNW39" s="899"/>
      <c r="TNX39" s="899"/>
      <c r="TNY39" s="899"/>
      <c r="TNZ39" s="899"/>
      <c r="TOA39" s="899"/>
      <c r="TOB39" s="899"/>
      <c r="TOC39" s="899"/>
      <c r="TOD39" s="899"/>
      <c r="TOE39" s="899"/>
      <c r="TOF39" s="899"/>
      <c r="TOG39" s="899"/>
      <c r="TOH39" s="899"/>
      <c r="TOI39" s="899"/>
      <c r="TOJ39" s="899"/>
      <c r="TOK39" s="899"/>
      <c r="TOL39" s="899"/>
      <c r="TOM39" s="899"/>
      <c r="TON39" s="899"/>
      <c r="TOO39" s="899"/>
      <c r="TOP39" s="899"/>
      <c r="TOQ39" s="899"/>
      <c r="TOR39" s="899"/>
      <c r="TOS39" s="899"/>
      <c r="TOT39" s="899"/>
      <c r="TOU39" s="899"/>
      <c r="TOV39" s="899"/>
      <c r="TOW39" s="899"/>
      <c r="TOX39" s="899"/>
      <c r="TOY39" s="899"/>
      <c r="TOZ39" s="899"/>
      <c r="TPA39" s="899"/>
      <c r="TPB39" s="899"/>
      <c r="TPC39" s="899"/>
      <c r="TPD39" s="899"/>
      <c r="TPE39" s="899"/>
      <c r="TPF39" s="899"/>
      <c r="TPG39" s="899"/>
      <c r="TPH39" s="899"/>
      <c r="TPI39" s="899"/>
      <c r="TPJ39" s="899"/>
      <c r="TPK39" s="899"/>
      <c r="TPL39" s="899"/>
      <c r="TPM39" s="899"/>
      <c r="TPN39" s="899"/>
      <c r="TPO39" s="899"/>
      <c r="TPP39" s="899"/>
      <c r="TPQ39" s="899"/>
      <c r="TPR39" s="899"/>
      <c r="TPS39" s="899"/>
      <c r="TPT39" s="899"/>
      <c r="TPU39" s="899"/>
      <c r="TPV39" s="899"/>
      <c r="TPW39" s="899"/>
      <c r="TPX39" s="899"/>
      <c r="TPY39" s="899"/>
      <c r="TPZ39" s="899"/>
      <c r="TQA39" s="899"/>
      <c r="TQB39" s="899"/>
      <c r="TQC39" s="899"/>
      <c r="TQD39" s="899"/>
      <c r="TQE39" s="899"/>
      <c r="TQF39" s="899"/>
      <c r="TQG39" s="899"/>
      <c r="TQH39" s="899"/>
      <c r="TQI39" s="899"/>
      <c r="TQJ39" s="899"/>
      <c r="TQK39" s="899"/>
      <c r="TQL39" s="899"/>
      <c r="TQM39" s="899"/>
      <c r="TQN39" s="899"/>
      <c r="TQO39" s="899"/>
      <c r="TQP39" s="899"/>
      <c r="TQQ39" s="899"/>
      <c r="TQR39" s="899"/>
      <c r="TQS39" s="899"/>
      <c r="TQT39" s="899"/>
      <c r="TQU39" s="899"/>
      <c r="TQV39" s="899"/>
      <c r="TQW39" s="899"/>
      <c r="TQX39" s="899"/>
      <c r="TQY39" s="899"/>
      <c r="TQZ39" s="899"/>
      <c r="TRA39" s="899"/>
      <c r="TRB39" s="899"/>
      <c r="TRC39" s="899"/>
      <c r="TRD39" s="899"/>
      <c r="TRE39" s="899"/>
      <c r="TRF39" s="899"/>
      <c r="TRG39" s="899"/>
      <c r="TRH39" s="899"/>
      <c r="TRI39" s="899"/>
      <c r="TRJ39" s="899"/>
      <c r="TRK39" s="899"/>
      <c r="TRL39" s="899"/>
      <c r="TRM39" s="899"/>
      <c r="TRN39" s="899"/>
      <c r="TRO39" s="899"/>
      <c r="TRP39" s="899"/>
      <c r="TRQ39" s="899"/>
      <c r="TRR39" s="899"/>
      <c r="TRS39" s="899"/>
      <c r="TRT39" s="899"/>
      <c r="TRU39" s="899"/>
      <c r="TRV39" s="899"/>
      <c r="TRW39" s="899"/>
      <c r="TRX39" s="899"/>
      <c r="TRY39" s="899"/>
      <c r="TRZ39" s="899"/>
      <c r="TSA39" s="899"/>
      <c r="TSB39" s="899"/>
      <c r="TSC39" s="899"/>
      <c r="TSD39" s="899"/>
      <c r="TSE39" s="899"/>
      <c r="TSF39" s="899"/>
      <c r="TSG39" s="899"/>
      <c r="TSH39" s="899"/>
      <c r="TSI39" s="899"/>
      <c r="TSJ39" s="899"/>
      <c r="TSK39" s="899"/>
      <c r="TSL39" s="899"/>
      <c r="TSM39" s="899"/>
      <c r="TSN39" s="899"/>
      <c r="TSO39" s="899"/>
      <c r="TSP39" s="899"/>
      <c r="TSQ39" s="899"/>
      <c r="TSR39" s="899"/>
      <c r="TSS39" s="899"/>
      <c r="TST39" s="899"/>
      <c r="TSU39" s="899"/>
      <c r="TSV39" s="899"/>
      <c r="TSW39" s="899"/>
      <c r="TSX39" s="899"/>
      <c r="TSY39" s="899"/>
      <c r="TSZ39" s="899"/>
      <c r="TTA39" s="899"/>
      <c r="TTB39" s="899"/>
      <c r="TTC39" s="899"/>
      <c r="TTD39" s="899"/>
      <c r="TTE39" s="899"/>
      <c r="TTF39" s="899"/>
      <c r="TTG39" s="899"/>
      <c r="TTH39" s="899"/>
      <c r="TTI39" s="899"/>
      <c r="TTJ39" s="899"/>
      <c r="TTK39" s="899"/>
      <c r="TTL39" s="899"/>
      <c r="TTM39" s="899"/>
      <c r="TTN39" s="899"/>
      <c r="TTO39" s="899"/>
      <c r="TTP39" s="899"/>
      <c r="TTQ39" s="899"/>
      <c r="TTR39" s="899"/>
      <c r="TTS39" s="899"/>
      <c r="TTT39" s="899"/>
      <c r="TTU39" s="899"/>
      <c r="TTV39" s="899"/>
      <c r="TTW39" s="899"/>
      <c r="TTX39" s="899"/>
      <c r="TTY39" s="899"/>
      <c r="TTZ39" s="899"/>
      <c r="TUA39" s="899"/>
      <c r="TUB39" s="899"/>
      <c r="TUC39" s="899"/>
      <c r="TUD39" s="899"/>
      <c r="TUE39" s="899"/>
      <c r="TUF39" s="899"/>
      <c r="TUG39" s="899"/>
      <c r="TUH39" s="899"/>
      <c r="TUI39" s="899"/>
      <c r="TUJ39" s="899"/>
      <c r="TUK39" s="899"/>
      <c r="TUL39" s="899"/>
      <c r="TUM39" s="899"/>
      <c r="TUN39" s="899"/>
      <c r="TUO39" s="899"/>
      <c r="TUP39" s="899"/>
      <c r="TUQ39" s="899"/>
      <c r="TUR39" s="899"/>
      <c r="TUS39" s="899"/>
      <c r="TUT39" s="899"/>
      <c r="TUU39" s="899"/>
      <c r="TUV39" s="899"/>
      <c r="TUW39" s="899"/>
      <c r="TUX39" s="899"/>
      <c r="TUY39" s="899"/>
      <c r="TUZ39" s="899"/>
      <c r="TVA39" s="899"/>
      <c r="TVB39" s="899"/>
      <c r="TVC39" s="899"/>
      <c r="TVD39" s="899"/>
      <c r="TVE39" s="899"/>
      <c r="TVF39" s="899"/>
      <c r="TVG39" s="899"/>
      <c r="TVH39" s="899"/>
      <c r="TVI39" s="899"/>
      <c r="TVJ39" s="899"/>
      <c r="TVK39" s="899"/>
      <c r="TVL39" s="899"/>
      <c r="TVM39" s="899"/>
      <c r="TVN39" s="899"/>
      <c r="TVO39" s="899"/>
      <c r="TVP39" s="899"/>
      <c r="TVQ39" s="899"/>
      <c r="TVR39" s="899"/>
      <c r="TVS39" s="899"/>
      <c r="TVT39" s="899"/>
      <c r="TVU39" s="899"/>
      <c r="TVV39" s="899"/>
      <c r="TVW39" s="899"/>
      <c r="TVX39" s="899"/>
      <c r="TVY39" s="899"/>
      <c r="TVZ39" s="899"/>
      <c r="TWA39" s="899"/>
      <c r="TWB39" s="899"/>
      <c r="TWC39" s="899"/>
      <c r="TWD39" s="899"/>
      <c r="TWE39" s="899"/>
      <c r="TWF39" s="899"/>
      <c r="TWG39" s="899"/>
      <c r="TWH39" s="899"/>
      <c r="TWI39" s="899"/>
      <c r="TWJ39" s="899"/>
      <c r="TWK39" s="899"/>
      <c r="TWL39" s="899"/>
      <c r="TWM39" s="899"/>
      <c r="TWN39" s="899"/>
      <c r="TWO39" s="899"/>
      <c r="TWP39" s="899"/>
      <c r="TWQ39" s="899"/>
      <c r="TWR39" s="899"/>
      <c r="TWS39" s="899"/>
      <c r="TWT39" s="899"/>
      <c r="TWU39" s="899"/>
      <c r="TWV39" s="899"/>
      <c r="TWW39" s="899"/>
      <c r="TWX39" s="899"/>
      <c r="TWY39" s="899"/>
      <c r="TWZ39" s="899"/>
      <c r="TXA39" s="899"/>
      <c r="TXB39" s="899"/>
      <c r="TXC39" s="899"/>
      <c r="TXD39" s="899"/>
      <c r="TXE39" s="899"/>
      <c r="TXF39" s="899"/>
      <c r="TXG39" s="899"/>
      <c r="TXH39" s="899"/>
      <c r="TXI39" s="899"/>
      <c r="TXJ39" s="899"/>
      <c r="TXK39" s="899"/>
      <c r="TXL39" s="899"/>
      <c r="TXM39" s="899"/>
      <c r="TXN39" s="899"/>
      <c r="TXO39" s="899"/>
      <c r="TXP39" s="899"/>
      <c r="TXQ39" s="899"/>
      <c r="TXR39" s="899"/>
      <c r="TXS39" s="899"/>
      <c r="TXT39" s="899"/>
      <c r="TXU39" s="899"/>
      <c r="TXV39" s="899"/>
      <c r="TXW39" s="899"/>
      <c r="TXX39" s="899"/>
      <c r="TXY39" s="899"/>
      <c r="TXZ39" s="899"/>
      <c r="TYA39" s="899"/>
      <c r="TYB39" s="899"/>
      <c r="TYC39" s="899"/>
      <c r="TYD39" s="899"/>
      <c r="TYE39" s="899"/>
      <c r="TYF39" s="899"/>
      <c r="TYG39" s="899"/>
      <c r="TYH39" s="899"/>
      <c r="TYI39" s="899"/>
      <c r="TYJ39" s="899"/>
      <c r="TYK39" s="899"/>
      <c r="TYL39" s="899"/>
      <c r="TYM39" s="899"/>
      <c r="TYN39" s="899"/>
      <c r="TYO39" s="899"/>
      <c r="TYP39" s="899"/>
      <c r="TYQ39" s="899"/>
      <c r="TYR39" s="899"/>
      <c r="TYS39" s="899"/>
      <c r="TYT39" s="899"/>
      <c r="TYU39" s="899"/>
      <c r="TYV39" s="899"/>
      <c r="TYW39" s="899"/>
      <c r="TYX39" s="899"/>
      <c r="TYY39" s="899"/>
      <c r="TYZ39" s="899"/>
      <c r="TZA39" s="899"/>
      <c r="TZB39" s="899"/>
      <c r="TZC39" s="899"/>
      <c r="TZD39" s="899"/>
      <c r="TZE39" s="899"/>
      <c r="TZF39" s="899"/>
      <c r="TZG39" s="899"/>
      <c r="TZH39" s="899"/>
      <c r="TZI39" s="899"/>
      <c r="TZJ39" s="899"/>
      <c r="TZK39" s="899"/>
      <c r="TZL39" s="899"/>
      <c r="TZM39" s="899"/>
      <c r="TZN39" s="899"/>
      <c r="TZO39" s="899"/>
      <c r="TZP39" s="899"/>
      <c r="TZQ39" s="899"/>
      <c r="TZR39" s="899"/>
      <c r="TZS39" s="899"/>
      <c r="TZT39" s="899"/>
      <c r="TZU39" s="899"/>
      <c r="TZV39" s="899"/>
      <c r="TZW39" s="899"/>
      <c r="TZX39" s="899"/>
      <c r="TZY39" s="899"/>
      <c r="TZZ39" s="899"/>
      <c r="UAA39" s="899"/>
      <c r="UAB39" s="899"/>
      <c r="UAC39" s="899"/>
      <c r="UAD39" s="899"/>
      <c r="UAE39" s="899"/>
      <c r="UAF39" s="899"/>
      <c r="UAG39" s="899"/>
      <c r="UAH39" s="899"/>
      <c r="UAI39" s="899"/>
      <c r="UAJ39" s="899"/>
      <c r="UAK39" s="899"/>
      <c r="UAL39" s="899"/>
      <c r="UAM39" s="899"/>
      <c r="UAN39" s="899"/>
      <c r="UAO39" s="899"/>
      <c r="UAP39" s="899"/>
      <c r="UAQ39" s="899"/>
      <c r="UAR39" s="899"/>
      <c r="UAS39" s="899"/>
      <c r="UAT39" s="899"/>
      <c r="UAU39" s="899"/>
      <c r="UAV39" s="899"/>
      <c r="UAW39" s="899"/>
      <c r="UAX39" s="899"/>
      <c r="UAY39" s="899"/>
      <c r="UAZ39" s="899"/>
      <c r="UBA39" s="899"/>
      <c r="UBB39" s="899"/>
      <c r="UBC39" s="899"/>
      <c r="UBD39" s="899"/>
      <c r="UBE39" s="899"/>
      <c r="UBF39" s="899"/>
      <c r="UBG39" s="899"/>
      <c r="UBH39" s="899"/>
      <c r="UBI39" s="899"/>
      <c r="UBJ39" s="899"/>
      <c r="UBK39" s="899"/>
      <c r="UBL39" s="899"/>
      <c r="UBM39" s="899"/>
      <c r="UBN39" s="899"/>
      <c r="UBO39" s="899"/>
      <c r="UBP39" s="899"/>
      <c r="UBQ39" s="899"/>
      <c r="UBR39" s="899"/>
      <c r="UBS39" s="899"/>
      <c r="UBT39" s="899"/>
      <c r="UBU39" s="899"/>
      <c r="UBV39" s="899"/>
      <c r="UBW39" s="899"/>
      <c r="UBX39" s="899"/>
      <c r="UBY39" s="899"/>
      <c r="UBZ39" s="899"/>
      <c r="UCA39" s="899"/>
      <c r="UCB39" s="899"/>
      <c r="UCC39" s="899"/>
      <c r="UCD39" s="899"/>
      <c r="UCE39" s="899"/>
      <c r="UCF39" s="899"/>
      <c r="UCG39" s="899"/>
      <c r="UCH39" s="899"/>
      <c r="UCI39" s="899"/>
      <c r="UCJ39" s="899"/>
      <c r="UCK39" s="899"/>
      <c r="UCL39" s="899"/>
      <c r="UCM39" s="899"/>
      <c r="UCN39" s="899"/>
      <c r="UCO39" s="899"/>
      <c r="UCP39" s="899"/>
      <c r="UCQ39" s="899"/>
      <c r="UCR39" s="899"/>
      <c r="UCS39" s="899"/>
      <c r="UCT39" s="899"/>
      <c r="UCU39" s="899"/>
      <c r="UCV39" s="899"/>
      <c r="UCW39" s="899"/>
      <c r="UCX39" s="899"/>
      <c r="UCY39" s="899"/>
      <c r="UCZ39" s="899"/>
      <c r="UDA39" s="899"/>
      <c r="UDB39" s="899"/>
      <c r="UDC39" s="899"/>
      <c r="UDD39" s="899"/>
      <c r="UDE39" s="899"/>
      <c r="UDF39" s="899"/>
      <c r="UDG39" s="899"/>
      <c r="UDH39" s="899"/>
      <c r="UDI39" s="899"/>
      <c r="UDJ39" s="899"/>
      <c r="UDK39" s="899"/>
      <c r="UDL39" s="899"/>
      <c r="UDM39" s="899"/>
      <c r="UDN39" s="899"/>
      <c r="UDO39" s="899"/>
      <c r="UDP39" s="899"/>
      <c r="UDQ39" s="899"/>
      <c r="UDR39" s="899"/>
      <c r="UDS39" s="899"/>
      <c r="UDT39" s="899"/>
      <c r="UDU39" s="899"/>
      <c r="UDV39" s="899"/>
      <c r="UDW39" s="899"/>
      <c r="UDX39" s="899"/>
      <c r="UDY39" s="899"/>
      <c r="UDZ39" s="899"/>
      <c r="UEA39" s="899"/>
      <c r="UEB39" s="899"/>
      <c r="UEC39" s="899"/>
      <c r="UED39" s="899"/>
      <c r="UEE39" s="899"/>
      <c r="UEF39" s="899"/>
      <c r="UEG39" s="899"/>
      <c r="UEH39" s="899"/>
      <c r="UEI39" s="899"/>
      <c r="UEJ39" s="899"/>
      <c r="UEK39" s="899"/>
      <c r="UEL39" s="899"/>
      <c r="UEM39" s="899"/>
      <c r="UEN39" s="899"/>
      <c r="UEO39" s="899"/>
      <c r="UEP39" s="899"/>
      <c r="UEQ39" s="899"/>
      <c r="UER39" s="899"/>
      <c r="UES39" s="899"/>
      <c r="UET39" s="899"/>
      <c r="UEU39" s="899"/>
      <c r="UEV39" s="899"/>
      <c r="UEW39" s="899"/>
      <c r="UEX39" s="899"/>
      <c r="UEY39" s="899"/>
      <c r="UEZ39" s="899"/>
      <c r="UFA39" s="899"/>
      <c r="UFB39" s="899"/>
      <c r="UFC39" s="899"/>
      <c r="UFD39" s="899"/>
      <c r="UFE39" s="899"/>
      <c r="UFF39" s="899"/>
      <c r="UFG39" s="899"/>
      <c r="UFH39" s="899"/>
      <c r="UFI39" s="899"/>
      <c r="UFJ39" s="899"/>
      <c r="UFK39" s="899"/>
      <c r="UFL39" s="899"/>
      <c r="UFM39" s="899"/>
      <c r="UFN39" s="899"/>
      <c r="UFO39" s="899"/>
      <c r="UFP39" s="899"/>
      <c r="UFQ39" s="899"/>
      <c r="UFR39" s="899"/>
      <c r="UFS39" s="899"/>
      <c r="UFT39" s="899"/>
      <c r="UFU39" s="899"/>
      <c r="UFV39" s="899"/>
      <c r="UFW39" s="899"/>
      <c r="UFX39" s="899"/>
      <c r="UFY39" s="899"/>
      <c r="UFZ39" s="899"/>
      <c r="UGA39" s="899"/>
      <c r="UGB39" s="899"/>
      <c r="UGC39" s="899"/>
      <c r="UGD39" s="899"/>
      <c r="UGE39" s="899"/>
      <c r="UGF39" s="899"/>
      <c r="UGG39" s="899"/>
      <c r="UGH39" s="899"/>
      <c r="UGI39" s="899"/>
      <c r="UGJ39" s="899"/>
      <c r="UGK39" s="899"/>
      <c r="UGL39" s="899"/>
      <c r="UGM39" s="899"/>
      <c r="UGN39" s="899"/>
      <c r="UGO39" s="899"/>
      <c r="UGP39" s="899"/>
      <c r="UGQ39" s="899"/>
      <c r="UGR39" s="899"/>
      <c r="UGS39" s="899"/>
      <c r="UGT39" s="899"/>
      <c r="UGU39" s="899"/>
      <c r="UGV39" s="899"/>
      <c r="UGW39" s="899"/>
      <c r="UGX39" s="899"/>
      <c r="UGY39" s="899"/>
      <c r="UGZ39" s="899"/>
      <c r="UHA39" s="899"/>
      <c r="UHB39" s="899"/>
      <c r="UHC39" s="899"/>
      <c r="UHD39" s="899"/>
      <c r="UHE39" s="899"/>
      <c r="UHF39" s="899"/>
      <c r="UHG39" s="899"/>
      <c r="UHH39" s="899"/>
      <c r="UHI39" s="899"/>
      <c r="UHJ39" s="899"/>
      <c r="UHK39" s="899"/>
      <c r="UHL39" s="899"/>
      <c r="UHM39" s="899"/>
      <c r="UHN39" s="899"/>
      <c r="UHO39" s="899"/>
      <c r="UHP39" s="899"/>
      <c r="UHQ39" s="899"/>
      <c r="UHR39" s="899"/>
      <c r="UHS39" s="899"/>
      <c r="UHT39" s="899"/>
      <c r="UHU39" s="899"/>
      <c r="UHV39" s="899"/>
      <c r="UHW39" s="899"/>
      <c r="UHX39" s="899"/>
      <c r="UHY39" s="899"/>
      <c r="UHZ39" s="899"/>
      <c r="UIA39" s="899"/>
      <c r="UIB39" s="899"/>
      <c r="UIC39" s="899"/>
      <c r="UID39" s="899"/>
      <c r="UIE39" s="899"/>
      <c r="UIF39" s="899"/>
      <c r="UIG39" s="899"/>
      <c r="UIH39" s="899"/>
      <c r="UII39" s="899"/>
      <c r="UIJ39" s="899"/>
      <c r="UIK39" s="899"/>
      <c r="UIL39" s="899"/>
      <c r="UIM39" s="899"/>
      <c r="UIN39" s="899"/>
      <c r="UIO39" s="899"/>
      <c r="UIP39" s="899"/>
      <c r="UIQ39" s="899"/>
      <c r="UIR39" s="899"/>
      <c r="UIS39" s="899"/>
      <c r="UIT39" s="899"/>
      <c r="UIU39" s="899"/>
      <c r="UIV39" s="899"/>
      <c r="UIW39" s="899"/>
      <c r="UIX39" s="899"/>
      <c r="UIY39" s="899"/>
      <c r="UIZ39" s="899"/>
      <c r="UJA39" s="899"/>
      <c r="UJB39" s="899"/>
      <c r="UJC39" s="899"/>
      <c r="UJD39" s="899"/>
      <c r="UJE39" s="899"/>
      <c r="UJF39" s="899"/>
      <c r="UJG39" s="899"/>
      <c r="UJH39" s="899"/>
      <c r="UJI39" s="899"/>
      <c r="UJJ39" s="899"/>
      <c r="UJK39" s="899"/>
      <c r="UJL39" s="899"/>
      <c r="UJM39" s="899"/>
      <c r="UJN39" s="899"/>
      <c r="UJO39" s="899"/>
      <c r="UJP39" s="899"/>
      <c r="UJQ39" s="899"/>
      <c r="UJR39" s="899"/>
      <c r="UJS39" s="899"/>
      <c r="UJT39" s="899"/>
      <c r="UJU39" s="899"/>
      <c r="UJV39" s="899"/>
      <c r="UJW39" s="899"/>
      <c r="UJX39" s="899"/>
      <c r="UJY39" s="899"/>
      <c r="UJZ39" s="899"/>
      <c r="UKA39" s="899"/>
      <c r="UKB39" s="899"/>
      <c r="UKC39" s="899"/>
      <c r="UKD39" s="899"/>
      <c r="UKE39" s="899"/>
      <c r="UKF39" s="899"/>
      <c r="UKG39" s="899"/>
      <c r="UKH39" s="899"/>
      <c r="UKI39" s="899"/>
      <c r="UKJ39" s="899"/>
      <c r="UKK39" s="899"/>
      <c r="UKL39" s="899"/>
      <c r="UKM39" s="899"/>
      <c r="UKN39" s="899"/>
      <c r="UKO39" s="899"/>
      <c r="UKP39" s="899"/>
      <c r="UKQ39" s="899"/>
      <c r="UKR39" s="899"/>
      <c r="UKS39" s="899"/>
      <c r="UKT39" s="899"/>
      <c r="UKU39" s="899"/>
      <c r="UKV39" s="899"/>
      <c r="UKW39" s="899"/>
      <c r="UKX39" s="899"/>
      <c r="UKY39" s="899"/>
      <c r="UKZ39" s="899"/>
      <c r="ULA39" s="899"/>
      <c r="ULB39" s="899"/>
      <c r="ULC39" s="899"/>
      <c r="ULD39" s="899"/>
      <c r="ULE39" s="899"/>
      <c r="ULF39" s="899"/>
      <c r="ULG39" s="899"/>
      <c r="ULH39" s="899"/>
      <c r="ULI39" s="899"/>
      <c r="ULJ39" s="899"/>
      <c r="ULK39" s="899"/>
      <c r="ULL39" s="899"/>
      <c r="ULM39" s="899"/>
      <c r="ULN39" s="899"/>
      <c r="ULO39" s="899"/>
      <c r="ULP39" s="899"/>
      <c r="ULQ39" s="899"/>
      <c r="ULR39" s="899"/>
      <c r="ULS39" s="899"/>
      <c r="ULT39" s="899"/>
      <c r="ULU39" s="899"/>
      <c r="ULV39" s="899"/>
      <c r="ULW39" s="899"/>
      <c r="ULX39" s="899"/>
      <c r="ULY39" s="899"/>
      <c r="ULZ39" s="899"/>
      <c r="UMA39" s="899"/>
      <c r="UMB39" s="899"/>
      <c r="UMC39" s="899"/>
      <c r="UMD39" s="899"/>
      <c r="UME39" s="899"/>
      <c r="UMF39" s="899"/>
      <c r="UMG39" s="899"/>
      <c r="UMH39" s="899"/>
      <c r="UMI39" s="899"/>
      <c r="UMJ39" s="899"/>
      <c r="UMK39" s="899"/>
      <c r="UML39" s="899"/>
      <c r="UMM39" s="899"/>
      <c r="UMN39" s="899"/>
      <c r="UMO39" s="899"/>
      <c r="UMP39" s="899"/>
      <c r="UMQ39" s="899"/>
      <c r="UMR39" s="899"/>
      <c r="UMS39" s="899"/>
      <c r="UMT39" s="899"/>
      <c r="UMU39" s="899"/>
      <c r="UMV39" s="899"/>
      <c r="UMW39" s="899"/>
      <c r="UMX39" s="899"/>
      <c r="UMY39" s="899"/>
      <c r="UMZ39" s="899"/>
      <c r="UNA39" s="899"/>
      <c r="UNB39" s="899"/>
      <c r="UNC39" s="899"/>
      <c r="UND39" s="899"/>
      <c r="UNE39" s="899"/>
      <c r="UNF39" s="899"/>
      <c r="UNG39" s="899"/>
      <c r="UNH39" s="899"/>
      <c r="UNI39" s="899"/>
      <c r="UNJ39" s="899"/>
      <c r="UNK39" s="899"/>
      <c r="UNL39" s="899"/>
      <c r="UNM39" s="899"/>
      <c r="UNN39" s="899"/>
      <c r="UNO39" s="899"/>
      <c r="UNP39" s="899"/>
      <c r="UNQ39" s="899"/>
      <c r="UNR39" s="899"/>
      <c r="UNS39" s="899"/>
      <c r="UNT39" s="899"/>
      <c r="UNU39" s="899"/>
      <c r="UNV39" s="899"/>
      <c r="UNW39" s="899"/>
      <c r="UNX39" s="899"/>
      <c r="UNY39" s="899"/>
      <c r="UNZ39" s="899"/>
      <c r="UOA39" s="899"/>
      <c r="UOB39" s="899"/>
      <c r="UOC39" s="899"/>
      <c r="UOD39" s="899"/>
      <c r="UOE39" s="899"/>
      <c r="UOF39" s="899"/>
      <c r="UOG39" s="899"/>
      <c r="UOH39" s="899"/>
      <c r="UOI39" s="899"/>
      <c r="UOJ39" s="899"/>
      <c r="UOK39" s="899"/>
      <c r="UOL39" s="899"/>
      <c r="UOM39" s="899"/>
      <c r="UON39" s="899"/>
      <c r="UOO39" s="899"/>
      <c r="UOP39" s="899"/>
      <c r="UOQ39" s="899"/>
      <c r="UOR39" s="899"/>
      <c r="UOS39" s="899"/>
      <c r="UOT39" s="899"/>
      <c r="UOU39" s="899"/>
      <c r="UOV39" s="899"/>
      <c r="UOW39" s="899"/>
      <c r="UOX39" s="899"/>
      <c r="UOY39" s="899"/>
      <c r="UOZ39" s="899"/>
      <c r="UPA39" s="899"/>
      <c r="UPB39" s="899"/>
      <c r="UPC39" s="899"/>
      <c r="UPD39" s="899"/>
      <c r="UPE39" s="899"/>
      <c r="UPF39" s="899"/>
      <c r="UPG39" s="899"/>
      <c r="UPH39" s="899"/>
      <c r="UPI39" s="899"/>
      <c r="UPJ39" s="899"/>
      <c r="UPK39" s="899"/>
      <c r="UPL39" s="899"/>
      <c r="UPM39" s="899"/>
      <c r="UPN39" s="899"/>
      <c r="UPO39" s="899"/>
      <c r="UPP39" s="899"/>
      <c r="UPQ39" s="899"/>
      <c r="UPR39" s="899"/>
      <c r="UPS39" s="899"/>
      <c r="UPT39" s="899"/>
      <c r="UPU39" s="899"/>
      <c r="UPV39" s="899"/>
      <c r="UPW39" s="899"/>
      <c r="UPX39" s="899"/>
      <c r="UPY39" s="899"/>
      <c r="UPZ39" s="899"/>
      <c r="UQA39" s="899"/>
      <c r="UQB39" s="899"/>
      <c r="UQC39" s="899"/>
      <c r="UQD39" s="899"/>
      <c r="UQE39" s="899"/>
      <c r="UQF39" s="899"/>
      <c r="UQG39" s="899"/>
      <c r="UQH39" s="899"/>
      <c r="UQI39" s="899"/>
      <c r="UQJ39" s="899"/>
      <c r="UQK39" s="899"/>
      <c r="UQL39" s="899"/>
      <c r="UQM39" s="899"/>
      <c r="UQN39" s="899"/>
      <c r="UQO39" s="899"/>
      <c r="UQP39" s="899"/>
      <c r="UQQ39" s="899"/>
      <c r="UQR39" s="899"/>
      <c r="UQS39" s="899"/>
      <c r="UQT39" s="899"/>
      <c r="UQU39" s="899"/>
      <c r="UQV39" s="899"/>
      <c r="UQW39" s="899"/>
      <c r="UQX39" s="899"/>
      <c r="UQY39" s="899"/>
      <c r="UQZ39" s="899"/>
      <c r="URA39" s="899"/>
      <c r="URB39" s="899"/>
      <c r="URC39" s="899"/>
      <c r="URD39" s="899"/>
      <c r="URE39" s="899"/>
      <c r="URF39" s="899"/>
      <c r="URG39" s="899"/>
      <c r="URH39" s="899"/>
      <c r="URI39" s="899"/>
      <c r="URJ39" s="899"/>
      <c r="URK39" s="899"/>
      <c r="URL39" s="899"/>
      <c r="URM39" s="899"/>
      <c r="URN39" s="899"/>
      <c r="URO39" s="899"/>
      <c r="URP39" s="899"/>
      <c r="URQ39" s="899"/>
      <c r="URR39" s="899"/>
      <c r="URS39" s="899"/>
      <c r="URT39" s="899"/>
      <c r="URU39" s="899"/>
      <c r="URV39" s="899"/>
      <c r="URW39" s="899"/>
      <c r="URX39" s="899"/>
      <c r="URY39" s="899"/>
      <c r="URZ39" s="899"/>
      <c r="USA39" s="899"/>
      <c r="USB39" s="899"/>
      <c r="USC39" s="899"/>
      <c r="USD39" s="899"/>
      <c r="USE39" s="899"/>
      <c r="USF39" s="899"/>
      <c r="USG39" s="899"/>
      <c r="USH39" s="899"/>
      <c r="USI39" s="899"/>
      <c r="USJ39" s="899"/>
      <c r="USK39" s="899"/>
      <c r="USL39" s="899"/>
      <c r="USM39" s="899"/>
      <c r="USN39" s="899"/>
      <c r="USO39" s="899"/>
      <c r="USP39" s="899"/>
      <c r="USQ39" s="899"/>
      <c r="USR39" s="899"/>
      <c r="USS39" s="899"/>
      <c r="UST39" s="899"/>
      <c r="USU39" s="899"/>
      <c r="USV39" s="899"/>
      <c r="USW39" s="899"/>
      <c r="USX39" s="899"/>
      <c r="USY39" s="899"/>
      <c r="USZ39" s="899"/>
      <c r="UTA39" s="899"/>
      <c r="UTB39" s="899"/>
      <c r="UTC39" s="899"/>
      <c r="UTD39" s="899"/>
      <c r="UTE39" s="899"/>
      <c r="UTF39" s="899"/>
      <c r="UTG39" s="899"/>
      <c r="UTH39" s="899"/>
      <c r="UTI39" s="899"/>
      <c r="UTJ39" s="899"/>
      <c r="UTK39" s="899"/>
      <c r="UTL39" s="899"/>
      <c r="UTM39" s="899"/>
      <c r="UTN39" s="899"/>
      <c r="UTO39" s="899"/>
      <c r="UTP39" s="899"/>
      <c r="UTQ39" s="899"/>
      <c r="UTR39" s="899"/>
      <c r="UTS39" s="899"/>
      <c r="UTT39" s="899"/>
      <c r="UTU39" s="899"/>
      <c r="UTV39" s="899"/>
      <c r="UTW39" s="899"/>
      <c r="UTX39" s="899"/>
      <c r="UTY39" s="899"/>
      <c r="UTZ39" s="899"/>
      <c r="UUA39" s="899"/>
      <c r="UUB39" s="899"/>
      <c r="UUC39" s="899"/>
      <c r="UUD39" s="899"/>
      <c r="UUE39" s="899"/>
      <c r="UUF39" s="899"/>
      <c r="UUG39" s="899"/>
      <c r="UUH39" s="899"/>
      <c r="UUI39" s="899"/>
      <c r="UUJ39" s="899"/>
      <c r="UUK39" s="899"/>
      <c r="UUL39" s="899"/>
      <c r="UUM39" s="899"/>
      <c r="UUN39" s="899"/>
      <c r="UUO39" s="899"/>
      <c r="UUP39" s="899"/>
      <c r="UUQ39" s="899"/>
      <c r="UUR39" s="899"/>
      <c r="UUS39" s="899"/>
      <c r="UUT39" s="899"/>
      <c r="UUU39" s="899"/>
      <c r="UUV39" s="899"/>
      <c r="UUW39" s="899"/>
      <c r="UUX39" s="899"/>
      <c r="UUY39" s="899"/>
      <c r="UUZ39" s="899"/>
      <c r="UVA39" s="899"/>
      <c r="UVB39" s="899"/>
      <c r="UVC39" s="899"/>
      <c r="UVD39" s="899"/>
      <c r="UVE39" s="899"/>
      <c r="UVF39" s="899"/>
      <c r="UVG39" s="899"/>
      <c r="UVH39" s="899"/>
      <c r="UVI39" s="899"/>
      <c r="UVJ39" s="899"/>
      <c r="UVK39" s="899"/>
      <c r="UVL39" s="899"/>
      <c r="UVM39" s="899"/>
      <c r="UVN39" s="899"/>
      <c r="UVO39" s="899"/>
      <c r="UVP39" s="899"/>
      <c r="UVQ39" s="899"/>
      <c r="UVR39" s="899"/>
      <c r="UVS39" s="899"/>
      <c r="UVT39" s="899"/>
      <c r="UVU39" s="899"/>
      <c r="UVV39" s="899"/>
      <c r="UVW39" s="899"/>
      <c r="UVX39" s="899"/>
      <c r="UVY39" s="899"/>
      <c r="UVZ39" s="899"/>
      <c r="UWA39" s="899"/>
      <c r="UWB39" s="899"/>
      <c r="UWC39" s="899"/>
      <c r="UWD39" s="899"/>
      <c r="UWE39" s="899"/>
      <c r="UWF39" s="899"/>
      <c r="UWG39" s="899"/>
      <c r="UWH39" s="899"/>
      <c r="UWI39" s="899"/>
      <c r="UWJ39" s="899"/>
      <c r="UWK39" s="899"/>
      <c r="UWL39" s="899"/>
      <c r="UWM39" s="899"/>
      <c r="UWN39" s="899"/>
      <c r="UWO39" s="899"/>
      <c r="UWP39" s="899"/>
      <c r="UWQ39" s="899"/>
      <c r="UWR39" s="899"/>
      <c r="UWS39" s="899"/>
      <c r="UWT39" s="899"/>
      <c r="UWU39" s="899"/>
      <c r="UWV39" s="899"/>
      <c r="UWW39" s="899"/>
      <c r="UWX39" s="899"/>
      <c r="UWY39" s="899"/>
      <c r="UWZ39" s="899"/>
      <c r="UXA39" s="899"/>
      <c r="UXB39" s="899"/>
      <c r="UXC39" s="899"/>
      <c r="UXD39" s="899"/>
      <c r="UXE39" s="899"/>
      <c r="UXF39" s="899"/>
      <c r="UXG39" s="899"/>
      <c r="UXH39" s="899"/>
      <c r="UXI39" s="899"/>
      <c r="UXJ39" s="899"/>
      <c r="UXK39" s="899"/>
      <c r="UXL39" s="899"/>
      <c r="UXM39" s="899"/>
      <c r="UXN39" s="899"/>
      <c r="UXO39" s="899"/>
      <c r="UXP39" s="899"/>
      <c r="UXQ39" s="899"/>
      <c r="UXR39" s="899"/>
      <c r="UXS39" s="899"/>
      <c r="UXT39" s="899"/>
      <c r="UXU39" s="899"/>
      <c r="UXV39" s="899"/>
      <c r="UXW39" s="899"/>
      <c r="UXX39" s="899"/>
      <c r="UXY39" s="899"/>
      <c r="UXZ39" s="899"/>
      <c r="UYA39" s="899"/>
      <c r="UYB39" s="899"/>
      <c r="UYC39" s="899"/>
      <c r="UYD39" s="899"/>
      <c r="UYE39" s="899"/>
      <c r="UYF39" s="899"/>
      <c r="UYG39" s="899"/>
      <c r="UYH39" s="899"/>
      <c r="UYI39" s="899"/>
      <c r="UYJ39" s="899"/>
      <c r="UYK39" s="899"/>
      <c r="UYL39" s="899"/>
      <c r="UYM39" s="899"/>
      <c r="UYN39" s="899"/>
      <c r="UYO39" s="899"/>
      <c r="UYP39" s="899"/>
      <c r="UYQ39" s="899"/>
      <c r="UYR39" s="899"/>
      <c r="UYS39" s="899"/>
      <c r="UYT39" s="899"/>
      <c r="UYU39" s="899"/>
      <c r="UYV39" s="899"/>
      <c r="UYW39" s="899"/>
      <c r="UYX39" s="899"/>
      <c r="UYY39" s="899"/>
      <c r="UYZ39" s="899"/>
      <c r="UZA39" s="899"/>
      <c r="UZB39" s="899"/>
      <c r="UZC39" s="899"/>
      <c r="UZD39" s="899"/>
      <c r="UZE39" s="899"/>
      <c r="UZF39" s="899"/>
      <c r="UZG39" s="899"/>
      <c r="UZH39" s="899"/>
      <c r="UZI39" s="899"/>
      <c r="UZJ39" s="899"/>
      <c r="UZK39" s="899"/>
      <c r="UZL39" s="899"/>
      <c r="UZM39" s="899"/>
      <c r="UZN39" s="899"/>
      <c r="UZO39" s="899"/>
      <c r="UZP39" s="899"/>
      <c r="UZQ39" s="899"/>
      <c r="UZR39" s="899"/>
      <c r="UZS39" s="899"/>
      <c r="UZT39" s="899"/>
      <c r="UZU39" s="899"/>
      <c r="UZV39" s="899"/>
      <c r="UZW39" s="899"/>
      <c r="UZX39" s="899"/>
      <c r="UZY39" s="899"/>
      <c r="UZZ39" s="899"/>
      <c r="VAA39" s="899"/>
      <c r="VAB39" s="899"/>
      <c r="VAC39" s="899"/>
      <c r="VAD39" s="899"/>
      <c r="VAE39" s="899"/>
      <c r="VAF39" s="899"/>
      <c r="VAG39" s="899"/>
      <c r="VAH39" s="899"/>
      <c r="VAI39" s="899"/>
      <c r="VAJ39" s="899"/>
      <c r="VAK39" s="899"/>
      <c r="VAL39" s="899"/>
      <c r="VAM39" s="899"/>
      <c r="VAN39" s="899"/>
      <c r="VAO39" s="899"/>
      <c r="VAP39" s="899"/>
      <c r="VAQ39" s="899"/>
      <c r="VAR39" s="899"/>
      <c r="VAS39" s="899"/>
      <c r="VAT39" s="899"/>
      <c r="VAU39" s="899"/>
      <c r="VAV39" s="899"/>
      <c r="VAW39" s="899"/>
      <c r="VAX39" s="899"/>
      <c r="VAY39" s="899"/>
      <c r="VAZ39" s="899"/>
      <c r="VBA39" s="899"/>
      <c r="VBB39" s="899"/>
      <c r="VBC39" s="899"/>
      <c r="VBD39" s="899"/>
      <c r="VBE39" s="899"/>
      <c r="VBF39" s="899"/>
      <c r="VBG39" s="899"/>
      <c r="VBH39" s="899"/>
      <c r="VBI39" s="899"/>
      <c r="VBJ39" s="899"/>
      <c r="VBK39" s="899"/>
      <c r="VBL39" s="899"/>
      <c r="VBM39" s="899"/>
      <c r="VBN39" s="899"/>
      <c r="VBO39" s="899"/>
      <c r="VBP39" s="899"/>
      <c r="VBQ39" s="899"/>
      <c r="VBR39" s="899"/>
      <c r="VBS39" s="899"/>
      <c r="VBT39" s="899"/>
      <c r="VBU39" s="899"/>
      <c r="VBV39" s="899"/>
      <c r="VBW39" s="899"/>
      <c r="VBX39" s="899"/>
      <c r="VBY39" s="899"/>
      <c r="VBZ39" s="899"/>
      <c r="VCA39" s="899"/>
      <c r="VCB39" s="899"/>
      <c r="VCC39" s="899"/>
      <c r="VCD39" s="899"/>
      <c r="VCE39" s="899"/>
      <c r="VCF39" s="899"/>
      <c r="VCG39" s="899"/>
      <c r="VCH39" s="899"/>
      <c r="VCI39" s="899"/>
      <c r="VCJ39" s="899"/>
      <c r="VCK39" s="899"/>
      <c r="VCL39" s="899"/>
      <c r="VCM39" s="899"/>
      <c r="VCN39" s="899"/>
      <c r="VCO39" s="899"/>
      <c r="VCP39" s="899"/>
      <c r="VCQ39" s="899"/>
      <c r="VCR39" s="899"/>
      <c r="VCS39" s="899"/>
      <c r="VCT39" s="899"/>
      <c r="VCU39" s="899"/>
      <c r="VCV39" s="899"/>
      <c r="VCW39" s="899"/>
      <c r="VCX39" s="899"/>
      <c r="VCY39" s="899"/>
      <c r="VCZ39" s="899"/>
      <c r="VDA39" s="899"/>
      <c r="VDB39" s="899"/>
      <c r="VDC39" s="899"/>
      <c r="VDD39" s="899"/>
      <c r="VDE39" s="899"/>
      <c r="VDF39" s="899"/>
      <c r="VDG39" s="899"/>
      <c r="VDH39" s="899"/>
      <c r="VDI39" s="899"/>
      <c r="VDJ39" s="899"/>
      <c r="VDK39" s="899"/>
      <c r="VDL39" s="899"/>
      <c r="VDM39" s="899"/>
      <c r="VDN39" s="899"/>
      <c r="VDO39" s="899"/>
      <c r="VDP39" s="899"/>
      <c r="VDQ39" s="899"/>
      <c r="VDR39" s="899"/>
      <c r="VDS39" s="899"/>
      <c r="VDT39" s="899"/>
      <c r="VDU39" s="899"/>
      <c r="VDV39" s="899"/>
      <c r="VDW39" s="899"/>
      <c r="VDX39" s="899"/>
      <c r="VDY39" s="899"/>
      <c r="VDZ39" s="899"/>
      <c r="VEA39" s="899"/>
      <c r="VEB39" s="899"/>
      <c r="VEC39" s="899"/>
      <c r="VED39" s="899"/>
      <c r="VEE39" s="899"/>
      <c r="VEF39" s="899"/>
      <c r="VEG39" s="899"/>
      <c r="VEH39" s="899"/>
      <c r="VEI39" s="899"/>
      <c r="VEJ39" s="899"/>
      <c r="VEK39" s="899"/>
      <c r="VEL39" s="899"/>
      <c r="VEM39" s="899"/>
      <c r="VEN39" s="899"/>
      <c r="VEO39" s="899"/>
      <c r="VEP39" s="899"/>
      <c r="VEQ39" s="899"/>
      <c r="VER39" s="899"/>
      <c r="VES39" s="899"/>
      <c r="VET39" s="899"/>
      <c r="VEU39" s="899"/>
      <c r="VEV39" s="899"/>
      <c r="VEW39" s="899"/>
      <c r="VEX39" s="899"/>
      <c r="VEY39" s="899"/>
      <c r="VEZ39" s="899"/>
      <c r="VFA39" s="899"/>
      <c r="VFB39" s="899"/>
      <c r="VFC39" s="899"/>
      <c r="VFD39" s="899"/>
      <c r="VFE39" s="899"/>
      <c r="VFF39" s="899"/>
      <c r="VFG39" s="899"/>
      <c r="VFH39" s="899"/>
      <c r="VFI39" s="899"/>
      <c r="VFJ39" s="899"/>
      <c r="VFK39" s="899"/>
      <c r="VFL39" s="899"/>
      <c r="VFM39" s="899"/>
      <c r="VFN39" s="899"/>
      <c r="VFO39" s="899"/>
      <c r="VFP39" s="899"/>
      <c r="VFQ39" s="899"/>
      <c r="VFR39" s="899"/>
      <c r="VFS39" s="899"/>
      <c r="VFT39" s="899"/>
      <c r="VFU39" s="899"/>
      <c r="VFV39" s="899"/>
      <c r="VFW39" s="899"/>
      <c r="VFX39" s="899"/>
      <c r="VFY39" s="899"/>
      <c r="VFZ39" s="899"/>
      <c r="VGA39" s="899"/>
      <c r="VGB39" s="899"/>
      <c r="VGC39" s="899"/>
      <c r="VGD39" s="899"/>
      <c r="VGE39" s="899"/>
      <c r="VGF39" s="899"/>
      <c r="VGG39" s="899"/>
      <c r="VGH39" s="899"/>
      <c r="VGI39" s="899"/>
      <c r="VGJ39" s="899"/>
      <c r="VGK39" s="899"/>
      <c r="VGL39" s="899"/>
      <c r="VGM39" s="899"/>
      <c r="VGN39" s="899"/>
      <c r="VGO39" s="899"/>
      <c r="VGP39" s="899"/>
      <c r="VGQ39" s="899"/>
      <c r="VGR39" s="899"/>
      <c r="VGS39" s="899"/>
      <c r="VGT39" s="899"/>
      <c r="VGU39" s="899"/>
      <c r="VGV39" s="899"/>
      <c r="VGW39" s="899"/>
      <c r="VGX39" s="899"/>
      <c r="VGY39" s="899"/>
      <c r="VGZ39" s="899"/>
      <c r="VHA39" s="899"/>
      <c r="VHB39" s="899"/>
      <c r="VHC39" s="899"/>
      <c r="VHD39" s="899"/>
      <c r="VHE39" s="899"/>
      <c r="VHF39" s="899"/>
      <c r="VHG39" s="899"/>
      <c r="VHH39" s="899"/>
      <c r="VHI39" s="899"/>
      <c r="VHJ39" s="899"/>
      <c r="VHK39" s="899"/>
      <c r="VHL39" s="899"/>
      <c r="VHM39" s="899"/>
      <c r="VHN39" s="899"/>
      <c r="VHO39" s="899"/>
      <c r="VHP39" s="899"/>
      <c r="VHQ39" s="899"/>
      <c r="VHR39" s="899"/>
      <c r="VHS39" s="899"/>
      <c r="VHT39" s="899"/>
      <c r="VHU39" s="899"/>
      <c r="VHV39" s="899"/>
      <c r="VHW39" s="899"/>
      <c r="VHX39" s="899"/>
      <c r="VHY39" s="899"/>
      <c r="VHZ39" s="899"/>
      <c r="VIA39" s="899"/>
      <c r="VIB39" s="899"/>
      <c r="VIC39" s="899"/>
      <c r="VID39" s="899"/>
      <c r="VIE39" s="899"/>
      <c r="VIF39" s="899"/>
      <c r="VIG39" s="899"/>
      <c r="VIH39" s="899"/>
      <c r="VII39" s="899"/>
      <c r="VIJ39" s="899"/>
      <c r="VIK39" s="899"/>
      <c r="VIL39" s="899"/>
      <c r="VIM39" s="899"/>
      <c r="VIN39" s="899"/>
      <c r="VIO39" s="899"/>
      <c r="VIP39" s="899"/>
      <c r="VIQ39" s="899"/>
      <c r="VIR39" s="899"/>
      <c r="VIS39" s="899"/>
      <c r="VIT39" s="899"/>
      <c r="VIU39" s="899"/>
      <c r="VIV39" s="899"/>
      <c r="VIW39" s="899"/>
      <c r="VIX39" s="899"/>
      <c r="VIY39" s="899"/>
      <c r="VIZ39" s="899"/>
      <c r="VJA39" s="899"/>
      <c r="VJB39" s="899"/>
      <c r="VJC39" s="899"/>
      <c r="VJD39" s="899"/>
      <c r="VJE39" s="899"/>
      <c r="VJF39" s="899"/>
      <c r="VJG39" s="899"/>
      <c r="VJH39" s="899"/>
      <c r="VJI39" s="899"/>
      <c r="VJJ39" s="899"/>
      <c r="VJK39" s="899"/>
      <c r="VJL39" s="899"/>
      <c r="VJM39" s="899"/>
      <c r="VJN39" s="899"/>
      <c r="VJO39" s="899"/>
      <c r="VJP39" s="899"/>
      <c r="VJQ39" s="899"/>
      <c r="VJR39" s="899"/>
      <c r="VJS39" s="899"/>
      <c r="VJT39" s="899"/>
      <c r="VJU39" s="899"/>
      <c r="VJV39" s="899"/>
      <c r="VJW39" s="899"/>
      <c r="VJX39" s="899"/>
      <c r="VJY39" s="899"/>
      <c r="VJZ39" s="899"/>
      <c r="VKA39" s="899"/>
      <c r="VKB39" s="899"/>
      <c r="VKC39" s="899"/>
      <c r="VKD39" s="899"/>
      <c r="VKE39" s="899"/>
      <c r="VKF39" s="899"/>
      <c r="VKG39" s="899"/>
      <c r="VKH39" s="899"/>
      <c r="VKI39" s="899"/>
      <c r="VKJ39" s="899"/>
      <c r="VKK39" s="899"/>
      <c r="VKL39" s="899"/>
      <c r="VKM39" s="899"/>
      <c r="VKN39" s="899"/>
      <c r="VKO39" s="899"/>
      <c r="VKP39" s="899"/>
      <c r="VKQ39" s="899"/>
      <c r="VKR39" s="899"/>
      <c r="VKS39" s="899"/>
      <c r="VKT39" s="899"/>
      <c r="VKU39" s="899"/>
      <c r="VKV39" s="899"/>
      <c r="VKW39" s="899"/>
      <c r="VKX39" s="899"/>
      <c r="VKY39" s="899"/>
      <c r="VKZ39" s="899"/>
      <c r="VLA39" s="899"/>
      <c r="VLB39" s="899"/>
      <c r="VLC39" s="899"/>
      <c r="VLD39" s="899"/>
      <c r="VLE39" s="899"/>
      <c r="VLF39" s="899"/>
      <c r="VLG39" s="899"/>
      <c r="VLH39" s="899"/>
      <c r="VLI39" s="899"/>
      <c r="VLJ39" s="899"/>
      <c r="VLK39" s="899"/>
      <c r="VLL39" s="899"/>
      <c r="VLM39" s="899"/>
      <c r="VLN39" s="899"/>
      <c r="VLO39" s="899"/>
      <c r="VLP39" s="899"/>
      <c r="VLQ39" s="899"/>
      <c r="VLR39" s="899"/>
      <c r="VLS39" s="899"/>
      <c r="VLT39" s="899"/>
      <c r="VLU39" s="899"/>
      <c r="VLV39" s="899"/>
      <c r="VLW39" s="899"/>
      <c r="VLX39" s="899"/>
      <c r="VLY39" s="899"/>
      <c r="VLZ39" s="899"/>
      <c r="VMA39" s="899"/>
      <c r="VMB39" s="899"/>
      <c r="VMC39" s="899"/>
      <c r="VMD39" s="899"/>
      <c r="VME39" s="899"/>
      <c r="VMF39" s="899"/>
      <c r="VMG39" s="899"/>
      <c r="VMH39" s="899"/>
      <c r="VMI39" s="899"/>
      <c r="VMJ39" s="899"/>
      <c r="VMK39" s="899"/>
      <c r="VML39" s="899"/>
      <c r="VMM39" s="899"/>
      <c r="VMN39" s="899"/>
      <c r="VMO39" s="899"/>
      <c r="VMP39" s="899"/>
      <c r="VMQ39" s="899"/>
      <c r="VMR39" s="899"/>
      <c r="VMS39" s="899"/>
      <c r="VMT39" s="899"/>
      <c r="VMU39" s="899"/>
      <c r="VMV39" s="899"/>
      <c r="VMW39" s="899"/>
      <c r="VMX39" s="899"/>
      <c r="VMY39" s="899"/>
      <c r="VMZ39" s="899"/>
      <c r="VNA39" s="899"/>
      <c r="VNB39" s="899"/>
      <c r="VNC39" s="899"/>
      <c r="VND39" s="899"/>
      <c r="VNE39" s="899"/>
      <c r="VNF39" s="899"/>
      <c r="VNG39" s="899"/>
      <c r="VNH39" s="899"/>
      <c r="VNI39" s="899"/>
      <c r="VNJ39" s="899"/>
      <c r="VNK39" s="899"/>
      <c r="VNL39" s="899"/>
      <c r="VNM39" s="899"/>
      <c r="VNN39" s="899"/>
      <c r="VNO39" s="899"/>
      <c r="VNP39" s="899"/>
      <c r="VNQ39" s="899"/>
      <c r="VNR39" s="899"/>
      <c r="VNS39" s="899"/>
      <c r="VNT39" s="899"/>
      <c r="VNU39" s="899"/>
      <c r="VNV39" s="899"/>
      <c r="VNW39" s="899"/>
      <c r="VNX39" s="899"/>
      <c r="VNY39" s="899"/>
      <c r="VNZ39" s="899"/>
      <c r="VOA39" s="899"/>
      <c r="VOB39" s="899"/>
      <c r="VOC39" s="899"/>
      <c r="VOD39" s="899"/>
      <c r="VOE39" s="899"/>
      <c r="VOF39" s="899"/>
      <c r="VOG39" s="899"/>
      <c r="VOH39" s="899"/>
      <c r="VOI39" s="899"/>
      <c r="VOJ39" s="899"/>
      <c r="VOK39" s="899"/>
      <c r="VOL39" s="899"/>
      <c r="VOM39" s="899"/>
      <c r="VON39" s="899"/>
      <c r="VOO39" s="899"/>
      <c r="VOP39" s="899"/>
      <c r="VOQ39" s="899"/>
      <c r="VOR39" s="899"/>
      <c r="VOS39" s="899"/>
      <c r="VOT39" s="899"/>
      <c r="VOU39" s="899"/>
      <c r="VOV39" s="899"/>
      <c r="VOW39" s="899"/>
      <c r="VOX39" s="899"/>
      <c r="VOY39" s="899"/>
      <c r="VOZ39" s="899"/>
      <c r="VPA39" s="899"/>
      <c r="VPB39" s="899"/>
      <c r="VPC39" s="899"/>
      <c r="VPD39" s="899"/>
      <c r="VPE39" s="899"/>
      <c r="VPF39" s="899"/>
      <c r="VPG39" s="899"/>
      <c r="VPH39" s="899"/>
      <c r="VPI39" s="899"/>
      <c r="VPJ39" s="899"/>
      <c r="VPK39" s="899"/>
      <c r="VPL39" s="899"/>
      <c r="VPM39" s="899"/>
      <c r="VPN39" s="899"/>
      <c r="VPO39" s="899"/>
      <c r="VPP39" s="899"/>
      <c r="VPQ39" s="899"/>
      <c r="VPR39" s="899"/>
      <c r="VPS39" s="899"/>
      <c r="VPT39" s="899"/>
      <c r="VPU39" s="899"/>
      <c r="VPV39" s="899"/>
      <c r="VPW39" s="899"/>
      <c r="VPX39" s="899"/>
      <c r="VPY39" s="899"/>
      <c r="VPZ39" s="899"/>
      <c r="VQA39" s="899"/>
      <c r="VQB39" s="899"/>
      <c r="VQC39" s="899"/>
      <c r="VQD39" s="899"/>
      <c r="VQE39" s="899"/>
      <c r="VQF39" s="899"/>
      <c r="VQG39" s="899"/>
      <c r="VQH39" s="899"/>
      <c r="VQI39" s="899"/>
      <c r="VQJ39" s="899"/>
      <c r="VQK39" s="899"/>
      <c r="VQL39" s="899"/>
      <c r="VQM39" s="899"/>
      <c r="VQN39" s="899"/>
      <c r="VQO39" s="899"/>
      <c r="VQP39" s="899"/>
      <c r="VQQ39" s="899"/>
      <c r="VQR39" s="899"/>
      <c r="VQS39" s="899"/>
      <c r="VQT39" s="899"/>
      <c r="VQU39" s="899"/>
      <c r="VQV39" s="899"/>
      <c r="VQW39" s="899"/>
      <c r="VQX39" s="899"/>
      <c r="VQY39" s="899"/>
      <c r="VQZ39" s="899"/>
      <c r="VRA39" s="899"/>
      <c r="VRB39" s="899"/>
      <c r="VRC39" s="899"/>
      <c r="VRD39" s="899"/>
      <c r="VRE39" s="899"/>
      <c r="VRF39" s="899"/>
      <c r="VRG39" s="899"/>
      <c r="VRH39" s="899"/>
      <c r="VRI39" s="899"/>
      <c r="VRJ39" s="899"/>
      <c r="VRK39" s="899"/>
      <c r="VRL39" s="899"/>
      <c r="VRM39" s="899"/>
      <c r="VRN39" s="899"/>
      <c r="VRO39" s="899"/>
      <c r="VRP39" s="899"/>
      <c r="VRQ39" s="899"/>
      <c r="VRR39" s="899"/>
      <c r="VRS39" s="899"/>
      <c r="VRT39" s="899"/>
      <c r="VRU39" s="899"/>
      <c r="VRV39" s="899"/>
      <c r="VRW39" s="899"/>
      <c r="VRX39" s="899"/>
      <c r="VRY39" s="899"/>
      <c r="VRZ39" s="899"/>
      <c r="VSA39" s="899"/>
      <c r="VSB39" s="899"/>
      <c r="VSC39" s="899"/>
      <c r="VSD39" s="899"/>
      <c r="VSE39" s="899"/>
      <c r="VSF39" s="899"/>
      <c r="VSG39" s="899"/>
      <c r="VSH39" s="899"/>
      <c r="VSI39" s="899"/>
      <c r="VSJ39" s="899"/>
      <c r="VSK39" s="899"/>
      <c r="VSL39" s="899"/>
      <c r="VSM39" s="899"/>
      <c r="VSN39" s="899"/>
      <c r="VSO39" s="899"/>
      <c r="VSP39" s="899"/>
      <c r="VSQ39" s="899"/>
      <c r="VSR39" s="899"/>
      <c r="VSS39" s="899"/>
      <c r="VST39" s="899"/>
      <c r="VSU39" s="899"/>
      <c r="VSV39" s="899"/>
      <c r="VSW39" s="899"/>
      <c r="VSX39" s="899"/>
      <c r="VSY39" s="899"/>
      <c r="VSZ39" s="899"/>
      <c r="VTA39" s="899"/>
      <c r="VTB39" s="899"/>
      <c r="VTC39" s="899"/>
      <c r="VTD39" s="899"/>
      <c r="VTE39" s="899"/>
      <c r="VTF39" s="899"/>
      <c r="VTG39" s="899"/>
      <c r="VTH39" s="899"/>
      <c r="VTI39" s="899"/>
      <c r="VTJ39" s="899"/>
      <c r="VTK39" s="899"/>
      <c r="VTL39" s="899"/>
      <c r="VTM39" s="899"/>
      <c r="VTN39" s="899"/>
      <c r="VTO39" s="899"/>
      <c r="VTP39" s="899"/>
      <c r="VTQ39" s="899"/>
      <c r="VTR39" s="899"/>
      <c r="VTS39" s="899"/>
      <c r="VTT39" s="899"/>
      <c r="VTU39" s="899"/>
      <c r="VTV39" s="899"/>
      <c r="VTW39" s="899"/>
      <c r="VTX39" s="899"/>
      <c r="VTY39" s="899"/>
      <c r="VTZ39" s="899"/>
      <c r="VUA39" s="899"/>
      <c r="VUB39" s="899"/>
      <c r="VUC39" s="899"/>
      <c r="VUD39" s="899"/>
      <c r="VUE39" s="899"/>
      <c r="VUF39" s="899"/>
      <c r="VUG39" s="899"/>
      <c r="VUH39" s="899"/>
      <c r="VUI39" s="899"/>
      <c r="VUJ39" s="899"/>
      <c r="VUK39" s="899"/>
      <c r="VUL39" s="899"/>
      <c r="VUM39" s="899"/>
      <c r="VUN39" s="899"/>
      <c r="VUO39" s="899"/>
      <c r="VUP39" s="899"/>
      <c r="VUQ39" s="899"/>
      <c r="VUR39" s="899"/>
      <c r="VUS39" s="899"/>
      <c r="VUT39" s="899"/>
      <c r="VUU39" s="899"/>
      <c r="VUV39" s="899"/>
      <c r="VUW39" s="899"/>
      <c r="VUX39" s="899"/>
      <c r="VUY39" s="899"/>
      <c r="VUZ39" s="899"/>
      <c r="VVA39" s="899"/>
      <c r="VVB39" s="899"/>
      <c r="VVC39" s="899"/>
      <c r="VVD39" s="899"/>
      <c r="VVE39" s="899"/>
      <c r="VVF39" s="899"/>
      <c r="VVG39" s="899"/>
      <c r="VVH39" s="899"/>
      <c r="VVI39" s="899"/>
      <c r="VVJ39" s="899"/>
      <c r="VVK39" s="899"/>
      <c r="VVL39" s="899"/>
      <c r="VVM39" s="899"/>
      <c r="VVN39" s="899"/>
      <c r="VVO39" s="899"/>
      <c r="VVP39" s="899"/>
      <c r="VVQ39" s="899"/>
      <c r="VVR39" s="899"/>
      <c r="VVS39" s="899"/>
      <c r="VVT39" s="899"/>
      <c r="VVU39" s="899"/>
      <c r="VVV39" s="899"/>
      <c r="VVW39" s="899"/>
      <c r="VVX39" s="899"/>
      <c r="VVY39" s="899"/>
      <c r="VVZ39" s="899"/>
      <c r="VWA39" s="899"/>
      <c r="VWB39" s="899"/>
      <c r="VWC39" s="899"/>
      <c r="VWD39" s="899"/>
      <c r="VWE39" s="899"/>
      <c r="VWF39" s="899"/>
      <c r="VWG39" s="899"/>
      <c r="VWH39" s="899"/>
      <c r="VWI39" s="899"/>
      <c r="VWJ39" s="899"/>
      <c r="VWK39" s="899"/>
      <c r="VWL39" s="899"/>
      <c r="VWM39" s="899"/>
      <c r="VWN39" s="899"/>
      <c r="VWO39" s="899"/>
      <c r="VWP39" s="899"/>
      <c r="VWQ39" s="899"/>
      <c r="VWR39" s="899"/>
      <c r="VWS39" s="899"/>
      <c r="VWT39" s="899"/>
      <c r="VWU39" s="899"/>
      <c r="VWV39" s="899"/>
      <c r="VWW39" s="899"/>
      <c r="VWX39" s="899"/>
      <c r="VWY39" s="899"/>
      <c r="VWZ39" s="899"/>
      <c r="VXA39" s="899"/>
      <c r="VXB39" s="899"/>
      <c r="VXC39" s="899"/>
      <c r="VXD39" s="899"/>
      <c r="VXE39" s="899"/>
      <c r="VXF39" s="899"/>
      <c r="VXG39" s="899"/>
      <c r="VXH39" s="899"/>
      <c r="VXI39" s="899"/>
      <c r="VXJ39" s="899"/>
      <c r="VXK39" s="899"/>
      <c r="VXL39" s="899"/>
      <c r="VXM39" s="899"/>
      <c r="VXN39" s="899"/>
      <c r="VXO39" s="899"/>
      <c r="VXP39" s="899"/>
      <c r="VXQ39" s="899"/>
      <c r="VXR39" s="899"/>
      <c r="VXS39" s="899"/>
      <c r="VXT39" s="899"/>
      <c r="VXU39" s="899"/>
      <c r="VXV39" s="899"/>
      <c r="VXW39" s="899"/>
      <c r="VXX39" s="899"/>
      <c r="VXY39" s="899"/>
      <c r="VXZ39" s="899"/>
      <c r="VYA39" s="899"/>
      <c r="VYB39" s="899"/>
      <c r="VYC39" s="899"/>
      <c r="VYD39" s="899"/>
      <c r="VYE39" s="899"/>
      <c r="VYF39" s="899"/>
      <c r="VYG39" s="899"/>
      <c r="VYH39" s="899"/>
      <c r="VYI39" s="899"/>
      <c r="VYJ39" s="899"/>
      <c r="VYK39" s="899"/>
      <c r="VYL39" s="899"/>
      <c r="VYM39" s="899"/>
      <c r="VYN39" s="899"/>
      <c r="VYO39" s="899"/>
      <c r="VYP39" s="899"/>
      <c r="VYQ39" s="899"/>
      <c r="VYR39" s="899"/>
      <c r="VYS39" s="899"/>
      <c r="VYT39" s="899"/>
      <c r="VYU39" s="899"/>
      <c r="VYV39" s="899"/>
      <c r="VYW39" s="899"/>
      <c r="VYX39" s="899"/>
      <c r="VYY39" s="899"/>
      <c r="VYZ39" s="899"/>
      <c r="VZA39" s="899"/>
      <c r="VZB39" s="899"/>
      <c r="VZC39" s="899"/>
      <c r="VZD39" s="899"/>
      <c r="VZE39" s="899"/>
      <c r="VZF39" s="899"/>
      <c r="VZG39" s="899"/>
      <c r="VZH39" s="899"/>
      <c r="VZI39" s="899"/>
      <c r="VZJ39" s="899"/>
      <c r="VZK39" s="899"/>
      <c r="VZL39" s="899"/>
      <c r="VZM39" s="899"/>
      <c r="VZN39" s="899"/>
      <c r="VZO39" s="899"/>
      <c r="VZP39" s="899"/>
      <c r="VZQ39" s="899"/>
      <c r="VZR39" s="899"/>
      <c r="VZS39" s="899"/>
      <c r="VZT39" s="899"/>
      <c r="VZU39" s="899"/>
      <c r="VZV39" s="899"/>
      <c r="VZW39" s="899"/>
      <c r="VZX39" s="899"/>
      <c r="VZY39" s="899"/>
      <c r="VZZ39" s="899"/>
      <c r="WAA39" s="899"/>
      <c r="WAB39" s="899"/>
      <c r="WAC39" s="899"/>
      <c r="WAD39" s="899"/>
      <c r="WAE39" s="899"/>
      <c r="WAF39" s="899"/>
      <c r="WAG39" s="899"/>
      <c r="WAH39" s="899"/>
      <c r="WAI39" s="899"/>
      <c r="WAJ39" s="899"/>
      <c r="WAK39" s="899"/>
      <c r="WAL39" s="899"/>
      <c r="WAM39" s="899"/>
      <c r="WAN39" s="899"/>
      <c r="WAO39" s="899"/>
      <c r="WAP39" s="899"/>
      <c r="WAQ39" s="899"/>
      <c r="WAR39" s="899"/>
      <c r="WAS39" s="899"/>
      <c r="WAT39" s="899"/>
      <c r="WAU39" s="899"/>
      <c r="WAV39" s="899"/>
      <c r="WAW39" s="899"/>
      <c r="WAX39" s="899"/>
      <c r="WAY39" s="899"/>
      <c r="WAZ39" s="899"/>
      <c r="WBA39" s="899"/>
      <c r="WBB39" s="899"/>
      <c r="WBC39" s="899"/>
      <c r="WBD39" s="899"/>
      <c r="WBE39" s="899"/>
      <c r="WBF39" s="899"/>
      <c r="WBG39" s="899"/>
      <c r="WBH39" s="899"/>
      <c r="WBI39" s="899"/>
      <c r="WBJ39" s="899"/>
      <c r="WBK39" s="899"/>
      <c r="WBL39" s="899"/>
      <c r="WBM39" s="899"/>
      <c r="WBN39" s="899"/>
      <c r="WBO39" s="899"/>
      <c r="WBP39" s="899"/>
      <c r="WBQ39" s="899"/>
      <c r="WBR39" s="899"/>
      <c r="WBS39" s="899"/>
      <c r="WBT39" s="899"/>
      <c r="WBU39" s="899"/>
      <c r="WBV39" s="899"/>
      <c r="WBW39" s="899"/>
      <c r="WBX39" s="899"/>
      <c r="WBY39" s="899"/>
      <c r="WBZ39" s="899"/>
      <c r="WCA39" s="899"/>
      <c r="WCB39" s="899"/>
      <c r="WCC39" s="899"/>
      <c r="WCD39" s="899"/>
      <c r="WCE39" s="899"/>
      <c r="WCF39" s="899"/>
      <c r="WCG39" s="899"/>
      <c r="WCH39" s="899"/>
      <c r="WCI39" s="899"/>
      <c r="WCJ39" s="899"/>
      <c r="WCK39" s="899"/>
      <c r="WCL39" s="899"/>
      <c r="WCM39" s="899"/>
      <c r="WCN39" s="899"/>
      <c r="WCO39" s="899"/>
      <c r="WCP39" s="899"/>
      <c r="WCQ39" s="899"/>
      <c r="WCR39" s="899"/>
      <c r="WCS39" s="899"/>
      <c r="WCT39" s="899"/>
      <c r="WCU39" s="899"/>
      <c r="WCV39" s="899"/>
      <c r="WCW39" s="899"/>
      <c r="WCX39" s="899"/>
      <c r="WCY39" s="899"/>
      <c r="WCZ39" s="899"/>
      <c r="WDA39" s="899"/>
      <c r="WDB39" s="899"/>
      <c r="WDC39" s="899"/>
      <c r="WDD39" s="899"/>
      <c r="WDE39" s="899"/>
      <c r="WDF39" s="899"/>
      <c r="WDG39" s="899"/>
      <c r="WDH39" s="899"/>
      <c r="WDI39" s="899"/>
      <c r="WDJ39" s="899"/>
      <c r="WDK39" s="899"/>
      <c r="WDL39" s="899"/>
      <c r="WDM39" s="899"/>
      <c r="WDN39" s="899"/>
      <c r="WDO39" s="899"/>
      <c r="WDP39" s="899"/>
      <c r="WDQ39" s="899"/>
      <c r="WDR39" s="899"/>
      <c r="WDS39" s="899"/>
      <c r="WDT39" s="899"/>
      <c r="WDU39" s="899"/>
      <c r="WDV39" s="899"/>
      <c r="WDW39" s="899"/>
      <c r="WDX39" s="899"/>
      <c r="WDY39" s="899"/>
      <c r="WDZ39" s="899"/>
      <c r="WEA39" s="899"/>
      <c r="WEB39" s="899"/>
      <c r="WEC39" s="899"/>
      <c r="WED39" s="899"/>
      <c r="WEE39" s="899"/>
      <c r="WEF39" s="899"/>
      <c r="WEG39" s="899"/>
      <c r="WEH39" s="899"/>
      <c r="WEI39" s="899"/>
      <c r="WEJ39" s="899"/>
      <c r="WEK39" s="899"/>
      <c r="WEL39" s="899"/>
      <c r="WEM39" s="899"/>
      <c r="WEN39" s="899"/>
      <c r="WEO39" s="899"/>
      <c r="WEP39" s="899"/>
      <c r="WEQ39" s="899"/>
      <c r="WER39" s="899"/>
      <c r="WES39" s="899"/>
      <c r="WET39" s="899"/>
      <c r="WEU39" s="899"/>
      <c r="WEV39" s="899"/>
      <c r="WEW39" s="899"/>
      <c r="WEX39" s="899"/>
      <c r="WEY39" s="899"/>
      <c r="WEZ39" s="899"/>
      <c r="WFA39" s="899"/>
      <c r="WFB39" s="899"/>
      <c r="WFC39" s="899"/>
      <c r="WFD39" s="899"/>
      <c r="WFE39" s="899"/>
      <c r="WFF39" s="899"/>
      <c r="WFG39" s="899"/>
      <c r="WFH39" s="899"/>
      <c r="WFI39" s="899"/>
      <c r="WFJ39" s="899"/>
      <c r="WFK39" s="899"/>
      <c r="WFL39" s="899"/>
      <c r="WFM39" s="899"/>
      <c r="WFN39" s="899"/>
      <c r="WFO39" s="899"/>
      <c r="WFP39" s="899"/>
      <c r="WFQ39" s="899"/>
      <c r="WFR39" s="899"/>
      <c r="WFS39" s="899"/>
      <c r="WFT39" s="899"/>
      <c r="WFU39" s="899"/>
      <c r="WFV39" s="899"/>
      <c r="WFW39" s="899"/>
      <c r="WFX39" s="899"/>
      <c r="WFY39" s="899"/>
      <c r="WFZ39" s="899"/>
      <c r="WGA39" s="899"/>
      <c r="WGB39" s="899"/>
      <c r="WGC39" s="899"/>
      <c r="WGD39" s="899"/>
      <c r="WGE39" s="899"/>
      <c r="WGF39" s="899"/>
      <c r="WGG39" s="899"/>
      <c r="WGH39" s="899"/>
      <c r="WGI39" s="899"/>
      <c r="WGJ39" s="899"/>
      <c r="WGK39" s="899"/>
      <c r="WGL39" s="899"/>
      <c r="WGM39" s="899"/>
      <c r="WGN39" s="899"/>
      <c r="WGO39" s="899"/>
      <c r="WGP39" s="899"/>
      <c r="WGQ39" s="899"/>
      <c r="WGR39" s="899"/>
      <c r="WGS39" s="899"/>
      <c r="WGT39" s="899"/>
      <c r="WGU39" s="899"/>
      <c r="WGV39" s="899"/>
      <c r="WGW39" s="899"/>
      <c r="WGX39" s="899"/>
      <c r="WGY39" s="899"/>
      <c r="WGZ39" s="899"/>
      <c r="WHA39" s="899"/>
      <c r="WHB39" s="899"/>
      <c r="WHC39" s="899"/>
      <c r="WHD39" s="899"/>
      <c r="WHE39" s="899"/>
      <c r="WHF39" s="899"/>
      <c r="WHG39" s="899"/>
      <c r="WHH39" s="899"/>
      <c r="WHI39" s="899"/>
      <c r="WHJ39" s="899"/>
      <c r="WHK39" s="899"/>
      <c r="WHL39" s="899"/>
      <c r="WHM39" s="899"/>
      <c r="WHN39" s="899"/>
      <c r="WHO39" s="899"/>
      <c r="WHP39" s="899"/>
      <c r="WHQ39" s="899"/>
      <c r="WHR39" s="899"/>
      <c r="WHS39" s="899"/>
      <c r="WHT39" s="899"/>
      <c r="WHU39" s="899"/>
      <c r="WHV39" s="899"/>
      <c r="WHW39" s="899"/>
      <c r="WHX39" s="899"/>
      <c r="WHY39" s="899"/>
      <c r="WHZ39" s="899"/>
      <c r="WIA39" s="899"/>
      <c r="WIB39" s="899"/>
      <c r="WIC39" s="899"/>
      <c r="WID39" s="899"/>
      <c r="WIE39" s="899"/>
      <c r="WIF39" s="899"/>
      <c r="WIG39" s="899"/>
      <c r="WIH39" s="899"/>
      <c r="WII39" s="899"/>
      <c r="WIJ39" s="899"/>
      <c r="WIK39" s="899"/>
      <c r="WIL39" s="899"/>
      <c r="WIM39" s="899"/>
      <c r="WIN39" s="899"/>
      <c r="WIO39" s="899"/>
      <c r="WIP39" s="899"/>
      <c r="WIQ39" s="899"/>
      <c r="WIR39" s="899"/>
      <c r="WIS39" s="899"/>
      <c r="WIT39" s="899"/>
      <c r="WIU39" s="899"/>
      <c r="WIV39" s="899"/>
      <c r="WIW39" s="899"/>
      <c r="WIX39" s="899"/>
      <c r="WIY39" s="899"/>
      <c r="WIZ39" s="899"/>
      <c r="WJA39" s="899"/>
      <c r="WJB39" s="899"/>
      <c r="WJC39" s="899"/>
      <c r="WJD39" s="899"/>
      <c r="WJE39" s="899"/>
      <c r="WJF39" s="899"/>
      <c r="WJG39" s="899"/>
      <c r="WJH39" s="899"/>
      <c r="WJI39" s="899"/>
      <c r="WJJ39" s="899"/>
      <c r="WJK39" s="899"/>
      <c r="WJL39" s="899"/>
      <c r="WJM39" s="899"/>
      <c r="WJN39" s="899"/>
      <c r="WJO39" s="899"/>
      <c r="WJP39" s="899"/>
      <c r="WJQ39" s="899"/>
      <c r="WJR39" s="899"/>
      <c r="WJS39" s="899"/>
      <c r="WJT39" s="899"/>
      <c r="WJU39" s="899"/>
      <c r="WJV39" s="899"/>
      <c r="WJW39" s="899"/>
      <c r="WJX39" s="899"/>
      <c r="WJY39" s="899"/>
      <c r="WJZ39" s="899"/>
      <c r="WKA39" s="899"/>
      <c r="WKB39" s="899"/>
      <c r="WKC39" s="899"/>
      <c r="WKD39" s="899"/>
      <c r="WKE39" s="899"/>
      <c r="WKF39" s="899"/>
      <c r="WKG39" s="899"/>
      <c r="WKH39" s="899"/>
      <c r="WKI39" s="899"/>
      <c r="WKJ39" s="899"/>
      <c r="WKK39" s="899"/>
      <c r="WKL39" s="899"/>
      <c r="WKM39" s="899"/>
      <c r="WKN39" s="899"/>
      <c r="WKO39" s="899"/>
      <c r="WKP39" s="899"/>
      <c r="WKQ39" s="899"/>
      <c r="WKR39" s="899"/>
      <c r="WKS39" s="899"/>
      <c r="WKT39" s="899"/>
      <c r="WKU39" s="899"/>
      <c r="WKV39" s="899"/>
      <c r="WKW39" s="899"/>
      <c r="WKX39" s="899"/>
      <c r="WKY39" s="899"/>
      <c r="WKZ39" s="899"/>
      <c r="WLA39" s="899"/>
      <c r="WLB39" s="899"/>
      <c r="WLC39" s="899"/>
      <c r="WLD39" s="899"/>
      <c r="WLE39" s="899"/>
      <c r="WLF39" s="899"/>
      <c r="WLG39" s="899"/>
      <c r="WLH39" s="899"/>
      <c r="WLI39" s="899"/>
      <c r="WLJ39" s="899"/>
      <c r="WLK39" s="899"/>
      <c r="WLL39" s="899"/>
      <c r="WLM39" s="899"/>
      <c r="WLN39" s="899"/>
      <c r="WLO39" s="899"/>
      <c r="WLP39" s="899"/>
      <c r="WLQ39" s="899"/>
      <c r="WLR39" s="899"/>
      <c r="WLS39" s="899"/>
      <c r="WLT39" s="899"/>
      <c r="WLU39" s="899"/>
      <c r="WLV39" s="899"/>
      <c r="WLW39" s="899"/>
      <c r="WLX39" s="899"/>
      <c r="WLY39" s="899"/>
      <c r="WLZ39" s="899"/>
      <c r="WMA39" s="899"/>
      <c r="WMB39" s="899"/>
      <c r="WMC39" s="899"/>
      <c r="WMD39" s="899"/>
      <c r="WME39" s="899"/>
      <c r="WMF39" s="899"/>
      <c r="WMG39" s="899"/>
      <c r="WMH39" s="899"/>
      <c r="WMI39" s="899"/>
      <c r="WMJ39" s="899"/>
      <c r="WMK39" s="899"/>
      <c r="WML39" s="899"/>
      <c r="WMM39" s="899"/>
      <c r="WMN39" s="899"/>
      <c r="WMO39" s="899"/>
      <c r="WMP39" s="899"/>
      <c r="WMQ39" s="899"/>
      <c r="WMR39" s="899"/>
      <c r="WMS39" s="899"/>
      <c r="WMT39" s="899"/>
      <c r="WMU39" s="899"/>
      <c r="WMV39" s="899"/>
      <c r="WMW39" s="899"/>
      <c r="WMX39" s="899"/>
      <c r="WMY39" s="899"/>
      <c r="WMZ39" s="899"/>
      <c r="WNA39" s="899"/>
      <c r="WNB39" s="899"/>
      <c r="WNC39" s="899"/>
      <c r="WND39" s="899"/>
      <c r="WNE39" s="899"/>
      <c r="WNF39" s="899"/>
      <c r="WNG39" s="899"/>
      <c r="WNH39" s="899"/>
      <c r="WNI39" s="899"/>
      <c r="WNJ39" s="899"/>
      <c r="WNK39" s="899"/>
      <c r="WNL39" s="899"/>
      <c r="WNM39" s="899"/>
      <c r="WNN39" s="899"/>
      <c r="WNO39" s="899"/>
      <c r="WNP39" s="899"/>
      <c r="WNQ39" s="899"/>
      <c r="WNR39" s="899"/>
      <c r="WNS39" s="899"/>
      <c r="WNT39" s="899"/>
      <c r="WNU39" s="899"/>
      <c r="WNV39" s="899"/>
      <c r="WNW39" s="899"/>
      <c r="WNX39" s="899"/>
      <c r="WNY39" s="899"/>
      <c r="WNZ39" s="899"/>
      <c r="WOA39" s="899"/>
      <c r="WOB39" s="899"/>
      <c r="WOC39" s="899"/>
      <c r="WOD39" s="899"/>
      <c r="WOE39" s="899"/>
      <c r="WOF39" s="899"/>
      <c r="WOG39" s="899"/>
      <c r="WOH39" s="899"/>
      <c r="WOI39" s="899"/>
      <c r="WOJ39" s="899"/>
      <c r="WOK39" s="899"/>
      <c r="WOL39" s="899"/>
      <c r="WOM39" s="899"/>
      <c r="WON39" s="899"/>
      <c r="WOO39" s="899"/>
      <c r="WOP39" s="899"/>
      <c r="WOQ39" s="899"/>
      <c r="WOR39" s="899"/>
      <c r="WOS39" s="899"/>
      <c r="WOT39" s="899"/>
      <c r="WOU39" s="899"/>
      <c r="WOV39" s="899"/>
      <c r="WOW39" s="899"/>
      <c r="WOX39" s="899"/>
      <c r="WOY39" s="899"/>
      <c r="WOZ39" s="899"/>
      <c r="WPA39" s="899"/>
      <c r="WPB39" s="899"/>
      <c r="WPC39" s="899"/>
      <c r="WPD39" s="899"/>
      <c r="WPE39" s="899"/>
      <c r="WPF39" s="899"/>
      <c r="WPG39" s="899"/>
      <c r="WPH39" s="899"/>
      <c r="WPI39" s="899"/>
      <c r="WPJ39" s="899"/>
      <c r="WPK39" s="899"/>
      <c r="WPL39" s="899"/>
      <c r="WPM39" s="899"/>
      <c r="WPN39" s="899"/>
      <c r="WPO39" s="899"/>
      <c r="WPP39" s="899"/>
      <c r="WPQ39" s="899"/>
      <c r="WPR39" s="899"/>
      <c r="WPS39" s="899"/>
      <c r="WPT39" s="899"/>
      <c r="WPU39" s="899"/>
      <c r="WPV39" s="899"/>
      <c r="WPW39" s="899"/>
      <c r="WPX39" s="899"/>
      <c r="WPY39" s="899"/>
      <c r="WPZ39" s="899"/>
      <c r="WQA39" s="899"/>
      <c r="WQB39" s="899"/>
      <c r="WQC39" s="899"/>
      <c r="WQD39" s="899"/>
      <c r="WQE39" s="899"/>
      <c r="WQF39" s="899"/>
      <c r="WQG39" s="899"/>
      <c r="WQH39" s="899"/>
      <c r="WQI39" s="899"/>
      <c r="WQJ39" s="899"/>
      <c r="WQK39" s="899"/>
      <c r="WQL39" s="899"/>
      <c r="WQM39" s="899"/>
      <c r="WQN39" s="899"/>
      <c r="WQO39" s="899"/>
      <c r="WQP39" s="899"/>
      <c r="WQQ39" s="899"/>
      <c r="WQR39" s="899"/>
      <c r="WQS39" s="899"/>
      <c r="WQT39" s="899"/>
      <c r="WQU39" s="899"/>
      <c r="WQV39" s="899"/>
      <c r="WQW39" s="899"/>
      <c r="WQX39" s="899"/>
      <c r="WQY39" s="899"/>
      <c r="WQZ39" s="899"/>
      <c r="WRA39" s="899"/>
      <c r="WRB39" s="899"/>
      <c r="WRC39" s="899"/>
      <c r="WRD39" s="899"/>
      <c r="WRE39" s="899"/>
      <c r="WRF39" s="899"/>
      <c r="WRG39" s="899"/>
      <c r="WRH39" s="899"/>
      <c r="WRI39" s="899"/>
      <c r="WRJ39" s="899"/>
      <c r="WRK39" s="899"/>
      <c r="WRL39" s="899"/>
      <c r="WRM39" s="899"/>
      <c r="WRN39" s="899"/>
      <c r="WRO39" s="899"/>
      <c r="WRP39" s="899"/>
      <c r="WRQ39" s="899"/>
      <c r="WRR39" s="899"/>
      <c r="WRS39" s="899"/>
      <c r="WRT39" s="899"/>
      <c r="WRU39" s="899"/>
      <c r="WRV39" s="899"/>
      <c r="WRW39" s="899"/>
      <c r="WRX39" s="899"/>
      <c r="WRY39" s="899"/>
      <c r="WRZ39" s="899"/>
      <c r="WSA39" s="899"/>
      <c r="WSB39" s="899"/>
      <c r="WSC39" s="899"/>
      <c r="WSD39" s="899"/>
      <c r="WSE39" s="899"/>
      <c r="WSF39" s="899"/>
      <c r="WSG39" s="899"/>
      <c r="WSH39" s="899"/>
      <c r="WSI39" s="899"/>
      <c r="WSJ39" s="899"/>
      <c r="WSK39" s="899"/>
      <c r="WSL39" s="899"/>
      <c r="WSM39" s="899"/>
      <c r="WSN39" s="899"/>
      <c r="WSO39" s="899"/>
      <c r="WSP39" s="899"/>
      <c r="WSQ39" s="899"/>
      <c r="WSR39" s="899"/>
      <c r="WSS39" s="899"/>
      <c r="WST39" s="899"/>
      <c r="WSU39" s="899"/>
      <c r="WSV39" s="899"/>
      <c r="WSW39" s="899"/>
      <c r="WSX39" s="899"/>
      <c r="WSY39" s="899"/>
      <c r="WSZ39" s="899"/>
      <c r="WTA39" s="899"/>
      <c r="WTB39" s="899"/>
      <c r="WTC39" s="899"/>
      <c r="WTD39" s="899"/>
      <c r="WTE39" s="899"/>
      <c r="WTF39" s="899"/>
      <c r="WTG39" s="899"/>
      <c r="WTH39" s="899"/>
      <c r="WTI39" s="899"/>
      <c r="WTJ39" s="899"/>
      <c r="WTK39" s="899"/>
      <c r="WTL39" s="899"/>
      <c r="WTM39" s="899"/>
      <c r="WTN39" s="899"/>
      <c r="WTO39" s="899"/>
      <c r="WTP39" s="899"/>
      <c r="WTQ39" s="899"/>
      <c r="WTR39" s="899"/>
      <c r="WTS39" s="899"/>
      <c r="WTT39" s="899"/>
      <c r="WTU39" s="899"/>
      <c r="WTV39" s="899"/>
      <c r="WTW39" s="899"/>
      <c r="WTX39" s="899"/>
      <c r="WTY39" s="899"/>
      <c r="WTZ39" s="899"/>
      <c r="WUA39" s="899"/>
      <c r="WUB39" s="899"/>
      <c r="WUC39" s="899"/>
      <c r="WUD39" s="899"/>
      <c r="WUE39" s="899"/>
      <c r="WUF39" s="899"/>
      <c r="WUG39" s="899"/>
      <c r="WUH39" s="899"/>
      <c r="WUI39" s="899"/>
      <c r="WUJ39" s="899"/>
      <c r="WUK39" s="899"/>
      <c r="WUL39" s="899"/>
      <c r="WUM39" s="899"/>
      <c r="WUN39" s="899"/>
      <c r="WUO39" s="899"/>
      <c r="WUP39" s="899"/>
      <c r="WUQ39" s="899"/>
      <c r="WUR39" s="899"/>
      <c r="WUS39" s="899"/>
      <c r="WUT39" s="899"/>
      <c r="WUU39" s="899"/>
      <c r="WUV39" s="899"/>
      <c r="WUW39" s="899"/>
      <c r="WUX39" s="899"/>
      <c r="WUY39" s="899"/>
      <c r="WUZ39" s="899"/>
      <c r="WVA39" s="899"/>
      <c r="WVB39" s="899"/>
      <c r="WVC39" s="899"/>
      <c r="WVD39" s="899"/>
      <c r="WVE39" s="899"/>
      <c r="WVF39" s="899"/>
      <c r="WVG39" s="899"/>
      <c r="WVH39" s="899"/>
      <c r="WVI39" s="899"/>
      <c r="WVJ39" s="899"/>
      <c r="WVK39" s="899"/>
      <c r="WVL39" s="899"/>
      <c r="WVM39" s="899"/>
      <c r="WVN39" s="899"/>
      <c r="WVO39" s="899"/>
      <c r="WVP39" s="899"/>
      <c r="WVQ39" s="899"/>
      <c r="WVR39" s="899"/>
      <c r="WVS39" s="899"/>
      <c r="WVT39" s="899"/>
      <c r="WVU39" s="899"/>
      <c r="WVV39" s="899"/>
      <c r="WVW39" s="899"/>
      <c r="WVX39" s="899"/>
      <c r="WVY39" s="899"/>
      <c r="WVZ39" s="899"/>
      <c r="WWA39" s="899"/>
      <c r="WWB39" s="899"/>
      <c r="WWC39" s="899"/>
      <c r="WWD39" s="899"/>
      <c r="WWE39" s="899"/>
      <c r="WWF39" s="899"/>
      <c r="WWG39" s="899"/>
      <c r="WWH39" s="899"/>
      <c r="WWI39" s="899"/>
      <c r="WWJ39" s="899"/>
      <c r="WWK39" s="899"/>
      <c r="WWL39" s="899"/>
      <c r="WWM39" s="899"/>
      <c r="WWN39" s="899"/>
      <c r="WWO39" s="899"/>
      <c r="WWP39" s="899"/>
      <c r="WWQ39" s="899"/>
      <c r="WWR39" s="899"/>
      <c r="WWS39" s="899"/>
      <c r="WWT39" s="899"/>
      <c r="WWU39" s="899"/>
      <c r="WWV39" s="899"/>
      <c r="WWW39" s="899"/>
      <c r="WWX39" s="899"/>
      <c r="WWY39" s="899"/>
      <c r="WWZ39" s="899"/>
      <c r="WXA39" s="899"/>
      <c r="WXB39" s="899"/>
      <c r="WXC39" s="899"/>
      <c r="WXD39" s="899"/>
      <c r="WXE39" s="899"/>
      <c r="WXF39" s="899"/>
      <c r="WXG39" s="899"/>
      <c r="WXH39" s="899"/>
      <c r="WXI39" s="899"/>
      <c r="WXJ39" s="899"/>
      <c r="WXK39" s="899"/>
      <c r="WXL39" s="899"/>
      <c r="WXM39" s="899"/>
      <c r="WXN39" s="899"/>
      <c r="WXO39" s="899"/>
      <c r="WXP39" s="899"/>
      <c r="WXQ39" s="899"/>
      <c r="WXR39" s="899"/>
      <c r="WXS39" s="899"/>
      <c r="WXT39" s="899"/>
      <c r="WXU39" s="899"/>
      <c r="WXV39" s="899"/>
      <c r="WXW39" s="899"/>
      <c r="WXX39" s="899"/>
      <c r="WXY39" s="899"/>
      <c r="WXZ39" s="899"/>
      <c r="WYA39" s="899"/>
      <c r="WYB39" s="899"/>
      <c r="WYC39" s="899"/>
      <c r="WYD39" s="899"/>
      <c r="WYE39" s="899"/>
      <c r="WYF39" s="899"/>
      <c r="WYG39" s="899"/>
      <c r="WYH39" s="899"/>
      <c r="WYI39" s="899"/>
      <c r="WYJ39" s="899"/>
      <c r="WYK39" s="899"/>
      <c r="WYL39" s="899"/>
      <c r="WYM39" s="899"/>
      <c r="WYN39" s="899"/>
      <c r="WYO39" s="899"/>
      <c r="WYP39" s="899"/>
      <c r="WYQ39" s="899"/>
      <c r="WYR39" s="899"/>
      <c r="WYS39" s="899"/>
      <c r="WYT39" s="899"/>
      <c r="WYU39" s="899"/>
      <c r="WYV39" s="899"/>
      <c r="WYW39" s="899"/>
      <c r="WYX39" s="899"/>
      <c r="WYY39" s="899"/>
      <c r="WYZ39" s="899"/>
      <c r="WZA39" s="899"/>
      <c r="WZB39" s="899"/>
      <c r="WZC39" s="899"/>
      <c r="WZD39" s="899"/>
      <c r="WZE39" s="899"/>
      <c r="WZF39" s="899"/>
      <c r="WZG39" s="899"/>
      <c r="WZH39" s="899"/>
      <c r="WZI39" s="899"/>
      <c r="WZJ39" s="899"/>
      <c r="WZK39" s="899"/>
      <c r="WZL39" s="899"/>
      <c r="WZM39" s="899"/>
      <c r="WZN39" s="899"/>
      <c r="WZO39" s="899"/>
      <c r="WZP39" s="899"/>
      <c r="WZQ39" s="899"/>
      <c r="WZR39" s="899"/>
      <c r="WZS39" s="899"/>
      <c r="WZT39" s="899"/>
      <c r="WZU39" s="899"/>
      <c r="WZV39" s="899"/>
      <c r="WZW39" s="899"/>
      <c r="WZX39" s="899"/>
      <c r="WZY39" s="899"/>
      <c r="WZZ39" s="899"/>
      <c r="XAA39" s="899"/>
      <c r="XAB39" s="899"/>
      <c r="XAC39" s="899"/>
      <c r="XAD39" s="899"/>
      <c r="XAE39" s="899"/>
      <c r="XAF39" s="899"/>
      <c r="XAG39" s="899"/>
      <c r="XAH39" s="899"/>
      <c r="XAI39" s="899"/>
      <c r="XAJ39" s="899"/>
      <c r="XAK39" s="899"/>
      <c r="XAL39" s="899"/>
      <c r="XAM39" s="899"/>
      <c r="XAN39" s="899"/>
      <c r="XAO39" s="899"/>
      <c r="XAP39" s="899"/>
      <c r="XAQ39" s="899"/>
      <c r="XAR39" s="899"/>
      <c r="XAS39" s="899"/>
      <c r="XAT39" s="899"/>
      <c r="XAU39" s="899"/>
      <c r="XAV39" s="899"/>
      <c r="XAW39" s="899"/>
      <c r="XAX39" s="899"/>
      <c r="XAY39" s="899"/>
      <c r="XAZ39" s="899"/>
      <c r="XBA39" s="899"/>
      <c r="XBB39" s="899"/>
      <c r="XBC39" s="899"/>
      <c r="XBD39" s="899"/>
      <c r="XBE39" s="899"/>
      <c r="XBF39" s="899"/>
      <c r="XBG39" s="899"/>
      <c r="XBH39" s="899"/>
      <c r="XBI39" s="899"/>
      <c r="XBJ39" s="899"/>
      <c r="XBK39" s="899"/>
      <c r="XBL39" s="899"/>
      <c r="XBM39" s="899"/>
      <c r="XBN39" s="899"/>
      <c r="XBO39" s="899"/>
      <c r="XBP39" s="899"/>
      <c r="XBQ39" s="899"/>
      <c r="XBR39" s="899"/>
      <c r="XBS39" s="899"/>
      <c r="XBT39" s="899"/>
      <c r="XBU39" s="899"/>
      <c r="XBV39" s="899"/>
      <c r="XBW39" s="899"/>
      <c r="XBX39" s="899"/>
      <c r="XBY39" s="899"/>
      <c r="XBZ39" s="899"/>
      <c r="XCA39" s="899"/>
      <c r="XCB39" s="899"/>
      <c r="XCC39" s="899"/>
      <c r="XCD39" s="899"/>
      <c r="XCE39" s="899"/>
      <c r="XCF39" s="899"/>
      <c r="XCG39" s="899"/>
      <c r="XCH39" s="899"/>
      <c r="XCI39" s="899"/>
      <c r="XCJ39" s="899"/>
      <c r="XCK39" s="899"/>
      <c r="XCL39" s="899"/>
      <c r="XCM39" s="899"/>
      <c r="XCN39" s="899"/>
      <c r="XCO39" s="899"/>
      <c r="XCP39" s="899"/>
      <c r="XCQ39" s="899"/>
      <c r="XCR39" s="899"/>
      <c r="XCS39" s="899"/>
      <c r="XCT39" s="899"/>
      <c r="XCU39" s="899"/>
      <c r="XCV39" s="899"/>
      <c r="XCW39" s="899"/>
      <c r="XCX39" s="899"/>
      <c r="XCY39" s="899"/>
      <c r="XCZ39" s="899"/>
      <c r="XDA39" s="899"/>
      <c r="XDB39" s="899"/>
      <c r="XDC39" s="899"/>
      <c r="XDD39" s="899"/>
      <c r="XDE39" s="899"/>
      <c r="XDF39" s="899"/>
      <c r="XDG39" s="899"/>
      <c r="XDH39" s="899"/>
      <c r="XDI39" s="899"/>
      <c r="XDJ39" s="899"/>
      <c r="XDK39" s="899"/>
      <c r="XDL39" s="899"/>
      <c r="XDM39" s="899"/>
      <c r="XDN39" s="899"/>
      <c r="XDO39" s="899"/>
      <c r="XDP39" s="899"/>
      <c r="XDQ39" s="899"/>
      <c r="XDR39" s="899"/>
      <c r="XDS39" s="899"/>
      <c r="XDT39" s="899"/>
      <c r="XDU39" s="899"/>
      <c r="XDV39" s="899"/>
      <c r="XDW39" s="899"/>
      <c r="XDX39" s="899"/>
      <c r="XDY39" s="899"/>
      <c r="XDZ39" s="899"/>
      <c r="XEA39" s="899"/>
      <c r="XEB39" s="899"/>
    </row>
    <row r="40" spans="1:16356" ht="68.25" customHeight="1">
      <c r="A40" s="118" t="s">
        <v>97</v>
      </c>
      <c r="B40" s="123" t="s">
        <v>98</v>
      </c>
      <c r="C40" s="119"/>
      <c r="D40" s="119"/>
      <c r="E40" s="119"/>
      <c r="F40" s="119"/>
      <c r="G40" s="119"/>
      <c r="H40" s="119"/>
      <c r="I40" s="119"/>
      <c r="J40" s="119"/>
      <c r="K40" s="119"/>
      <c r="L40" s="119"/>
      <c r="M40" s="119"/>
      <c r="N40" s="119"/>
      <c r="O40" s="118"/>
      <c r="P40" s="118"/>
      <c r="Q40" s="118"/>
      <c r="R40" s="118"/>
      <c r="S40" s="899"/>
      <c r="T40" s="899"/>
      <c r="U40" s="899"/>
      <c r="V40" s="899"/>
      <c r="W40" s="899"/>
      <c r="X40" s="899"/>
      <c r="Y40" s="899"/>
      <c r="Z40" s="899"/>
      <c r="AA40" s="899"/>
      <c r="AB40" s="899"/>
      <c r="AC40" s="899"/>
      <c r="AD40" s="899"/>
      <c r="AE40" s="899"/>
      <c r="AF40" s="899"/>
      <c r="AG40" s="899"/>
      <c r="AH40" s="7"/>
      <c r="AI40" s="35"/>
      <c r="AJ40" s="7"/>
      <c r="AK40" s="99"/>
      <c r="AL40" s="5"/>
      <c r="AM40" s="191"/>
      <c r="AN40" s="191"/>
      <c r="AO40" s="191"/>
      <c r="AP40" s="191"/>
      <c r="AQ40" s="191"/>
      <c r="AR40" s="191"/>
      <c r="AS40" s="191"/>
      <c r="AT40" s="191"/>
      <c r="AU40" s="191"/>
      <c r="AV40" s="191"/>
      <c r="AW40" s="191"/>
      <c r="AX40" s="899"/>
      <c r="AY40" s="899"/>
      <c r="AZ40" s="899"/>
      <c r="BA40" s="899"/>
      <c r="BB40" s="899"/>
      <c r="BC40" s="899"/>
      <c r="BD40" s="899"/>
      <c r="BE40" s="899"/>
      <c r="BF40" s="899"/>
      <c r="BG40" s="899"/>
      <c r="BH40" s="899"/>
      <c r="BI40" s="899"/>
      <c r="BJ40" s="899"/>
      <c r="BK40" s="899"/>
      <c r="BL40" s="899"/>
      <c r="BM40" s="899"/>
      <c r="BN40" s="899"/>
      <c r="BO40" s="899"/>
      <c r="BP40" s="899"/>
      <c r="BQ40" s="899"/>
      <c r="BR40" s="899"/>
      <c r="BS40" s="899"/>
      <c r="BT40" s="899"/>
      <c r="BU40" s="899"/>
      <c r="BV40" s="899"/>
      <c r="BW40" s="899"/>
      <c r="BX40" s="899"/>
      <c r="BY40" s="899"/>
      <c r="BZ40" s="899"/>
      <c r="CA40" s="899"/>
      <c r="CB40" s="899"/>
      <c r="CC40" s="899"/>
      <c r="CD40" s="899"/>
      <c r="CE40" s="899"/>
      <c r="CF40" s="899"/>
      <c r="CG40" s="899"/>
      <c r="CH40" s="899"/>
      <c r="CI40" s="899"/>
      <c r="CJ40" s="899"/>
      <c r="CK40" s="899"/>
      <c r="CL40" s="899"/>
      <c r="CM40" s="899"/>
      <c r="CN40" s="899"/>
      <c r="CO40" s="899"/>
      <c r="CP40" s="899"/>
      <c r="CQ40" s="899"/>
      <c r="CR40" s="899"/>
      <c r="CS40" s="899"/>
      <c r="CT40" s="899"/>
      <c r="CU40" s="899"/>
      <c r="CV40" s="899"/>
      <c r="CW40" s="899"/>
      <c r="CX40" s="899"/>
      <c r="CY40" s="899"/>
      <c r="CZ40" s="899"/>
      <c r="DA40" s="899"/>
      <c r="DB40" s="899"/>
      <c r="DC40" s="899"/>
      <c r="DD40" s="899"/>
      <c r="DE40" s="899"/>
      <c r="DF40" s="899"/>
      <c r="DG40" s="899"/>
      <c r="DH40" s="899"/>
      <c r="DI40" s="899"/>
      <c r="DJ40" s="899"/>
      <c r="DK40" s="899"/>
      <c r="DL40" s="899"/>
      <c r="DM40" s="899"/>
      <c r="DN40" s="899"/>
      <c r="DO40" s="899"/>
      <c r="DP40" s="899"/>
      <c r="DQ40" s="899"/>
      <c r="DR40" s="899"/>
      <c r="DS40" s="899"/>
      <c r="DT40" s="899"/>
      <c r="DU40" s="899"/>
      <c r="DV40" s="899"/>
      <c r="DW40" s="899"/>
      <c r="DX40" s="899"/>
      <c r="DY40" s="899"/>
      <c r="DZ40" s="899"/>
      <c r="EA40" s="899"/>
      <c r="EB40" s="899"/>
      <c r="EC40" s="899"/>
      <c r="ED40" s="899"/>
      <c r="EE40" s="899"/>
      <c r="EF40" s="899"/>
      <c r="EG40" s="899"/>
      <c r="EH40" s="899"/>
      <c r="EI40" s="899"/>
      <c r="EJ40" s="899"/>
      <c r="EK40" s="899"/>
      <c r="EL40" s="899"/>
      <c r="EM40" s="899"/>
      <c r="EN40" s="899"/>
      <c r="EO40" s="899"/>
      <c r="EP40" s="899"/>
      <c r="EQ40" s="899"/>
      <c r="ER40" s="899"/>
      <c r="ES40" s="899"/>
      <c r="ET40" s="899"/>
      <c r="EU40" s="899"/>
      <c r="EV40" s="899"/>
      <c r="EW40" s="899"/>
      <c r="EX40" s="899"/>
      <c r="EY40" s="899"/>
      <c r="EZ40" s="899"/>
      <c r="FA40" s="899"/>
      <c r="FB40" s="899"/>
      <c r="FC40" s="899"/>
      <c r="FD40" s="899"/>
      <c r="FE40" s="899"/>
      <c r="FF40" s="899"/>
      <c r="FG40" s="899"/>
      <c r="FH40" s="899"/>
      <c r="FI40" s="899"/>
      <c r="FJ40" s="899"/>
      <c r="FK40" s="899"/>
      <c r="FL40" s="899"/>
      <c r="FM40" s="899"/>
      <c r="FN40" s="899"/>
      <c r="FO40" s="899"/>
      <c r="FP40" s="899"/>
      <c r="FQ40" s="899"/>
      <c r="FR40" s="899"/>
      <c r="FS40" s="899"/>
      <c r="FT40" s="899"/>
      <c r="FU40" s="899"/>
      <c r="FV40" s="899"/>
      <c r="FW40" s="899"/>
      <c r="FX40" s="899"/>
      <c r="FY40" s="899"/>
      <c r="FZ40" s="899"/>
      <c r="GA40" s="899"/>
      <c r="GB40" s="899"/>
      <c r="GC40" s="899"/>
      <c r="GD40" s="899"/>
      <c r="GE40" s="899"/>
      <c r="GF40" s="899"/>
      <c r="GG40" s="899"/>
      <c r="GH40" s="899"/>
      <c r="GI40" s="899"/>
      <c r="GJ40" s="899"/>
      <c r="GK40" s="899"/>
      <c r="GL40" s="899"/>
      <c r="GM40" s="899"/>
      <c r="GN40" s="899"/>
      <c r="GO40" s="899"/>
      <c r="GP40" s="899"/>
      <c r="GQ40" s="899"/>
      <c r="GR40" s="899"/>
      <c r="GS40" s="899"/>
      <c r="GT40" s="899"/>
      <c r="GU40" s="899"/>
      <c r="GV40" s="899"/>
      <c r="GW40" s="899"/>
      <c r="GX40" s="899"/>
      <c r="GY40" s="899"/>
      <c r="GZ40" s="899"/>
      <c r="HA40" s="899"/>
      <c r="HB40" s="899"/>
      <c r="HC40" s="899"/>
      <c r="HD40" s="899"/>
      <c r="HE40" s="899"/>
      <c r="HF40" s="899"/>
      <c r="HG40" s="899"/>
      <c r="HH40" s="899"/>
      <c r="HI40" s="899"/>
      <c r="HJ40" s="899"/>
      <c r="HK40" s="899"/>
      <c r="HL40" s="899"/>
      <c r="HM40" s="899"/>
      <c r="HN40" s="899"/>
      <c r="HO40" s="899"/>
      <c r="HP40" s="899"/>
      <c r="HQ40" s="899"/>
      <c r="HR40" s="899"/>
      <c r="HS40" s="899"/>
      <c r="HT40" s="899"/>
      <c r="HU40" s="899"/>
      <c r="HV40" s="899"/>
      <c r="HW40" s="899"/>
      <c r="HX40" s="899"/>
      <c r="HY40" s="899"/>
      <c r="HZ40" s="899"/>
      <c r="IA40" s="899"/>
      <c r="IB40" s="899"/>
      <c r="IC40" s="899"/>
      <c r="ID40" s="899"/>
      <c r="IE40" s="899"/>
      <c r="IF40" s="899"/>
      <c r="IG40" s="899"/>
      <c r="IH40" s="899"/>
      <c r="II40" s="899"/>
      <c r="IJ40" s="899"/>
      <c r="IK40" s="899"/>
      <c r="IL40" s="899"/>
      <c r="IM40" s="899"/>
      <c r="IN40" s="899"/>
      <c r="IO40" s="899"/>
      <c r="IP40" s="899"/>
      <c r="IQ40" s="899"/>
      <c r="IR40" s="899"/>
      <c r="IS40" s="899"/>
      <c r="IT40" s="899"/>
      <c r="IU40" s="899"/>
      <c r="IV40" s="899"/>
      <c r="IW40" s="899"/>
      <c r="IX40" s="899"/>
      <c r="IY40" s="899"/>
      <c r="IZ40" s="899"/>
      <c r="JA40" s="899"/>
      <c r="JB40" s="899"/>
      <c r="JC40" s="899"/>
      <c r="JD40" s="899"/>
      <c r="JE40" s="899"/>
      <c r="JF40" s="899"/>
      <c r="JG40" s="899"/>
      <c r="JH40" s="899"/>
      <c r="JI40" s="899"/>
      <c r="JJ40" s="899"/>
      <c r="JK40" s="899"/>
      <c r="JL40" s="899"/>
      <c r="JM40" s="899"/>
      <c r="JN40" s="899"/>
      <c r="JO40" s="899"/>
      <c r="JP40" s="899"/>
      <c r="JQ40" s="899"/>
      <c r="JR40" s="899"/>
      <c r="JS40" s="899"/>
      <c r="JT40" s="899"/>
      <c r="JU40" s="899"/>
      <c r="JV40" s="899"/>
      <c r="JW40" s="899"/>
      <c r="JX40" s="899"/>
      <c r="JY40" s="899"/>
      <c r="JZ40" s="899"/>
      <c r="KA40" s="899"/>
      <c r="KB40" s="899"/>
      <c r="KC40" s="899"/>
      <c r="KD40" s="899"/>
      <c r="KE40" s="899"/>
      <c r="KF40" s="899"/>
      <c r="KG40" s="899"/>
      <c r="KH40" s="899"/>
      <c r="KI40" s="899"/>
      <c r="KJ40" s="899"/>
      <c r="KK40" s="899"/>
      <c r="KL40" s="899"/>
      <c r="KM40" s="899"/>
      <c r="KN40" s="899"/>
      <c r="KO40" s="899"/>
      <c r="KP40" s="899"/>
      <c r="KQ40" s="899"/>
      <c r="KR40" s="899"/>
      <c r="KS40" s="899"/>
      <c r="KT40" s="899"/>
      <c r="KU40" s="899"/>
      <c r="KV40" s="899"/>
      <c r="KW40" s="899"/>
      <c r="KX40" s="899"/>
      <c r="KY40" s="899"/>
      <c r="KZ40" s="899"/>
      <c r="LA40" s="899"/>
      <c r="LB40" s="899"/>
      <c r="LC40" s="899"/>
      <c r="LD40" s="899"/>
      <c r="LE40" s="899"/>
      <c r="LF40" s="899"/>
      <c r="LG40" s="899"/>
      <c r="LH40" s="899"/>
      <c r="LI40" s="899"/>
      <c r="LJ40" s="899"/>
      <c r="LK40" s="899"/>
      <c r="LL40" s="899"/>
      <c r="LM40" s="899"/>
      <c r="LN40" s="899"/>
      <c r="LO40" s="899"/>
      <c r="LP40" s="899"/>
      <c r="LQ40" s="899"/>
      <c r="LR40" s="899"/>
      <c r="LS40" s="899"/>
      <c r="LT40" s="899"/>
      <c r="LU40" s="899"/>
      <c r="LV40" s="899"/>
      <c r="LW40" s="899"/>
      <c r="LX40" s="899"/>
      <c r="LY40" s="899"/>
      <c r="LZ40" s="899"/>
      <c r="MA40" s="899"/>
      <c r="MB40" s="899"/>
      <c r="MC40" s="899"/>
      <c r="MD40" s="899"/>
      <c r="ME40" s="899"/>
      <c r="MF40" s="899"/>
      <c r="MG40" s="899"/>
      <c r="MH40" s="899"/>
      <c r="MI40" s="899"/>
      <c r="MJ40" s="899"/>
      <c r="MK40" s="899"/>
      <c r="ML40" s="899"/>
      <c r="MM40" s="899"/>
      <c r="MN40" s="899"/>
      <c r="MO40" s="899"/>
      <c r="MP40" s="899"/>
      <c r="MQ40" s="899"/>
      <c r="MR40" s="899"/>
      <c r="MS40" s="899"/>
      <c r="MT40" s="899"/>
      <c r="MU40" s="899"/>
      <c r="MV40" s="899"/>
      <c r="MW40" s="899"/>
      <c r="MX40" s="899"/>
      <c r="MY40" s="899"/>
      <c r="MZ40" s="899"/>
      <c r="NA40" s="899"/>
      <c r="NB40" s="899"/>
      <c r="NC40" s="899"/>
      <c r="ND40" s="899"/>
      <c r="NE40" s="899"/>
      <c r="NF40" s="899"/>
      <c r="NG40" s="899"/>
      <c r="NH40" s="899"/>
      <c r="NI40" s="899"/>
      <c r="NJ40" s="899"/>
      <c r="NK40" s="899"/>
      <c r="NL40" s="899"/>
      <c r="NM40" s="899"/>
      <c r="NN40" s="899"/>
      <c r="NO40" s="899"/>
      <c r="NP40" s="899"/>
      <c r="NQ40" s="899"/>
      <c r="NR40" s="899"/>
      <c r="NS40" s="899"/>
      <c r="NT40" s="899"/>
      <c r="NU40" s="899"/>
      <c r="NV40" s="899"/>
      <c r="NW40" s="899"/>
      <c r="NX40" s="899"/>
      <c r="NY40" s="899"/>
      <c r="NZ40" s="899"/>
      <c r="OA40" s="899"/>
      <c r="OB40" s="899"/>
      <c r="OC40" s="899"/>
      <c r="OD40" s="899"/>
      <c r="OE40" s="899"/>
      <c r="OF40" s="899"/>
      <c r="OG40" s="899"/>
      <c r="OH40" s="899"/>
      <c r="OI40" s="899"/>
      <c r="OJ40" s="899"/>
      <c r="OK40" s="899"/>
      <c r="OL40" s="899"/>
      <c r="OM40" s="899"/>
      <c r="ON40" s="899"/>
      <c r="OO40" s="899"/>
      <c r="OP40" s="899"/>
      <c r="OQ40" s="899"/>
      <c r="OR40" s="899"/>
      <c r="OS40" s="899"/>
      <c r="OT40" s="899"/>
      <c r="OU40" s="899"/>
      <c r="OV40" s="899"/>
      <c r="OW40" s="899"/>
      <c r="OX40" s="899"/>
      <c r="OY40" s="899"/>
      <c r="OZ40" s="899"/>
      <c r="PA40" s="899"/>
      <c r="PB40" s="899"/>
      <c r="PC40" s="899"/>
      <c r="PD40" s="899"/>
      <c r="PE40" s="899"/>
      <c r="PF40" s="899"/>
      <c r="PG40" s="899"/>
      <c r="PH40" s="899"/>
      <c r="PI40" s="899"/>
      <c r="PJ40" s="899"/>
      <c r="PK40" s="899"/>
      <c r="PL40" s="899"/>
      <c r="PM40" s="899"/>
      <c r="PN40" s="899"/>
      <c r="PO40" s="899"/>
      <c r="PP40" s="899"/>
      <c r="PQ40" s="899"/>
      <c r="PR40" s="899"/>
      <c r="PS40" s="899"/>
      <c r="PT40" s="899"/>
      <c r="PU40" s="899"/>
      <c r="PV40" s="899"/>
      <c r="PW40" s="899"/>
      <c r="PX40" s="899"/>
      <c r="PY40" s="899"/>
      <c r="PZ40" s="899"/>
      <c r="QA40" s="899"/>
      <c r="QB40" s="899"/>
      <c r="QC40" s="899"/>
      <c r="QD40" s="899"/>
      <c r="QE40" s="899"/>
      <c r="QF40" s="899"/>
      <c r="QG40" s="899"/>
      <c r="QH40" s="899"/>
      <c r="QI40" s="899"/>
      <c r="QJ40" s="899"/>
      <c r="QK40" s="899"/>
      <c r="QL40" s="899"/>
      <c r="QM40" s="899"/>
      <c r="QN40" s="899"/>
      <c r="QO40" s="899"/>
      <c r="QP40" s="899"/>
      <c r="QQ40" s="899"/>
      <c r="QR40" s="899"/>
      <c r="QS40" s="899"/>
      <c r="QT40" s="899"/>
      <c r="QU40" s="899"/>
      <c r="QV40" s="899"/>
      <c r="QW40" s="899"/>
      <c r="QX40" s="899"/>
      <c r="QY40" s="899"/>
      <c r="QZ40" s="899"/>
      <c r="RA40" s="899"/>
      <c r="RB40" s="899"/>
      <c r="RC40" s="899"/>
      <c r="RD40" s="899"/>
      <c r="RE40" s="899"/>
      <c r="RF40" s="899"/>
      <c r="RG40" s="899"/>
      <c r="RH40" s="899"/>
      <c r="RI40" s="899"/>
      <c r="RJ40" s="899"/>
      <c r="RK40" s="899"/>
      <c r="RL40" s="899"/>
      <c r="RM40" s="899"/>
      <c r="RN40" s="899"/>
      <c r="RO40" s="899"/>
      <c r="RP40" s="899"/>
      <c r="RQ40" s="899"/>
      <c r="RR40" s="899"/>
      <c r="RS40" s="899"/>
      <c r="RT40" s="899"/>
      <c r="RU40" s="899"/>
      <c r="RV40" s="899"/>
      <c r="RW40" s="899"/>
      <c r="RX40" s="899"/>
      <c r="RY40" s="899"/>
      <c r="RZ40" s="899"/>
      <c r="SA40" s="899"/>
      <c r="SB40" s="899"/>
      <c r="SC40" s="899"/>
      <c r="SD40" s="899"/>
      <c r="SE40" s="899"/>
      <c r="SF40" s="899"/>
      <c r="SG40" s="899"/>
      <c r="SH40" s="899"/>
      <c r="SI40" s="899"/>
      <c r="SJ40" s="899"/>
      <c r="SK40" s="899"/>
      <c r="SL40" s="899"/>
      <c r="SM40" s="899"/>
      <c r="SN40" s="899"/>
      <c r="SO40" s="899"/>
      <c r="SP40" s="899"/>
      <c r="SQ40" s="899"/>
      <c r="SR40" s="899"/>
      <c r="SS40" s="899"/>
      <c r="ST40" s="899"/>
      <c r="SU40" s="899"/>
      <c r="SV40" s="899"/>
      <c r="SW40" s="899"/>
      <c r="SX40" s="899"/>
      <c r="SY40" s="899"/>
      <c r="SZ40" s="899"/>
      <c r="TA40" s="899"/>
      <c r="TB40" s="899"/>
      <c r="TC40" s="899"/>
      <c r="TD40" s="899"/>
      <c r="TE40" s="899"/>
      <c r="TF40" s="899"/>
      <c r="TG40" s="899"/>
      <c r="TH40" s="899"/>
      <c r="TI40" s="899"/>
      <c r="TJ40" s="899"/>
      <c r="TK40" s="899"/>
      <c r="TL40" s="899"/>
      <c r="TM40" s="899"/>
      <c r="TN40" s="899"/>
      <c r="TO40" s="899"/>
      <c r="TP40" s="899"/>
      <c r="TQ40" s="899"/>
      <c r="TR40" s="899"/>
      <c r="TS40" s="899"/>
      <c r="TT40" s="899"/>
      <c r="TU40" s="899"/>
      <c r="TV40" s="899"/>
      <c r="TW40" s="899"/>
      <c r="TX40" s="899"/>
      <c r="TY40" s="899"/>
      <c r="TZ40" s="899"/>
      <c r="UA40" s="899"/>
      <c r="UB40" s="899"/>
      <c r="UC40" s="899"/>
      <c r="UD40" s="899"/>
      <c r="UE40" s="899"/>
      <c r="UF40" s="899"/>
      <c r="UG40" s="899"/>
      <c r="UH40" s="899"/>
      <c r="UI40" s="899"/>
      <c r="UJ40" s="899"/>
      <c r="UK40" s="899"/>
      <c r="UL40" s="899"/>
      <c r="UM40" s="899"/>
      <c r="UN40" s="899"/>
      <c r="UO40" s="899"/>
      <c r="UP40" s="899"/>
      <c r="UQ40" s="899"/>
      <c r="UR40" s="899"/>
      <c r="US40" s="899"/>
      <c r="UT40" s="899"/>
      <c r="UU40" s="899"/>
      <c r="UV40" s="899"/>
      <c r="UW40" s="899"/>
      <c r="UX40" s="899"/>
      <c r="UY40" s="899"/>
      <c r="UZ40" s="899"/>
      <c r="VA40" s="899"/>
      <c r="VB40" s="899"/>
      <c r="VC40" s="899"/>
      <c r="VD40" s="899"/>
      <c r="VE40" s="899"/>
      <c r="VF40" s="899"/>
      <c r="VG40" s="899"/>
      <c r="VH40" s="899"/>
      <c r="VI40" s="899"/>
      <c r="VJ40" s="899"/>
      <c r="VK40" s="899"/>
      <c r="VL40" s="899"/>
      <c r="VM40" s="899"/>
      <c r="VN40" s="899"/>
      <c r="VO40" s="899"/>
      <c r="VP40" s="899"/>
      <c r="VQ40" s="899"/>
      <c r="VR40" s="899"/>
      <c r="VS40" s="899"/>
      <c r="VT40" s="899"/>
      <c r="VU40" s="899"/>
      <c r="VV40" s="899"/>
      <c r="VW40" s="899"/>
      <c r="VX40" s="899"/>
      <c r="VY40" s="899"/>
      <c r="VZ40" s="899"/>
      <c r="WA40" s="899"/>
      <c r="WB40" s="899"/>
      <c r="WC40" s="899"/>
      <c r="WD40" s="899"/>
      <c r="WE40" s="899"/>
      <c r="WF40" s="899"/>
      <c r="WG40" s="899"/>
      <c r="WH40" s="899"/>
      <c r="WI40" s="899"/>
      <c r="WJ40" s="899"/>
      <c r="WK40" s="899"/>
      <c r="WL40" s="899"/>
      <c r="WM40" s="899"/>
      <c r="WN40" s="899"/>
      <c r="WO40" s="899"/>
      <c r="WP40" s="899"/>
      <c r="WQ40" s="899"/>
      <c r="WR40" s="899"/>
      <c r="WS40" s="899"/>
      <c r="WT40" s="899"/>
      <c r="WU40" s="899"/>
      <c r="WV40" s="899"/>
      <c r="WW40" s="899"/>
      <c r="WX40" s="899"/>
      <c r="WY40" s="899"/>
      <c r="WZ40" s="899"/>
      <c r="XA40" s="899"/>
      <c r="XB40" s="899"/>
      <c r="XC40" s="899"/>
      <c r="XD40" s="899"/>
      <c r="XE40" s="899"/>
      <c r="XF40" s="899"/>
      <c r="XG40" s="899"/>
      <c r="XH40" s="899"/>
      <c r="XI40" s="899"/>
      <c r="XJ40" s="899"/>
      <c r="XK40" s="899"/>
      <c r="XL40" s="899"/>
      <c r="XM40" s="899"/>
      <c r="XN40" s="899"/>
      <c r="XO40" s="899"/>
      <c r="XP40" s="899"/>
      <c r="XQ40" s="899"/>
      <c r="XR40" s="899"/>
      <c r="XS40" s="899"/>
      <c r="XT40" s="899"/>
      <c r="XU40" s="899"/>
      <c r="XV40" s="899"/>
      <c r="XW40" s="899"/>
      <c r="XX40" s="899"/>
      <c r="XY40" s="899"/>
      <c r="XZ40" s="899"/>
      <c r="YA40" s="899"/>
      <c r="YB40" s="899"/>
      <c r="YC40" s="899"/>
      <c r="YD40" s="899"/>
      <c r="YE40" s="899"/>
      <c r="YF40" s="899"/>
      <c r="YG40" s="899"/>
      <c r="YH40" s="899"/>
      <c r="YI40" s="899"/>
      <c r="YJ40" s="899"/>
      <c r="YK40" s="899"/>
      <c r="YL40" s="899"/>
      <c r="YM40" s="899"/>
      <c r="YN40" s="899"/>
      <c r="YO40" s="899"/>
      <c r="YP40" s="899"/>
      <c r="YQ40" s="899"/>
      <c r="YR40" s="899"/>
      <c r="YS40" s="899"/>
      <c r="YT40" s="899"/>
      <c r="YU40" s="899"/>
      <c r="YV40" s="899"/>
      <c r="YW40" s="899"/>
      <c r="YX40" s="899"/>
      <c r="YY40" s="899"/>
      <c r="YZ40" s="899"/>
      <c r="ZA40" s="899"/>
      <c r="ZB40" s="899"/>
      <c r="ZC40" s="899"/>
      <c r="ZD40" s="899"/>
      <c r="ZE40" s="899"/>
      <c r="ZF40" s="899"/>
      <c r="ZG40" s="899"/>
      <c r="ZH40" s="899"/>
      <c r="ZI40" s="899"/>
      <c r="ZJ40" s="899"/>
      <c r="ZK40" s="899"/>
      <c r="ZL40" s="899"/>
      <c r="ZM40" s="899"/>
      <c r="ZN40" s="899"/>
      <c r="ZO40" s="899"/>
      <c r="ZP40" s="899"/>
      <c r="ZQ40" s="899"/>
      <c r="ZR40" s="899"/>
      <c r="ZS40" s="899"/>
      <c r="ZT40" s="899"/>
      <c r="ZU40" s="899"/>
      <c r="ZV40" s="899"/>
      <c r="ZW40" s="899"/>
      <c r="ZX40" s="899"/>
      <c r="ZY40" s="899"/>
      <c r="ZZ40" s="899"/>
      <c r="AAA40" s="899"/>
      <c r="AAB40" s="899"/>
      <c r="AAC40" s="899"/>
      <c r="AAD40" s="899"/>
      <c r="AAE40" s="899"/>
      <c r="AAF40" s="899"/>
      <c r="AAG40" s="899"/>
      <c r="AAH40" s="899"/>
      <c r="AAI40" s="899"/>
      <c r="AAJ40" s="899"/>
      <c r="AAK40" s="899"/>
      <c r="AAL40" s="899"/>
      <c r="AAM40" s="899"/>
      <c r="AAN40" s="899"/>
      <c r="AAO40" s="899"/>
      <c r="AAP40" s="899"/>
      <c r="AAQ40" s="899"/>
      <c r="AAR40" s="899"/>
      <c r="AAS40" s="899"/>
      <c r="AAT40" s="899"/>
      <c r="AAU40" s="899"/>
      <c r="AAV40" s="899"/>
      <c r="AAW40" s="899"/>
      <c r="AAX40" s="899"/>
      <c r="AAY40" s="899"/>
      <c r="AAZ40" s="899"/>
      <c r="ABA40" s="899"/>
      <c r="ABB40" s="899"/>
      <c r="ABC40" s="899"/>
      <c r="ABD40" s="899"/>
      <c r="ABE40" s="899"/>
      <c r="ABF40" s="899"/>
      <c r="ABG40" s="899"/>
      <c r="ABH40" s="899"/>
      <c r="ABI40" s="899"/>
      <c r="ABJ40" s="899"/>
      <c r="ABK40" s="899"/>
      <c r="ABL40" s="899"/>
      <c r="ABM40" s="899"/>
      <c r="ABN40" s="899"/>
      <c r="ABO40" s="899"/>
      <c r="ABP40" s="899"/>
      <c r="ABQ40" s="899"/>
      <c r="ABR40" s="899"/>
      <c r="ABS40" s="899"/>
      <c r="ABT40" s="899"/>
      <c r="ABU40" s="899"/>
      <c r="ABV40" s="899"/>
      <c r="ABW40" s="899"/>
      <c r="ABX40" s="899"/>
      <c r="ABY40" s="899"/>
      <c r="ABZ40" s="899"/>
      <c r="ACA40" s="899"/>
      <c r="ACB40" s="899"/>
      <c r="ACC40" s="899"/>
      <c r="ACD40" s="899"/>
      <c r="ACE40" s="899"/>
      <c r="ACF40" s="899"/>
      <c r="ACG40" s="899"/>
      <c r="ACH40" s="899"/>
      <c r="ACI40" s="899"/>
      <c r="ACJ40" s="899"/>
      <c r="ACK40" s="899"/>
      <c r="ACL40" s="899"/>
      <c r="ACM40" s="899"/>
      <c r="ACN40" s="899"/>
      <c r="ACO40" s="899"/>
      <c r="ACP40" s="899"/>
      <c r="ACQ40" s="899"/>
      <c r="ACR40" s="899"/>
      <c r="ACS40" s="899"/>
      <c r="ACT40" s="899"/>
      <c r="ACU40" s="899"/>
      <c r="ACV40" s="899"/>
      <c r="ACW40" s="899"/>
      <c r="ACX40" s="899"/>
      <c r="ACY40" s="899"/>
      <c r="ACZ40" s="899"/>
      <c r="ADA40" s="899"/>
      <c r="ADB40" s="899"/>
      <c r="ADC40" s="899"/>
      <c r="ADD40" s="899"/>
      <c r="ADE40" s="899"/>
      <c r="ADF40" s="899"/>
      <c r="ADG40" s="899"/>
      <c r="ADH40" s="899"/>
      <c r="ADI40" s="899"/>
      <c r="ADJ40" s="899"/>
      <c r="ADK40" s="899"/>
      <c r="ADL40" s="899"/>
      <c r="ADM40" s="899"/>
      <c r="ADN40" s="899"/>
      <c r="ADO40" s="899"/>
      <c r="ADP40" s="899"/>
      <c r="ADQ40" s="899"/>
      <c r="ADR40" s="899"/>
      <c r="ADS40" s="899"/>
      <c r="ADT40" s="899"/>
      <c r="ADU40" s="899"/>
      <c r="ADV40" s="899"/>
      <c r="ADW40" s="899"/>
      <c r="ADX40" s="899"/>
      <c r="ADY40" s="899"/>
      <c r="ADZ40" s="899"/>
      <c r="AEA40" s="899"/>
      <c r="AEB40" s="899"/>
      <c r="AEC40" s="899"/>
      <c r="AED40" s="899"/>
      <c r="AEE40" s="899"/>
      <c r="AEF40" s="899"/>
      <c r="AEG40" s="899"/>
      <c r="AEH40" s="899"/>
      <c r="AEI40" s="899"/>
      <c r="AEJ40" s="899"/>
      <c r="AEK40" s="899"/>
      <c r="AEL40" s="899"/>
      <c r="AEM40" s="899"/>
      <c r="AEN40" s="899"/>
      <c r="AEO40" s="899"/>
      <c r="AEP40" s="899"/>
      <c r="AEQ40" s="899"/>
      <c r="AER40" s="899"/>
      <c r="AES40" s="899"/>
      <c r="AET40" s="899"/>
      <c r="AEU40" s="899"/>
      <c r="AEV40" s="899"/>
      <c r="AEW40" s="899"/>
      <c r="AEX40" s="899"/>
      <c r="AEY40" s="899"/>
      <c r="AEZ40" s="899"/>
      <c r="AFA40" s="899"/>
      <c r="AFB40" s="899"/>
      <c r="AFC40" s="899"/>
      <c r="AFD40" s="899"/>
      <c r="AFE40" s="899"/>
      <c r="AFF40" s="899"/>
      <c r="AFG40" s="899"/>
      <c r="AFH40" s="899"/>
      <c r="AFI40" s="899"/>
      <c r="AFJ40" s="899"/>
      <c r="AFK40" s="899"/>
      <c r="AFL40" s="899"/>
      <c r="AFM40" s="899"/>
      <c r="AFN40" s="899"/>
      <c r="AFO40" s="899"/>
      <c r="AFP40" s="899"/>
      <c r="AFQ40" s="899"/>
      <c r="AFR40" s="899"/>
      <c r="AFS40" s="899"/>
      <c r="AFT40" s="899"/>
      <c r="AFU40" s="899"/>
      <c r="AFV40" s="899"/>
      <c r="AFW40" s="899"/>
      <c r="AFX40" s="899"/>
      <c r="AFY40" s="899"/>
      <c r="AFZ40" s="899"/>
      <c r="AGA40" s="899"/>
      <c r="AGB40" s="899"/>
      <c r="AGC40" s="899"/>
      <c r="AGD40" s="899"/>
      <c r="AGE40" s="899"/>
      <c r="AGF40" s="899"/>
      <c r="AGG40" s="899"/>
      <c r="AGH40" s="899"/>
      <c r="AGI40" s="899"/>
      <c r="AGJ40" s="899"/>
      <c r="AGK40" s="899"/>
      <c r="AGL40" s="899"/>
      <c r="AGM40" s="899"/>
      <c r="AGN40" s="899"/>
      <c r="AGO40" s="899"/>
      <c r="AGP40" s="899"/>
      <c r="AGQ40" s="899"/>
      <c r="AGR40" s="899"/>
      <c r="AGS40" s="899"/>
      <c r="AGT40" s="899"/>
      <c r="AGU40" s="899"/>
      <c r="AGV40" s="899"/>
      <c r="AGW40" s="899"/>
      <c r="AGX40" s="899"/>
      <c r="AGY40" s="899"/>
      <c r="AGZ40" s="899"/>
      <c r="AHA40" s="899"/>
      <c r="AHB40" s="899"/>
      <c r="AHC40" s="899"/>
      <c r="AHD40" s="899"/>
      <c r="AHE40" s="899"/>
      <c r="AHF40" s="899"/>
      <c r="AHG40" s="899"/>
      <c r="AHH40" s="899"/>
      <c r="AHI40" s="899"/>
      <c r="AHJ40" s="899"/>
      <c r="AHK40" s="899"/>
      <c r="AHL40" s="899"/>
      <c r="AHM40" s="899"/>
      <c r="AHN40" s="899"/>
      <c r="AHO40" s="899"/>
      <c r="AHP40" s="899"/>
      <c r="AHQ40" s="899"/>
      <c r="AHR40" s="899"/>
      <c r="AHS40" s="899"/>
      <c r="AHT40" s="899"/>
      <c r="AHU40" s="899"/>
      <c r="AHV40" s="899"/>
      <c r="AHW40" s="899"/>
      <c r="AHX40" s="899"/>
      <c r="AHY40" s="899"/>
      <c r="AHZ40" s="899"/>
      <c r="AIA40" s="899"/>
      <c r="AIB40" s="899"/>
      <c r="AIC40" s="899"/>
      <c r="AID40" s="899"/>
      <c r="AIE40" s="899"/>
      <c r="AIF40" s="899"/>
      <c r="AIG40" s="899"/>
      <c r="AIH40" s="899"/>
      <c r="AII40" s="899"/>
      <c r="AIJ40" s="899"/>
      <c r="AIK40" s="899"/>
      <c r="AIL40" s="899"/>
      <c r="AIM40" s="899"/>
      <c r="AIN40" s="899"/>
      <c r="AIO40" s="899"/>
      <c r="AIP40" s="899"/>
      <c r="AIQ40" s="899"/>
      <c r="AIR40" s="899"/>
      <c r="AIS40" s="899"/>
      <c r="AIT40" s="899"/>
      <c r="AIU40" s="899"/>
      <c r="AIV40" s="899"/>
      <c r="AIW40" s="899"/>
      <c r="AIX40" s="899"/>
      <c r="AIY40" s="899"/>
      <c r="AIZ40" s="899"/>
      <c r="AJA40" s="899"/>
      <c r="AJB40" s="899"/>
      <c r="AJC40" s="899"/>
      <c r="AJD40" s="899"/>
      <c r="AJE40" s="899"/>
      <c r="AJF40" s="899"/>
      <c r="AJG40" s="899"/>
      <c r="AJH40" s="899"/>
      <c r="AJI40" s="899"/>
      <c r="AJJ40" s="899"/>
      <c r="AJK40" s="899"/>
      <c r="AJL40" s="899"/>
      <c r="AJM40" s="899"/>
      <c r="AJN40" s="899"/>
      <c r="AJO40" s="899"/>
      <c r="AJP40" s="899"/>
      <c r="AJQ40" s="899"/>
      <c r="AJR40" s="899"/>
      <c r="AJS40" s="899"/>
      <c r="AJT40" s="899"/>
      <c r="AJU40" s="899"/>
      <c r="AJV40" s="899"/>
      <c r="AJW40" s="899"/>
      <c r="AJX40" s="899"/>
      <c r="AJY40" s="899"/>
      <c r="AJZ40" s="899"/>
      <c r="AKA40" s="899"/>
      <c r="AKB40" s="899"/>
      <c r="AKC40" s="899"/>
      <c r="AKD40" s="899"/>
      <c r="AKE40" s="899"/>
      <c r="AKF40" s="899"/>
      <c r="AKG40" s="899"/>
      <c r="AKH40" s="899"/>
      <c r="AKI40" s="899"/>
      <c r="AKJ40" s="899"/>
      <c r="AKK40" s="899"/>
      <c r="AKL40" s="899"/>
      <c r="AKM40" s="899"/>
      <c r="AKN40" s="899"/>
      <c r="AKO40" s="899"/>
      <c r="AKP40" s="899"/>
      <c r="AKQ40" s="899"/>
      <c r="AKR40" s="899"/>
      <c r="AKS40" s="899"/>
      <c r="AKT40" s="899"/>
      <c r="AKU40" s="899"/>
      <c r="AKV40" s="899"/>
      <c r="AKW40" s="899"/>
      <c r="AKX40" s="899"/>
      <c r="AKY40" s="899"/>
      <c r="AKZ40" s="899"/>
      <c r="ALA40" s="899"/>
      <c r="ALB40" s="899"/>
      <c r="ALC40" s="899"/>
      <c r="ALD40" s="899"/>
      <c r="ALE40" s="899"/>
      <c r="ALF40" s="899"/>
      <c r="ALG40" s="899"/>
      <c r="ALH40" s="899"/>
      <c r="ALI40" s="899"/>
      <c r="ALJ40" s="899"/>
      <c r="ALK40" s="899"/>
      <c r="ALL40" s="899"/>
      <c r="ALM40" s="899"/>
      <c r="ALN40" s="899"/>
      <c r="ALO40" s="899"/>
      <c r="ALP40" s="899"/>
      <c r="ALQ40" s="899"/>
      <c r="ALR40" s="899"/>
      <c r="ALS40" s="899"/>
      <c r="ALT40" s="899"/>
      <c r="ALU40" s="899"/>
      <c r="ALV40" s="899"/>
      <c r="ALW40" s="899"/>
      <c r="ALX40" s="899"/>
      <c r="ALY40" s="899"/>
      <c r="ALZ40" s="899"/>
      <c r="AMA40" s="899"/>
      <c r="AMB40" s="899"/>
      <c r="AMC40" s="899"/>
      <c r="AMD40" s="899"/>
      <c r="AME40" s="899"/>
      <c r="AMF40" s="899"/>
      <c r="AMG40" s="899"/>
      <c r="AMH40" s="899"/>
      <c r="AMI40" s="899"/>
      <c r="AMJ40" s="899"/>
      <c r="AMK40" s="899"/>
      <c r="AML40" s="899"/>
      <c r="AMM40" s="899"/>
      <c r="AMN40" s="899"/>
      <c r="AMO40" s="899"/>
      <c r="AMP40" s="899"/>
      <c r="AMQ40" s="899"/>
      <c r="AMR40" s="899"/>
      <c r="AMS40" s="899"/>
      <c r="AMT40" s="899"/>
      <c r="AMU40" s="899"/>
      <c r="AMV40" s="899"/>
      <c r="AMW40" s="899"/>
      <c r="AMX40" s="899"/>
      <c r="AMY40" s="899"/>
      <c r="AMZ40" s="899"/>
      <c r="ANA40" s="899"/>
      <c r="ANB40" s="899"/>
      <c r="ANC40" s="899"/>
      <c r="AND40" s="899"/>
      <c r="ANE40" s="899"/>
      <c r="ANF40" s="899"/>
      <c r="ANG40" s="899"/>
      <c r="ANH40" s="899"/>
      <c r="ANI40" s="899"/>
      <c r="ANJ40" s="899"/>
      <c r="ANK40" s="899"/>
      <c r="ANL40" s="899"/>
      <c r="ANM40" s="899"/>
      <c r="ANN40" s="899"/>
      <c r="ANO40" s="899"/>
      <c r="ANP40" s="899"/>
      <c r="ANQ40" s="899"/>
      <c r="ANR40" s="899"/>
      <c r="ANS40" s="899"/>
      <c r="ANT40" s="899"/>
      <c r="ANU40" s="899"/>
      <c r="ANV40" s="899"/>
      <c r="ANW40" s="899"/>
      <c r="ANX40" s="899"/>
      <c r="ANY40" s="899"/>
      <c r="ANZ40" s="899"/>
      <c r="AOA40" s="899"/>
      <c r="AOB40" s="899"/>
      <c r="AOC40" s="899"/>
      <c r="AOD40" s="899"/>
      <c r="AOE40" s="899"/>
      <c r="AOF40" s="899"/>
      <c r="AOG40" s="899"/>
      <c r="AOH40" s="899"/>
      <c r="AOI40" s="899"/>
      <c r="AOJ40" s="899"/>
      <c r="AOK40" s="899"/>
      <c r="AOL40" s="899"/>
      <c r="AOM40" s="899"/>
      <c r="AON40" s="899"/>
      <c r="AOO40" s="899"/>
      <c r="AOP40" s="899"/>
      <c r="AOQ40" s="899"/>
      <c r="AOR40" s="899"/>
      <c r="AOS40" s="899"/>
      <c r="AOT40" s="899"/>
      <c r="AOU40" s="899"/>
      <c r="AOV40" s="899"/>
      <c r="AOW40" s="899"/>
      <c r="AOX40" s="899"/>
      <c r="AOY40" s="899"/>
      <c r="AOZ40" s="899"/>
      <c r="APA40" s="899"/>
      <c r="APB40" s="899"/>
      <c r="APC40" s="899"/>
      <c r="APD40" s="899"/>
      <c r="APE40" s="899"/>
      <c r="APF40" s="899"/>
      <c r="APG40" s="899"/>
      <c r="APH40" s="899"/>
      <c r="API40" s="899"/>
      <c r="APJ40" s="899"/>
      <c r="APK40" s="899"/>
      <c r="APL40" s="899"/>
      <c r="APM40" s="899"/>
      <c r="APN40" s="899"/>
      <c r="APO40" s="899"/>
      <c r="APP40" s="899"/>
      <c r="APQ40" s="899"/>
      <c r="APR40" s="899"/>
      <c r="APS40" s="899"/>
      <c r="APT40" s="899"/>
      <c r="APU40" s="899"/>
      <c r="APV40" s="899"/>
      <c r="APW40" s="899"/>
      <c r="APX40" s="899"/>
      <c r="APY40" s="899"/>
      <c r="APZ40" s="899"/>
      <c r="AQA40" s="899"/>
      <c r="AQB40" s="899"/>
      <c r="AQC40" s="899"/>
      <c r="AQD40" s="899"/>
      <c r="AQE40" s="899"/>
      <c r="AQF40" s="899"/>
      <c r="AQG40" s="899"/>
      <c r="AQH40" s="899"/>
      <c r="AQI40" s="899"/>
      <c r="AQJ40" s="899"/>
      <c r="AQK40" s="899"/>
      <c r="AQL40" s="899"/>
      <c r="AQM40" s="899"/>
      <c r="AQN40" s="899"/>
      <c r="AQO40" s="899"/>
      <c r="AQP40" s="899"/>
      <c r="AQQ40" s="899"/>
      <c r="AQR40" s="899"/>
      <c r="AQS40" s="899"/>
      <c r="AQT40" s="899"/>
      <c r="AQU40" s="899"/>
      <c r="AQV40" s="899"/>
      <c r="AQW40" s="899"/>
      <c r="AQX40" s="899"/>
      <c r="AQY40" s="899"/>
      <c r="AQZ40" s="899"/>
      <c r="ARA40" s="899"/>
      <c r="ARB40" s="899"/>
      <c r="ARC40" s="899"/>
      <c r="ARD40" s="899"/>
      <c r="ARE40" s="899"/>
      <c r="ARF40" s="899"/>
      <c r="ARG40" s="899"/>
      <c r="ARH40" s="899"/>
      <c r="ARI40" s="899"/>
      <c r="ARJ40" s="899"/>
      <c r="ARK40" s="899"/>
      <c r="ARL40" s="899"/>
      <c r="ARM40" s="899"/>
      <c r="ARN40" s="899"/>
      <c r="ARO40" s="899"/>
      <c r="ARP40" s="899"/>
      <c r="ARQ40" s="899"/>
      <c r="ARR40" s="899"/>
      <c r="ARS40" s="899"/>
      <c r="ART40" s="899"/>
      <c r="ARU40" s="899"/>
      <c r="ARV40" s="899"/>
      <c r="ARW40" s="899"/>
      <c r="ARX40" s="899"/>
      <c r="ARY40" s="899"/>
      <c r="ARZ40" s="899"/>
      <c r="ASA40" s="899"/>
      <c r="ASB40" s="899"/>
      <c r="ASC40" s="899"/>
      <c r="ASD40" s="899"/>
      <c r="ASE40" s="899"/>
      <c r="ASF40" s="899"/>
      <c r="ASG40" s="899"/>
      <c r="ASH40" s="899"/>
      <c r="ASI40" s="899"/>
      <c r="ASJ40" s="899"/>
      <c r="ASK40" s="899"/>
      <c r="ASL40" s="899"/>
      <c r="ASM40" s="899"/>
      <c r="ASN40" s="899"/>
      <c r="ASO40" s="899"/>
      <c r="ASP40" s="899"/>
      <c r="ASQ40" s="899"/>
      <c r="ASR40" s="899"/>
      <c r="ASS40" s="899"/>
      <c r="AST40" s="899"/>
      <c r="ASU40" s="899"/>
      <c r="ASV40" s="899"/>
      <c r="ASW40" s="899"/>
      <c r="ASX40" s="899"/>
      <c r="ASY40" s="899"/>
      <c r="ASZ40" s="899"/>
      <c r="ATA40" s="899"/>
      <c r="ATB40" s="899"/>
      <c r="ATC40" s="899"/>
      <c r="ATD40" s="899"/>
      <c r="ATE40" s="899"/>
      <c r="ATF40" s="899"/>
      <c r="ATG40" s="899"/>
      <c r="ATH40" s="899"/>
      <c r="ATI40" s="899"/>
      <c r="ATJ40" s="899"/>
      <c r="ATK40" s="899"/>
      <c r="ATL40" s="899"/>
      <c r="ATM40" s="899"/>
      <c r="ATN40" s="899"/>
      <c r="ATO40" s="899"/>
      <c r="ATP40" s="899"/>
      <c r="ATQ40" s="899"/>
      <c r="ATR40" s="899"/>
      <c r="ATS40" s="899"/>
      <c r="ATT40" s="899"/>
      <c r="ATU40" s="899"/>
      <c r="ATV40" s="899"/>
      <c r="ATW40" s="899"/>
      <c r="ATX40" s="899"/>
      <c r="ATY40" s="899"/>
      <c r="ATZ40" s="899"/>
      <c r="AUA40" s="899"/>
      <c r="AUB40" s="899"/>
      <c r="AUC40" s="899"/>
      <c r="AUD40" s="899"/>
      <c r="AUE40" s="899"/>
      <c r="AUF40" s="899"/>
      <c r="AUG40" s="899"/>
      <c r="AUH40" s="899"/>
      <c r="AUI40" s="899"/>
      <c r="AUJ40" s="899"/>
      <c r="AUK40" s="899"/>
      <c r="AUL40" s="899"/>
      <c r="AUM40" s="899"/>
      <c r="AUN40" s="899"/>
      <c r="AUO40" s="899"/>
      <c r="AUP40" s="899"/>
      <c r="AUQ40" s="899"/>
      <c r="AUR40" s="899"/>
      <c r="AUS40" s="899"/>
      <c r="AUT40" s="899"/>
      <c r="AUU40" s="899"/>
      <c r="AUV40" s="899"/>
      <c r="AUW40" s="899"/>
      <c r="AUX40" s="899"/>
      <c r="AUY40" s="899"/>
      <c r="AUZ40" s="899"/>
      <c r="AVA40" s="899"/>
      <c r="AVB40" s="899"/>
      <c r="AVC40" s="899"/>
      <c r="AVD40" s="899"/>
      <c r="AVE40" s="899"/>
      <c r="AVF40" s="899"/>
      <c r="AVG40" s="899"/>
      <c r="AVH40" s="899"/>
      <c r="AVI40" s="899"/>
      <c r="AVJ40" s="899"/>
      <c r="AVK40" s="899"/>
      <c r="AVL40" s="899"/>
      <c r="AVM40" s="899"/>
      <c r="AVN40" s="899"/>
      <c r="AVO40" s="899"/>
      <c r="AVP40" s="899"/>
      <c r="AVQ40" s="899"/>
      <c r="AVR40" s="899"/>
      <c r="AVS40" s="899"/>
      <c r="AVT40" s="899"/>
      <c r="AVU40" s="899"/>
      <c r="AVV40" s="899"/>
      <c r="AVW40" s="899"/>
      <c r="AVX40" s="899"/>
      <c r="AVY40" s="899"/>
      <c r="AVZ40" s="899"/>
      <c r="AWA40" s="899"/>
      <c r="AWB40" s="899"/>
      <c r="AWC40" s="899"/>
      <c r="AWD40" s="899"/>
      <c r="AWE40" s="899"/>
      <c r="AWF40" s="899"/>
      <c r="AWG40" s="899"/>
      <c r="AWH40" s="899"/>
      <c r="AWI40" s="899"/>
      <c r="AWJ40" s="899"/>
      <c r="AWK40" s="899"/>
      <c r="AWL40" s="899"/>
      <c r="AWM40" s="899"/>
      <c r="AWN40" s="899"/>
      <c r="AWO40" s="899"/>
      <c r="AWP40" s="899"/>
      <c r="AWQ40" s="899"/>
      <c r="AWR40" s="899"/>
      <c r="AWS40" s="899"/>
      <c r="AWT40" s="899"/>
      <c r="AWU40" s="899"/>
      <c r="AWV40" s="899"/>
      <c r="AWW40" s="899"/>
      <c r="AWX40" s="899"/>
      <c r="AWY40" s="899"/>
      <c r="AWZ40" s="899"/>
      <c r="AXA40" s="899"/>
      <c r="AXB40" s="899"/>
      <c r="AXC40" s="899"/>
      <c r="AXD40" s="899"/>
      <c r="AXE40" s="899"/>
      <c r="AXF40" s="899"/>
      <c r="AXG40" s="899"/>
      <c r="AXH40" s="899"/>
      <c r="AXI40" s="899"/>
      <c r="AXJ40" s="899"/>
      <c r="AXK40" s="899"/>
      <c r="AXL40" s="899"/>
      <c r="AXM40" s="899"/>
      <c r="AXN40" s="899"/>
      <c r="AXO40" s="899"/>
      <c r="AXP40" s="899"/>
      <c r="AXQ40" s="899"/>
      <c r="AXR40" s="899"/>
      <c r="AXS40" s="899"/>
      <c r="AXT40" s="899"/>
      <c r="AXU40" s="899"/>
      <c r="AXV40" s="899"/>
      <c r="AXW40" s="899"/>
      <c r="AXX40" s="899"/>
      <c r="AXY40" s="899"/>
      <c r="AXZ40" s="899"/>
      <c r="AYA40" s="899"/>
      <c r="AYB40" s="899"/>
      <c r="AYC40" s="899"/>
      <c r="AYD40" s="899"/>
      <c r="AYE40" s="899"/>
      <c r="AYF40" s="899"/>
      <c r="AYG40" s="899"/>
      <c r="AYH40" s="899"/>
      <c r="AYI40" s="899"/>
      <c r="AYJ40" s="899"/>
      <c r="AYK40" s="899"/>
      <c r="AYL40" s="899"/>
      <c r="AYM40" s="899"/>
      <c r="AYN40" s="899"/>
      <c r="AYO40" s="899"/>
      <c r="AYP40" s="899"/>
      <c r="AYQ40" s="899"/>
      <c r="AYR40" s="899"/>
      <c r="AYS40" s="899"/>
      <c r="AYT40" s="899"/>
      <c r="AYU40" s="899"/>
      <c r="AYV40" s="899"/>
      <c r="AYW40" s="899"/>
      <c r="AYX40" s="899"/>
      <c r="AYY40" s="899"/>
      <c r="AYZ40" s="899"/>
      <c r="AZA40" s="899"/>
      <c r="AZB40" s="899"/>
      <c r="AZC40" s="899"/>
      <c r="AZD40" s="899"/>
      <c r="AZE40" s="899"/>
      <c r="AZF40" s="899"/>
      <c r="AZG40" s="899"/>
      <c r="AZH40" s="899"/>
      <c r="AZI40" s="899"/>
      <c r="AZJ40" s="899"/>
      <c r="AZK40" s="899"/>
      <c r="AZL40" s="899"/>
      <c r="AZM40" s="899"/>
      <c r="AZN40" s="899"/>
      <c r="AZO40" s="899"/>
      <c r="AZP40" s="899"/>
      <c r="AZQ40" s="899"/>
      <c r="AZR40" s="899"/>
      <c r="AZS40" s="899"/>
      <c r="AZT40" s="899"/>
      <c r="AZU40" s="899"/>
      <c r="AZV40" s="899"/>
      <c r="AZW40" s="899"/>
      <c r="AZX40" s="899"/>
      <c r="AZY40" s="899"/>
      <c r="AZZ40" s="899"/>
      <c r="BAA40" s="899"/>
      <c r="BAB40" s="899"/>
      <c r="BAC40" s="899"/>
      <c r="BAD40" s="899"/>
      <c r="BAE40" s="899"/>
      <c r="BAF40" s="899"/>
      <c r="BAG40" s="899"/>
      <c r="BAH40" s="899"/>
      <c r="BAI40" s="899"/>
      <c r="BAJ40" s="899"/>
      <c r="BAK40" s="899"/>
      <c r="BAL40" s="899"/>
      <c r="BAM40" s="899"/>
      <c r="BAN40" s="899"/>
      <c r="BAO40" s="899"/>
      <c r="BAP40" s="899"/>
      <c r="BAQ40" s="899"/>
      <c r="BAR40" s="899"/>
      <c r="BAS40" s="899"/>
      <c r="BAT40" s="899"/>
      <c r="BAU40" s="899"/>
      <c r="BAV40" s="899"/>
      <c r="BAW40" s="899"/>
      <c r="BAX40" s="899"/>
      <c r="BAY40" s="899"/>
      <c r="BAZ40" s="899"/>
      <c r="BBA40" s="899"/>
      <c r="BBB40" s="899"/>
      <c r="BBC40" s="899"/>
      <c r="BBD40" s="899"/>
      <c r="BBE40" s="899"/>
      <c r="BBF40" s="899"/>
      <c r="BBG40" s="899"/>
      <c r="BBH40" s="899"/>
      <c r="BBI40" s="899"/>
      <c r="BBJ40" s="899"/>
      <c r="BBK40" s="899"/>
      <c r="BBL40" s="899"/>
      <c r="BBM40" s="899"/>
      <c r="BBN40" s="899"/>
      <c r="BBO40" s="899"/>
      <c r="BBP40" s="899"/>
      <c r="BBQ40" s="899"/>
      <c r="BBR40" s="899"/>
      <c r="BBS40" s="899"/>
      <c r="BBT40" s="899"/>
      <c r="BBU40" s="899"/>
      <c r="BBV40" s="899"/>
      <c r="BBW40" s="899"/>
      <c r="BBX40" s="899"/>
      <c r="BBY40" s="899"/>
      <c r="BBZ40" s="899"/>
      <c r="BCA40" s="899"/>
      <c r="BCB40" s="899"/>
      <c r="BCC40" s="899"/>
      <c r="BCD40" s="899"/>
      <c r="BCE40" s="899"/>
      <c r="BCF40" s="899"/>
      <c r="BCG40" s="899"/>
      <c r="BCH40" s="899"/>
      <c r="BCI40" s="899"/>
      <c r="BCJ40" s="899"/>
      <c r="BCK40" s="899"/>
      <c r="BCL40" s="899"/>
      <c r="BCM40" s="899"/>
      <c r="BCN40" s="899"/>
      <c r="BCO40" s="899"/>
      <c r="BCP40" s="899"/>
      <c r="BCQ40" s="899"/>
      <c r="BCR40" s="899"/>
      <c r="BCS40" s="899"/>
      <c r="BCT40" s="899"/>
      <c r="BCU40" s="899"/>
      <c r="BCV40" s="899"/>
      <c r="BCW40" s="899"/>
      <c r="BCX40" s="899"/>
      <c r="BCY40" s="899"/>
      <c r="BCZ40" s="899"/>
      <c r="BDA40" s="899"/>
      <c r="BDB40" s="899"/>
      <c r="BDC40" s="899"/>
      <c r="BDD40" s="899"/>
      <c r="BDE40" s="899"/>
      <c r="BDF40" s="899"/>
      <c r="BDG40" s="899"/>
      <c r="BDH40" s="899"/>
      <c r="BDI40" s="899"/>
      <c r="BDJ40" s="899"/>
      <c r="BDK40" s="899"/>
      <c r="BDL40" s="899"/>
      <c r="BDM40" s="899"/>
      <c r="BDN40" s="899"/>
      <c r="BDO40" s="899"/>
      <c r="BDP40" s="899"/>
      <c r="BDQ40" s="899"/>
      <c r="BDR40" s="899"/>
      <c r="BDS40" s="899"/>
      <c r="BDT40" s="899"/>
      <c r="BDU40" s="899"/>
      <c r="BDV40" s="899"/>
      <c r="BDW40" s="899"/>
      <c r="BDX40" s="899"/>
      <c r="BDY40" s="899"/>
      <c r="BDZ40" s="899"/>
      <c r="BEA40" s="899"/>
      <c r="BEB40" s="899"/>
      <c r="BEC40" s="899"/>
      <c r="BED40" s="899"/>
      <c r="BEE40" s="899"/>
      <c r="BEF40" s="899"/>
      <c r="BEG40" s="899"/>
      <c r="BEH40" s="899"/>
      <c r="BEI40" s="899"/>
      <c r="BEJ40" s="899"/>
      <c r="BEK40" s="899"/>
      <c r="BEL40" s="899"/>
      <c r="BEM40" s="899"/>
      <c r="BEN40" s="899"/>
      <c r="BEO40" s="899"/>
      <c r="BEP40" s="899"/>
      <c r="BEQ40" s="899"/>
      <c r="BER40" s="899"/>
      <c r="BES40" s="899"/>
      <c r="BET40" s="899"/>
      <c r="BEU40" s="899"/>
      <c r="BEV40" s="899"/>
      <c r="BEW40" s="899"/>
      <c r="BEX40" s="899"/>
      <c r="BEY40" s="899"/>
      <c r="BEZ40" s="899"/>
      <c r="BFA40" s="899"/>
      <c r="BFB40" s="899"/>
      <c r="BFC40" s="899"/>
      <c r="BFD40" s="899"/>
      <c r="BFE40" s="899"/>
      <c r="BFF40" s="899"/>
      <c r="BFG40" s="899"/>
      <c r="BFH40" s="899"/>
      <c r="BFI40" s="899"/>
      <c r="BFJ40" s="899"/>
      <c r="BFK40" s="899"/>
      <c r="BFL40" s="899"/>
      <c r="BFM40" s="899"/>
      <c r="BFN40" s="899"/>
      <c r="BFO40" s="899"/>
      <c r="BFP40" s="899"/>
      <c r="BFQ40" s="899"/>
      <c r="BFR40" s="899"/>
      <c r="BFS40" s="899"/>
      <c r="BFT40" s="899"/>
      <c r="BFU40" s="899"/>
      <c r="BFV40" s="899"/>
      <c r="BFW40" s="899"/>
      <c r="BFX40" s="899"/>
      <c r="BFY40" s="899"/>
      <c r="BFZ40" s="899"/>
      <c r="BGA40" s="899"/>
      <c r="BGB40" s="899"/>
      <c r="BGC40" s="899"/>
      <c r="BGD40" s="899"/>
      <c r="BGE40" s="899"/>
      <c r="BGF40" s="899"/>
      <c r="BGG40" s="899"/>
      <c r="BGH40" s="899"/>
      <c r="BGI40" s="899"/>
      <c r="BGJ40" s="899"/>
      <c r="BGK40" s="899"/>
      <c r="BGL40" s="899"/>
      <c r="BGM40" s="899"/>
      <c r="BGN40" s="899"/>
      <c r="BGO40" s="899"/>
      <c r="BGP40" s="899"/>
      <c r="BGQ40" s="899"/>
      <c r="BGR40" s="899"/>
      <c r="BGS40" s="899"/>
      <c r="BGT40" s="899"/>
      <c r="BGU40" s="899"/>
      <c r="BGV40" s="899"/>
      <c r="BGW40" s="899"/>
      <c r="BGX40" s="899"/>
      <c r="BGY40" s="899"/>
      <c r="BGZ40" s="899"/>
      <c r="BHA40" s="899"/>
      <c r="BHB40" s="899"/>
      <c r="BHC40" s="899"/>
      <c r="BHD40" s="899"/>
      <c r="BHE40" s="899"/>
      <c r="BHF40" s="899"/>
      <c r="BHG40" s="899"/>
      <c r="BHH40" s="899"/>
      <c r="BHI40" s="899"/>
      <c r="BHJ40" s="899"/>
      <c r="BHK40" s="899"/>
      <c r="BHL40" s="899"/>
      <c r="BHM40" s="899"/>
      <c r="BHN40" s="899"/>
      <c r="BHO40" s="899"/>
      <c r="BHP40" s="899"/>
      <c r="BHQ40" s="899"/>
      <c r="BHR40" s="899"/>
      <c r="BHS40" s="899"/>
      <c r="BHT40" s="899"/>
      <c r="BHU40" s="899"/>
      <c r="BHV40" s="899"/>
      <c r="BHW40" s="899"/>
      <c r="BHX40" s="899"/>
      <c r="BHY40" s="899"/>
      <c r="BHZ40" s="899"/>
      <c r="BIA40" s="899"/>
      <c r="BIB40" s="899"/>
      <c r="BIC40" s="899"/>
      <c r="BID40" s="899"/>
      <c r="BIE40" s="899"/>
      <c r="BIF40" s="899"/>
      <c r="BIG40" s="899"/>
      <c r="BIH40" s="899"/>
      <c r="BII40" s="899"/>
      <c r="BIJ40" s="899"/>
      <c r="BIK40" s="899"/>
      <c r="BIL40" s="899"/>
      <c r="BIM40" s="899"/>
      <c r="BIN40" s="899"/>
      <c r="BIO40" s="899"/>
      <c r="BIP40" s="899"/>
      <c r="BIQ40" s="899"/>
      <c r="BIR40" s="899"/>
      <c r="BIS40" s="899"/>
      <c r="BIT40" s="899"/>
      <c r="BIU40" s="899"/>
      <c r="BIV40" s="899"/>
      <c r="BIW40" s="899"/>
      <c r="BIX40" s="899"/>
      <c r="BIY40" s="899"/>
      <c r="BIZ40" s="899"/>
      <c r="BJA40" s="899"/>
      <c r="BJB40" s="899"/>
      <c r="BJC40" s="899"/>
      <c r="BJD40" s="899"/>
      <c r="BJE40" s="899"/>
      <c r="BJF40" s="899"/>
      <c r="BJG40" s="899"/>
      <c r="BJH40" s="899"/>
      <c r="BJI40" s="899"/>
      <c r="BJJ40" s="899"/>
      <c r="BJK40" s="899"/>
      <c r="BJL40" s="899"/>
      <c r="BJM40" s="899"/>
      <c r="BJN40" s="899"/>
      <c r="BJO40" s="899"/>
      <c r="BJP40" s="899"/>
      <c r="BJQ40" s="899"/>
      <c r="BJR40" s="899"/>
      <c r="BJS40" s="899"/>
      <c r="BJT40" s="899"/>
      <c r="BJU40" s="899"/>
      <c r="BJV40" s="899"/>
      <c r="BJW40" s="899"/>
      <c r="BJX40" s="899"/>
      <c r="BJY40" s="899"/>
      <c r="BJZ40" s="899"/>
      <c r="BKA40" s="899"/>
      <c r="BKB40" s="899"/>
      <c r="BKC40" s="899"/>
      <c r="BKD40" s="899"/>
      <c r="BKE40" s="899"/>
      <c r="BKF40" s="899"/>
      <c r="BKG40" s="899"/>
      <c r="BKH40" s="899"/>
      <c r="BKI40" s="899"/>
      <c r="BKJ40" s="899"/>
      <c r="BKK40" s="899"/>
      <c r="BKL40" s="899"/>
      <c r="BKM40" s="899"/>
      <c r="BKN40" s="899"/>
      <c r="BKO40" s="899"/>
      <c r="BKP40" s="899"/>
      <c r="BKQ40" s="899"/>
      <c r="BKR40" s="899"/>
      <c r="BKS40" s="899"/>
      <c r="BKT40" s="899"/>
      <c r="BKU40" s="899"/>
      <c r="BKV40" s="899"/>
      <c r="BKW40" s="899"/>
      <c r="BKX40" s="899"/>
      <c r="BKY40" s="899"/>
      <c r="BKZ40" s="899"/>
      <c r="BLA40" s="899"/>
      <c r="BLB40" s="899"/>
      <c r="BLC40" s="899"/>
      <c r="BLD40" s="899"/>
      <c r="BLE40" s="899"/>
      <c r="BLF40" s="899"/>
      <c r="BLG40" s="899"/>
      <c r="BLH40" s="899"/>
      <c r="BLI40" s="899"/>
      <c r="BLJ40" s="899"/>
      <c r="BLK40" s="899"/>
      <c r="BLL40" s="899"/>
      <c r="BLM40" s="899"/>
      <c r="BLN40" s="899"/>
      <c r="BLO40" s="899"/>
      <c r="BLP40" s="899"/>
      <c r="BLQ40" s="899"/>
      <c r="BLR40" s="899"/>
      <c r="BLS40" s="899"/>
      <c r="BLT40" s="899"/>
      <c r="BLU40" s="899"/>
      <c r="BLV40" s="899"/>
      <c r="BLW40" s="899"/>
      <c r="BLX40" s="899"/>
      <c r="BLY40" s="899"/>
      <c r="BLZ40" s="899"/>
      <c r="BMA40" s="899"/>
      <c r="BMB40" s="899"/>
      <c r="BMC40" s="899"/>
      <c r="BMD40" s="899"/>
      <c r="BME40" s="899"/>
      <c r="BMF40" s="899"/>
      <c r="BMG40" s="899"/>
      <c r="BMH40" s="899"/>
      <c r="BMI40" s="899"/>
      <c r="BMJ40" s="899"/>
      <c r="BMK40" s="899"/>
      <c r="BML40" s="899"/>
      <c r="BMM40" s="899"/>
      <c r="BMN40" s="899"/>
      <c r="BMO40" s="899"/>
      <c r="BMP40" s="899"/>
      <c r="BMQ40" s="899"/>
      <c r="BMR40" s="899"/>
      <c r="BMS40" s="899"/>
      <c r="BMT40" s="899"/>
      <c r="BMU40" s="899"/>
      <c r="BMV40" s="899"/>
      <c r="BMW40" s="899"/>
      <c r="BMX40" s="899"/>
      <c r="BMY40" s="899"/>
      <c r="BMZ40" s="899"/>
      <c r="BNA40" s="899"/>
      <c r="BNB40" s="899"/>
      <c r="BNC40" s="899"/>
      <c r="BND40" s="899"/>
      <c r="BNE40" s="899"/>
      <c r="BNF40" s="899"/>
      <c r="BNG40" s="899"/>
      <c r="BNH40" s="899"/>
      <c r="BNI40" s="899"/>
      <c r="BNJ40" s="899"/>
      <c r="BNK40" s="899"/>
      <c r="BNL40" s="899"/>
      <c r="BNM40" s="899"/>
      <c r="BNN40" s="899"/>
      <c r="BNO40" s="899"/>
      <c r="BNP40" s="899"/>
      <c r="BNQ40" s="899"/>
      <c r="BNR40" s="899"/>
      <c r="BNS40" s="899"/>
      <c r="BNT40" s="899"/>
      <c r="BNU40" s="899"/>
      <c r="BNV40" s="899"/>
      <c r="BNW40" s="899"/>
      <c r="BNX40" s="899"/>
      <c r="BNY40" s="899"/>
      <c r="BNZ40" s="899"/>
      <c r="BOA40" s="899"/>
      <c r="BOB40" s="899"/>
      <c r="BOC40" s="899"/>
      <c r="BOD40" s="899"/>
      <c r="BOE40" s="899"/>
      <c r="BOF40" s="899"/>
      <c r="BOG40" s="899"/>
      <c r="BOH40" s="899"/>
      <c r="BOI40" s="899"/>
      <c r="BOJ40" s="899"/>
      <c r="BOK40" s="899"/>
      <c r="BOL40" s="899"/>
      <c r="BOM40" s="899"/>
      <c r="BON40" s="899"/>
      <c r="BOO40" s="899"/>
      <c r="BOP40" s="899"/>
      <c r="BOQ40" s="899"/>
      <c r="BOR40" s="899"/>
      <c r="BOS40" s="899"/>
      <c r="BOT40" s="899"/>
      <c r="BOU40" s="899"/>
      <c r="BOV40" s="899"/>
      <c r="BOW40" s="899"/>
      <c r="BOX40" s="899"/>
      <c r="BOY40" s="899"/>
      <c r="BOZ40" s="899"/>
      <c r="BPA40" s="899"/>
      <c r="BPB40" s="899"/>
      <c r="BPC40" s="899"/>
      <c r="BPD40" s="899"/>
      <c r="BPE40" s="899"/>
      <c r="BPF40" s="899"/>
      <c r="BPG40" s="899"/>
      <c r="BPH40" s="899"/>
      <c r="BPI40" s="899"/>
      <c r="BPJ40" s="899"/>
      <c r="BPK40" s="899"/>
      <c r="BPL40" s="899"/>
      <c r="BPM40" s="899"/>
      <c r="BPN40" s="899"/>
      <c r="BPO40" s="899"/>
      <c r="BPP40" s="899"/>
      <c r="BPQ40" s="899"/>
      <c r="BPR40" s="899"/>
      <c r="BPS40" s="899"/>
      <c r="BPT40" s="899"/>
      <c r="BPU40" s="899"/>
      <c r="BPV40" s="899"/>
      <c r="BPW40" s="899"/>
      <c r="BPX40" s="899"/>
      <c r="BPY40" s="899"/>
      <c r="BPZ40" s="899"/>
      <c r="BQA40" s="899"/>
      <c r="BQB40" s="899"/>
      <c r="BQC40" s="899"/>
      <c r="BQD40" s="899"/>
      <c r="BQE40" s="899"/>
      <c r="BQF40" s="899"/>
      <c r="BQG40" s="899"/>
      <c r="BQH40" s="899"/>
      <c r="BQI40" s="899"/>
      <c r="BQJ40" s="899"/>
      <c r="BQK40" s="899"/>
      <c r="BQL40" s="899"/>
      <c r="BQM40" s="899"/>
      <c r="BQN40" s="899"/>
      <c r="BQO40" s="899"/>
      <c r="BQP40" s="899"/>
      <c r="BQQ40" s="899"/>
      <c r="BQR40" s="899"/>
      <c r="BQS40" s="899"/>
      <c r="BQT40" s="899"/>
      <c r="BQU40" s="899"/>
      <c r="BQV40" s="899"/>
      <c r="BQW40" s="899"/>
      <c r="BQX40" s="899"/>
      <c r="BQY40" s="899"/>
      <c r="BQZ40" s="899"/>
      <c r="BRA40" s="899"/>
      <c r="BRB40" s="899"/>
      <c r="BRC40" s="899"/>
      <c r="BRD40" s="899"/>
      <c r="BRE40" s="899"/>
      <c r="BRF40" s="899"/>
      <c r="BRG40" s="899"/>
      <c r="BRH40" s="899"/>
      <c r="BRI40" s="899"/>
      <c r="BRJ40" s="899"/>
      <c r="BRK40" s="899"/>
      <c r="BRL40" s="899"/>
      <c r="BRM40" s="899"/>
      <c r="BRN40" s="899"/>
      <c r="BRO40" s="899"/>
      <c r="BRP40" s="899"/>
      <c r="BRQ40" s="899"/>
      <c r="BRR40" s="899"/>
      <c r="BRS40" s="899"/>
      <c r="BRT40" s="899"/>
      <c r="BRU40" s="899"/>
      <c r="BRV40" s="899"/>
      <c r="BRW40" s="899"/>
      <c r="BRX40" s="899"/>
      <c r="BRY40" s="899"/>
      <c r="BRZ40" s="899"/>
      <c r="BSA40" s="899"/>
      <c r="BSB40" s="899"/>
      <c r="BSC40" s="899"/>
      <c r="BSD40" s="899"/>
      <c r="BSE40" s="899"/>
      <c r="BSF40" s="899"/>
      <c r="BSG40" s="899"/>
      <c r="BSH40" s="899"/>
      <c r="BSI40" s="899"/>
      <c r="BSJ40" s="899"/>
      <c r="BSK40" s="899"/>
      <c r="BSL40" s="899"/>
      <c r="BSM40" s="899"/>
      <c r="BSN40" s="899"/>
      <c r="BSO40" s="899"/>
      <c r="BSP40" s="899"/>
      <c r="BSQ40" s="899"/>
      <c r="BSR40" s="899"/>
      <c r="BSS40" s="899"/>
      <c r="BST40" s="899"/>
      <c r="BSU40" s="899"/>
      <c r="BSV40" s="899"/>
      <c r="BSW40" s="899"/>
      <c r="BSX40" s="899"/>
      <c r="BSY40" s="899"/>
      <c r="BSZ40" s="899"/>
      <c r="BTA40" s="899"/>
      <c r="BTB40" s="899"/>
      <c r="BTC40" s="899"/>
      <c r="BTD40" s="899"/>
      <c r="BTE40" s="899"/>
      <c r="BTF40" s="899"/>
      <c r="BTG40" s="899"/>
      <c r="BTH40" s="899"/>
      <c r="BTI40" s="899"/>
      <c r="BTJ40" s="899"/>
      <c r="BTK40" s="899"/>
      <c r="BTL40" s="899"/>
      <c r="BTM40" s="899"/>
      <c r="BTN40" s="899"/>
      <c r="BTO40" s="899"/>
      <c r="BTP40" s="899"/>
      <c r="BTQ40" s="899"/>
      <c r="BTR40" s="899"/>
      <c r="BTS40" s="899"/>
      <c r="BTT40" s="899"/>
      <c r="BTU40" s="899"/>
      <c r="BTV40" s="899"/>
      <c r="BTW40" s="899"/>
      <c r="BTX40" s="899"/>
      <c r="BTY40" s="899"/>
      <c r="BTZ40" s="899"/>
      <c r="BUA40" s="899"/>
      <c r="BUB40" s="899"/>
      <c r="BUC40" s="899"/>
      <c r="BUD40" s="899"/>
      <c r="BUE40" s="899"/>
      <c r="BUF40" s="899"/>
      <c r="BUG40" s="899"/>
      <c r="BUH40" s="899"/>
      <c r="BUI40" s="899"/>
      <c r="BUJ40" s="899"/>
      <c r="BUK40" s="899"/>
      <c r="BUL40" s="899"/>
      <c r="BUM40" s="899"/>
      <c r="BUN40" s="899"/>
      <c r="BUO40" s="899"/>
      <c r="BUP40" s="899"/>
      <c r="BUQ40" s="899"/>
      <c r="BUR40" s="899"/>
      <c r="BUS40" s="899"/>
      <c r="BUT40" s="899"/>
      <c r="BUU40" s="899"/>
      <c r="BUV40" s="899"/>
      <c r="BUW40" s="899"/>
      <c r="BUX40" s="899"/>
      <c r="BUY40" s="899"/>
      <c r="BUZ40" s="899"/>
      <c r="BVA40" s="899"/>
      <c r="BVB40" s="899"/>
      <c r="BVC40" s="899"/>
      <c r="BVD40" s="899"/>
      <c r="BVE40" s="899"/>
      <c r="BVF40" s="899"/>
      <c r="BVG40" s="899"/>
      <c r="BVH40" s="899"/>
      <c r="BVI40" s="899"/>
      <c r="BVJ40" s="899"/>
      <c r="BVK40" s="899"/>
      <c r="BVL40" s="899"/>
      <c r="BVM40" s="899"/>
      <c r="BVN40" s="899"/>
      <c r="BVO40" s="899"/>
      <c r="BVP40" s="899"/>
      <c r="BVQ40" s="899"/>
      <c r="BVR40" s="899"/>
      <c r="BVS40" s="899"/>
      <c r="BVT40" s="899"/>
      <c r="BVU40" s="899"/>
      <c r="BVV40" s="899"/>
      <c r="BVW40" s="899"/>
      <c r="BVX40" s="899"/>
      <c r="BVY40" s="899"/>
      <c r="BVZ40" s="899"/>
      <c r="BWA40" s="899"/>
      <c r="BWB40" s="899"/>
      <c r="BWC40" s="899"/>
      <c r="BWD40" s="899"/>
      <c r="BWE40" s="899"/>
      <c r="BWF40" s="899"/>
      <c r="BWG40" s="899"/>
      <c r="BWH40" s="899"/>
      <c r="BWI40" s="899"/>
      <c r="BWJ40" s="899"/>
      <c r="BWK40" s="899"/>
      <c r="BWL40" s="899"/>
      <c r="BWM40" s="899"/>
      <c r="BWN40" s="899"/>
      <c r="BWO40" s="899"/>
      <c r="BWP40" s="899"/>
      <c r="BWQ40" s="899"/>
      <c r="BWR40" s="899"/>
      <c r="BWS40" s="899"/>
      <c r="BWT40" s="899"/>
      <c r="BWU40" s="899"/>
      <c r="BWV40" s="899"/>
      <c r="BWW40" s="899"/>
      <c r="BWX40" s="899"/>
      <c r="BWY40" s="899"/>
      <c r="BWZ40" s="899"/>
      <c r="BXA40" s="899"/>
      <c r="BXB40" s="899"/>
      <c r="BXC40" s="899"/>
      <c r="BXD40" s="899"/>
      <c r="BXE40" s="899"/>
      <c r="BXF40" s="899"/>
      <c r="BXG40" s="899"/>
      <c r="BXH40" s="899"/>
      <c r="BXI40" s="899"/>
      <c r="BXJ40" s="899"/>
      <c r="BXK40" s="899"/>
      <c r="BXL40" s="899"/>
      <c r="BXM40" s="899"/>
      <c r="BXN40" s="899"/>
      <c r="BXO40" s="899"/>
      <c r="BXP40" s="899"/>
      <c r="BXQ40" s="899"/>
      <c r="BXR40" s="899"/>
      <c r="BXS40" s="899"/>
      <c r="BXT40" s="899"/>
      <c r="BXU40" s="899"/>
      <c r="BXV40" s="899"/>
      <c r="BXW40" s="899"/>
      <c r="BXX40" s="899"/>
      <c r="BXY40" s="899"/>
      <c r="BXZ40" s="899"/>
      <c r="BYA40" s="899"/>
      <c r="BYB40" s="899"/>
      <c r="BYC40" s="899"/>
      <c r="BYD40" s="899"/>
      <c r="BYE40" s="899"/>
      <c r="BYF40" s="899"/>
      <c r="BYG40" s="899"/>
      <c r="BYH40" s="899"/>
      <c r="BYI40" s="899"/>
      <c r="BYJ40" s="899"/>
      <c r="BYK40" s="899"/>
      <c r="BYL40" s="899"/>
      <c r="BYM40" s="899"/>
      <c r="BYN40" s="899"/>
      <c r="BYO40" s="899"/>
      <c r="BYP40" s="899"/>
      <c r="BYQ40" s="899"/>
      <c r="BYR40" s="899"/>
      <c r="BYS40" s="899"/>
      <c r="BYT40" s="899"/>
      <c r="BYU40" s="899"/>
      <c r="BYV40" s="899"/>
      <c r="BYW40" s="899"/>
      <c r="BYX40" s="899"/>
      <c r="BYY40" s="899"/>
      <c r="BYZ40" s="899"/>
      <c r="BZA40" s="899"/>
      <c r="BZB40" s="899"/>
      <c r="BZC40" s="899"/>
      <c r="BZD40" s="899"/>
      <c r="BZE40" s="899"/>
      <c r="BZF40" s="899"/>
      <c r="BZG40" s="899"/>
      <c r="BZH40" s="899"/>
      <c r="BZI40" s="899"/>
      <c r="BZJ40" s="899"/>
      <c r="BZK40" s="899"/>
      <c r="BZL40" s="899"/>
      <c r="BZM40" s="899"/>
      <c r="BZN40" s="899"/>
      <c r="BZO40" s="899"/>
      <c r="BZP40" s="899"/>
      <c r="BZQ40" s="899"/>
      <c r="BZR40" s="899"/>
      <c r="BZS40" s="899"/>
      <c r="BZT40" s="899"/>
      <c r="BZU40" s="899"/>
      <c r="BZV40" s="899"/>
      <c r="BZW40" s="899"/>
      <c r="BZX40" s="899"/>
      <c r="BZY40" s="899"/>
      <c r="BZZ40" s="899"/>
      <c r="CAA40" s="899"/>
      <c r="CAB40" s="899"/>
      <c r="CAC40" s="899"/>
      <c r="CAD40" s="899"/>
      <c r="CAE40" s="899"/>
      <c r="CAF40" s="899"/>
      <c r="CAG40" s="899"/>
      <c r="CAH40" s="899"/>
      <c r="CAI40" s="899"/>
      <c r="CAJ40" s="899"/>
      <c r="CAK40" s="899"/>
      <c r="CAL40" s="899"/>
      <c r="CAM40" s="899"/>
      <c r="CAN40" s="899"/>
      <c r="CAO40" s="899"/>
      <c r="CAP40" s="899"/>
      <c r="CAQ40" s="899"/>
      <c r="CAR40" s="899"/>
      <c r="CAS40" s="899"/>
      <c r="CAT40" s="899"/>
      <c r="CAU40" s="899"/>
      <c r="CAV40" s="899"/>
      <c r="CAW40" s="899"/>
      <c r="CAX40" s="899"/>
      <c r="CAY40" s="899"/>
      <c r="CAZ40" s="899"/>
      <c r="CBA40" s="899"/>
      <c r="CBB40" s="899"/>
      <c r="CBC40" s="899"/>
      <c r="CBD40" s="899"/>
      <c r="CBE40" s="899"/>
      <c r="CBF40" s="899"/>
      <c r="CBG40" s="899"/>
      <c r="CBH40" s="899"/>
      <c r="CBI40" s="899"/>
      <c r="CBJ40" s="899"/>
      <c r="CBK40" s="899"/>
      <c r="CBL40" s="899"/>
      <c r="CBM40" s="899"/>
      <c r="CBN40" s="899"/>
      <c r="CBO40" s="899"/>
      <c r="CBP40" s="899"/>
      <c r="CBQ40" s="899"/>
      <c r="CBR40" s="899"/>
      <c r="CBS40" s="899"/>
      <c r="CBT40" s="899"/>
      <c r="CBU40" s="899"/>
      <c r="CBV40" s="899"/>
      <c r="CBW40" s="899"/>
      <c r="CBX40" s="899"/>
      <c r="CBY40" s="899"/>
      <c r="CBZ40" s="899"/>
      <c r="CCA40" s="899"/>
      <c r="CCB40" s="899"/>
      <c r="CCC40" s="899"/>
      <c r="CCD40" s="899"/>
      <c r="CCE40" s="899"/>
      <c r="CCF40" s="899"/>
      <c r="CCG40" s="899"/>
      <c r="CCH40" s="899"/>
      <c r="CCI40" s="899"/>
      <c r="CCJ40" s="899"/>
      <c r="CCK40" s="899"/>
      <c r="CCL40" s="899"/>
      <c r="CCM40" s="899"/>
      <c r="CCN40" s="899"/>
      <c r="CCO40" s="899"/>
      <c r="CCP40" s="899"/>
      <c r="CCQ40" s="899"/>
      <c r="CCR40" s="899"/>
      <c r="CCS40" s="899"/>
      <c r="CCT40" s="899"/>
      <c r="CCU40" s="899"/>
      <c r="CCV40" s="899"/>
      <c r="CCW40" s="899"/>
      <c r="CCX40" s="899"/>
      <c r="CCY40" s="899"/>
      <c r="CCZ40" s="899"/>
      <c r="CDA40" s="899"/>
      <c r="CDB40" s="899"/>
      <c r="CDC40" s="899"/>
      <c r="CDD40" s="899"/>
      <c r="CDE40" s="899"/>
      <c r="CDF40" s="899"/>
      <c r="CDG40" s="899"/>
      <c r="CDH40" s="899"/>
      <c r="CDI40" s="899"/>
      <c r="CDJ40" s="899"/>
      <c r="CDK40" s="899"/>
      <c r="CDL40" s="899"/>
      <c r="CDM40" s="899"/>
      <c r="CDN40" s="899"/>
      <c r="CDO40" s="899"/>
      <c r="CDP40" s="899"/>
      <c r="CDQ40" s="899"/>
      <c r="CDR40" s="899"/>
      <c r="CDS40" s="899"/>
      <c r="CDT40" s="899"/>
      <c r="CDU40" s="899"/>
      <c r="CDV40" s="899"/>
      <c r="CDW40" s="899"/>
      <c r="CDX40" s="899"/>
      <c r="CDY40" s="899"/>
      <c r="CDZ40" s="899"/>
      <c r="CEA40" s="899"/>
      <c r="CEB40" s="899"/>
      <c r="CEC40" s="899"/>
      <c r="CED40" s="899"/>
      <c r="CEE40" s="899"/>
      <c r="CEF40" s="899"/>
      <c r="CEG40" s="899"/>
      <c r="CEH40" s="899"/>
      <c r="CEI40" s="899"/>
      <c r="CEJ40" s="899"/>
      <c r="CEK40" s="899"/>
      <c r="CEL40" s="899"/>
      <c r="CEM40" s="899"/>
      <c r="CEN40" s="899"/>
      <c r="CEO40" s="899"/>
      <c r="CEP40" s="899"/>
      <c r="CEQ40" s="899"/>
      <c r="CER40" s="899"/>
      <c r="CES40" s="899"/>
      <c r="CET40" s="899"/>
      <c r="CEU40" s="899"/>
      <c r="CEV40" s="899"/>
      <c r="CEW40" s="899"/>
      <c r="CEX40" s="899"/>
      <c r="CEY40" s="899"/>
      <c r="CEZ40" s="899"/>
      <c r="CFA40" s="899"/>
      <c r="CFB40" s="899"/>
      <c r="CFC40" s="899"/>
      <c r="CFD40" s="899"/>
      <c r="CFE40" s="899"/>
      <c r="CFF40" s="899"/>
      <c r="CFG40" s="899"/>
      <c r="CFH40" s="899"/>
      <c r="CFI40" s="899"/>
      <c r="CFJ40" s="899"/>
      <c r="CFK40" s="899"/>
      <c r="CFL40" s="899"/>
      <c r="CFM40" s="899"/>
      <c r="CFN40" s="899"/>
      <c r="CFO40" s="899"/>
      <c r="CFP40" s="899"/>
      <c r="CFQ40" s="899"/>
      <c r="CFR40" s="899"/>
      <c r="CFS40" s="899"/>
      <c r="CFT40" s="899"/>
      <c r="CFU40" s="899"/>
      <c r="CFV40" s="899"/>
      <c r="CFW40" s="899"/>
      <c r="CFX40" s="899"/>
      <c r="CFY40" s="899"/>
      <c r="CFZ40" s="899"/>
      <c r="CGA40" s="899"/>
      <c r="CGB40" s="899"/>
      <c r="CGC40" s="899"/>
      <c r="CGD40" s="899"/>
      <c r="CGE40" s="899"/>
      <c r="CGF40" s="899"/>
      <c r="CGG40" s="899"/>
      <c r="CGH40" s="899"/>
      <c r="CGI40" s="899"/>
      <c r="CGJ40" s="899"/>
      <c r="CGK40" s="899"/>
      <c r="CGL40" s="899"/>
      <c r="CGM40" s="899"/>
      <c r="CGN40" s="899"/>
      <c r="CGO40" s="899"/>
      <c r="CGP40" s="899"/>
      <c r="CGQ40" s="899"/>
      <c r="CGR40" s="899"/>
      <c r="CGS40" s="899"/>
      <c r="CGT40" s="899"/>
      <c r="CGU40" s="899"/>
      <c r="CGV40" s="899"/>
      <c r="CGW40" s="899"/>
      <c r="CGX40" s="899"/>
      <c r="CGY40" s="899"/>
      <c r="CGZ40" s="899"/>
      <c r="CHA40" s="899"/>
      <c r="CHB40" s="899"/>
      <c r="CHC40" s="899"/>
      <c r="CHD40" s="899"/>
      <c r="CHE40" s="899"/>
      <c r="CHF40" s="899"/>
      <c r="CHG40" s="899"/>
      <c r="CHH40" s="899"/>
      <c r="CHI40" s="899"/>
      <c r="CHJ40" s="899"/>
      <c r="CHK40" s="899"/>
      <c r="CHL40" s="899"/>
      <c r="CHM40" s="899"/>
      <c r="CHN40" s="899"/>
      <c r="CHO40" s="899"/>
      <c r="CHP40" s="899"/>
      <c r="CHQ40" s="899"/>
      <c r="CHR40" s="899"/>
      <c r="CHS40" s="899"/>
      <c r="CHT40" s="899"/>
      <c r="CHU40" s="899"/>
      <c r="CHV40" s="899"/>
      <c r="CHW40" s="899"/>
      <c r="CHX40" s="899"/>
      <c r="CHY40" s="899"/>
      <c r="CHZ40" s="899"/>
      <c r="CIA40" s="899"/>
      <c r="CIB40" s="899"/>
      <c r="CIC40" s="899"/>
      <c r="CID40" s="899"/>
      <c r="CIE40" s="899"/>
      <c r="CIF40" s="899"/>
      <c r="CIG40" s="899"/>
      <c r="CIH40" s="899"/>
      <c r="CII40" s="899"/>
      <c r="CIJ40" s="899"/>
      <c r="CIK40" s="899"/>
      <c r="CIL40" s="899"/>
      <c r="CIM40" s="899"/>
      <c r="CIN40" s="899"/>
      <c r="CIO40" s="899"/>
      <c r="CIP40" s="899"/>
      <c r="CIQ40" s="899"/>
      <c r="CIR40" s="899"/>
      <c r="CIS40" s="899"/>
      <c r="CIT40" s="899"/>
      <c r="CIU40" s="899"/>
      <c r="CIV40" s="899"/>
      <c r="CIW40" s="899"/>
      <c r="CIX40" s="899"/>
      <c r="CIY40" s="899"/>
      <c r="CIZ40" s="899"/>
      <c r="CJA40" s="899"/>
      <c r="CJB40" s="899"/>
      <c r="CJC40" s="899"/>
      <c r="CJD40" s="899"/>
      <c r="CJE40" s="899"/>
      <c r="CJF40" s="899"/>
      <c r="CJG40" s="899"/>
      <c r="CJH40" s="899"/>
      <c r="CJI40" s="899"/>
      <c r="CJJ40" s="899"/>
      <c r="CJK40" s="899"/>
      <c r="CJL40" s="899"/>
      <c r="CJM40" s="899"/>
      <c r="CJN40" s="899"/>
      <c r="CJO40" s="899"/>
      <c r="CJP40" s="899"/>
      <c r="CJQ40" s="899"/>
      <c r="CJR40" s="899"/>
      <c r="CJS40" s="899"/>
      <c r="CJT40" s="899"/>
      <c r="CJU40" s="899"/>
      <c r="CJV40" s="899"/>
      <c r="CJW40" s="899"/>
      <c r="CJX40" s="899"/>
      <c r="CJY40" s="899"/>
      <c r="CJZ40" s="899"/>
      <c r="CKA40" s="899"/>
      <c r="CKB40" s="899"/>
      <c r="CKC40" s="899"/>
      <c r="CKD40" s="899"/>
      <c r="CKE40" s="899"/>
      <c r="CKF40" s="899"/>
      <c r="CKG40" s="899"/>
      <c r="CKH40" s="899"/>
      <c r="CKI40" s="899"/>
      <c r="CKJ40" s="899"/>
      <c r="CKK40" s="899"/>
      <c r="CKL40" s="899"/>
      <c r="CKM40" s="899"/>
      <c r="CKN40" s="899"/>
      <c r="CKO40" s="899"/>
      <c r="CKP40" s="899"/>
      <c r="CKQ40" s="899"/>
      <c r="CKR40" s="899"/>
      <c r="CKS40" s="899"/>
      <c r="CKT40" s="899"/>
      <c r="CKU40" s="899"/>
      <c r="CKV40" s="899"/>
      <c r="CKW40" s="899"/>
      <c r="CKX40" s="899"/>
      <c r="CKY40" s="899"/>
      <c r="CKZ40" s="899"/>
      <c r="CLA40" s="899"/>
      <c r="CLB40" s="899"/>
      <c r="CLC40" s="899"/>
      <c r="CLD40" s="899"/>
      <c r="CLE40" s="899"/>
      <c r="CLF40" s="899"/>
      <c r="CLG40" s="899"/>
      <c r="CLH40" s="899"/>
      <c r="CLI40" s="899"/>
      <c r="CLJ40" s="899"/>
      <c r="CLK40" s="899"/>
      <c r="CLL40" s="899"/>
      <c r="CLM40" s="899"/>
      <c r="CLN40" s="899"/>
      <c r="CLO40" s="899"/>
      <c r="CLP40" s="899"/>
      <c r="CLQ40" s="899"/>
      <c r="CLR40" s="899"/>
      <c r="CLS40" s="899"/>
      <c r="CLT40" s="899"/>
      <c r="CLU40" s="899"/>
      <c r="CLV40" s="899"/>
      <c r="CLW40" s="899"/>
      <c r="CLX40" s="899"/>
      <c r="CLY40" s="899"/>
      <c r="CLZ40" s="899"/>
      <c r="CMA40" s="899"/>
      <c r="CMB40" s="899"/>
      <c r="CMC40" s="899"/>
      <c r="CMD40" s="899"/>
      <c r="CME40" s="899"/>
      <c r="CMF40" s="899"/>
      <c r="CMG40" s="899"/>
      <c r="CMH40" s="899"/>
      <c r="CMI40" s="899"/>
      <c r="CMJ40" s="899"/>
      <c r="CMK40" s="899"/>
      <c r="CML40" s="899"/>
      <c r="CMM40" s="899"/>
      <c r="CMN40" s="899"/>
      <c r="CMO40" s="899"/>
      <c r="CMP40" s="899"/>
      <c r="CMQ40" s="899"/>
      <c r="CMR40" s="899"/>
      <c r="CMS40" s="899"/>
      <c r="CMT40" s="899"/>
      <c r="CMU40" s="899"/>
      <c r="CMV40" s="899"/>
      <c r="CMW40" s="899"/>
      <c r="CMX40" s="899"/>
      <c r="CMY40" s="899"/>
      <c r="CMZ40" s="899"/>
      <c r="CNA40" s="899"/>
      <c r="CNB40" s="899"/>
      <c r="CNC40" s="899"/>
      <c r="CND40" s="899"/>
      <c r="CNE40" s="899"/>
      <c r="CNF40" s="899"/>
      <c r="CNG40" s="899"/>
      <c r="CNH40" s="899"/>
      <c r="CNI40" s="899"/>
      <c r="CNJ40" s="899"/>
      <c r="CNK40" s="899"/>
      <c r="CNL40" s="899"/>
      <c r="CNM40" s="899"/>
      <c r="CNN40" s="899"/>
      <c r="CNO40" s="899"/>
      <c r="CNP40" s="899"/>
      <c r="CNQ40" s="899"/>
      <c r="CNR40" s="899"/>
      <c r="CNS40" s="899"/>
      <c r="CNT40" s="899"/>
      <c r="CNU40" s="899"/>
      <c r="CNV40" s="899"/>
      <c r="CNW40" s="899"/>
      <c r="CNX40" s="899"/>
      <c r="CNY40" s="899"/>
      <c r="CNZ40" s="899"/>
      <c r="COA40" s="899"/>
      <c r="COB40" s="899"/>
      <c r="COC40" s="899"/>
      <c r="COD40" s="899"/>
      <c r="COE40" s="899"/>
      <c r="COF40" s="899"/>
      <c r="COG40" s="899"/>
      <c r="COH40" s="899"/>
      <c r="COI40" s="899"/>
      <c r="COJ40" s="899"/>
      <c r="COK40" s="899"/>
      <c r="COL40" s="899"/>
      <c r="COM40" s="899"/>
      <c r="CON40" s="899"/>
      <c r="COO40" s="899"/>
      <c r="COP40" s="899"/>
      <c r="COQ40" s="899"/>
      <c r="COR40" s="899"/>
      <c r="COS40" s="899"/>
      <c r="COT40" s="899"/>
      <c r="COU40" s="899"/>
      <c r="COV40" s="899"/>
      <c r="COW40" s="899"/>
      <c r="COX40" s="899"/>
      <c r="COY40" s="899"/>
      <c r="COZ40" s="899"/>
      <c r="CPA40" s="899"/>
      <c r="CPB40" s="899"/>
      <c r="CPC40" s="899"/>
      <c r="CPD40" s="899"/>
      <c r="CPE40" s="899"/>
      <c r="CPF40" s="899"/>
      <c r="CPG40" s="899"/>
      <c r="CPH40" s="899"/>
      <c r="CPI40" s="899"/>
      <c r="CPJ40" s="899"/>
      <c r="CPK40" s="899"/>
      <c r="CPL40" s="899"/>
      <c r="CPM40" s="899"/>
      <c r="CPN40" s="899"/>
      <c r="CPO40" s="899"/>
      <c r="CPP40" s="899"/>
      <c r="CPQ40" s="899"/>
      <c r="CPR40" s="899"/>
      <c r="CPS40" s="899"/>
      <c r="CPT40" s="899"/>
      <c r="CPU40" s="899"/>
      <c r="CPV40" s="899"/>
      <c r="CPW40" s="899"/>
      <c r="CPX40" s="899"/>
      <c r="CPY40" s="899"/>
      <c r="CPZ40" s="899"/>
      <c r="CQA40" s="899"/>
      <c r="CQB40" s="899"/>
      <c r="CQC40" s="899"/>
      <c r="CQD40" s="899"/>
      <c r="CQE40" s="899"/>
      <c r="CQF40" s="899"/>
      <c r="CQG40" s="899"/>
      <c r="CQH40" s="899"/>
      <c r="CQI40" s="899"/>
      <c r="CQJ40" s="899"/>
      <c r="CQK40" s="899"/>
      <c r="CQL40" s="899"/>
      <c r="CQM40" s="899"/>
      <c r="CQN40" s="899"/>
      <c r="CQO40" s="899"/>
      <c r="CQP40" s="899"/>
      <c r="CQQ40" s="899"/>
      <c r="CQR40" s="899"/>
      <c r="CQS40" s="899"/>
      <c r="CQT40" s="899"/>
      <c r="CQU40" s="899"/>
      <c r="CQV40" s="899"/>
      <c r="CQW40" s="899"/>
      <c r="CQX40" s="899"/>
      <c r="CQY40" s="899"/>
      <c r="CQZ40" s="899"/>
      <c r="CRA40" s="899"/>
      <c r="CRB40" s="899"/>
      <c r="CRC40" s="899"/>
      <c r="CRD40" s="899"/>
      <c r="CRE40" s="899"/>
      <c r="CRF40" s="899"/>
      <c r="CRG40" s="899"/>
      <c r="CRH40" s="899"/>
      <c r="CRI40" s="899"/>
      <c r="CRJ40" s="899"/>
      <c r="CRK40" s="899"/>
      <c r="CRL40" s="899"/>
      <c r="CRM40" s="899"/>
      <c r="CRN40" s="899"/>
      <c r="CRO40" s="899"/>
      <c r="CRP40" s="899"/>
      <c r="CRQ40" s="899"/>
      <c r="CRR40" s="899"/>
      <c r="CRS40" s="899"/>
      <c r="CRT40" s="899"/>
      <c r="CRU40" s="899"/>
      <c r="CRV40" s="899"/>
      <c r="CRW40" s="899"/>
      <c r="CRX40" s="899"/>
      <c r="CRY40" s="899"/>
      <c r="CRZ40" s="899"/>
      <c r="CSA40" s="899"/>
      <c r="CSB40" s="899"/>
      <c r="CSC40" s="899"/>
      <c r="CSD40" s="899"/>
      <c r="CSE40" s="899"/>
      <c r="CSF40" s="899"/>
      <c r="CSG40" s="899"/>
      <c r="CSH40" s="899"/>
      <c r="CSI40" s="899"/>
      <c r="CSJ40" s="899"/>
      <c r="CSK40" s="899"/>
      <c r="CSL40" s="899"/>
      <c r="CSM40" s="899"/>
      <c r="CSN40" s="899"/>
      <c r="CSO40" s="899"/>
      <c r="CSP40" s="899"/>
      <c r="CSQ40" s="899"/>
      <c r="CSR40" s="899"/>
      <c r="CSS40" s="899"/>
      <c r="CST40" s="899"/>
      <c r="CSU40" s="899"/>
      <c r="CSV40" s="899"/>
      <c r="CSW40" s="899"/>
      <c r="CSX40" s="899"/>
      <c r="CSY40" s="899"/>
      <c r="CSZ40" s="899"/>
      <c r="CTA40" s="899"/>
      <c r="CTB40" s="899"/>
      <c r="CTC40" s="899"/>
      <c r="CTD40" s="899"/>
      <c r="CTE40" s="899"/>
      <c r="CTF40" s="899"/>
      <c r="CTG40" s="899"/>
      <c r="CTH40" s="899"/>
      <c r="CTI40" s="899"/>
      <c r="CTJ40" s="899"/>
      <c r="CTK40" s="899"/>
      <c r="CTL40" s="899"/>
      <c r="CTM40" s="899"/>
      <c r="CTN40" s="899"/>
      <c r="CTO40" s="899"/>
      <c r="CTP40" s="899"/>
      <c r="CTQ40" s="899"/>
      <c r="CTR40" s="899"/>
      <c r="CTS40" s="899"/>
      <c r="CTT40" s="899"/>
      <c r="CTU40" s="899"/>
      <c r="CTV40" s="899"/>
      <c r="CTW40" s="899"/>
      <c r="CTX40" s="899"/>
      <c r="CTY40" s="899"/>
      <c r="CTZ40" s="899"/>
      <c r="CUA40" s="899"/>
      <c r="CUB40" s="899"/>
      <c r="CUC40" s="899"/>
      <c r="CUD40" s="899"/>
      <c r="CUE40" s="899"/>
      <c r="CUF40" s="899"/>
      <c r="CUG40" s="899"/>
      <c r="CUH40" s="899"/>
      <c r="CUI40" s="899"/>
      <c r="CUJ40" s="899"/>
      <c r="CUK40" s="899"/>
      <c r="CUL40" s="899"/>
      <c r="CUM40" s="899"/>
      <c r="CUN40" s="899"/>
      <c r="CUO40" s="899"/>
      <c r="CUP40" s="899"/>
      <c r="CUQ40" s="899"/>
      <c r="CUR40" s="899"/>
      <c r="CUS40" s="899"/>
      <c r="CUT40" s="899"/>
      <c r="CUU40" s="899"/>
      <c r="CUV40" s="899"/>
      <c r="CUW40" s="899"/>
      <c r="CUX40" s="899"/>
      <c r="CUY40" s="899"/>
      <c r="CUZ40" s="899"/>
      <c r="CVA40" s="899"/>
      <c r="CVB40" s="899"/>
      <c r="CVC40" s="899"/>
      <c r="CVD40" s="899"/>
      <c r="CVE40" s="899"/>
      <c r="CVF40" s="899"/>
      <c r="CVG40" s="899"/>
      <c r="CVH40" s="899"/>
      <c r="CVI40" s="899"/>
      <c r="CVJ40" s="899"/>
      <c r="CVK40" s="899"/>
      <c r="CVL40" s="899"/>
      <c r="CVM40" s="899"/>
      <c r="CVN40" s="899"/>
      <c r="CVO40" s="899"/>
      <c r="CVP40" s="899"/>
      <c r="CVQ40" s="899"/>
      <c r="CVR40" s="899"/>
      <c r="CVS40" s="899"/>
      <c r="CVT40" s="899"/>
      <c r="CVU40" s="899"/>
      <c r="CVV40" s="899"/>
      <c r="CVW40" s="899"/>
      <c r="CVX40" s="899"/>
      <c r="CVY40" s="899"/>
      <c r="CVZ40" s="899"/>
      <c r="CWA40" s="899"/>
      <c r="CWB40" s="899"/>
      <c r="CWC40" s="899"/>
      <c r="CWD40" s="899"/>
      <c r="CWE40" s="899"/>
      <c r="CWF40" s="899"/>
      <c r="CWG40" s="899"/>
      <c r="CWH40" s="899"/>
      <c r="CWI40" s="899"/>
      <c r="CWJ40" s="899"/>
      <c r="CWK40" s="899"/>
      <c r="CWL40" s="899"/>
      <c r="CWM40" s="899"/>
      <c r="CWN40" s="899"/>
      <c r="CWO40" s="899"/>
      <c r="CWP40" s="899"/>
      <c r="CWQ40" s="899"/>
      <c r="CWR40" s="899"/>
      <c r="CWS40" s="899"/>
      <c r="CWT40" s="899"/>
      <c r="CWU40" s="899"/>
      <c r="CWV40" s="899"/>
      <c r="CWW40" s="899"/>
      <c r="CWX40" s="899"/>
      <c r="CWY40" s="899"/>
      <c r="CWZ40" s="899"/>
      <c r="CXA40" s="899"/>
      <c r="CXB40" s="899"/>
      <c r="CXC40" s="899"/>
      <c r="CXD40" s="899"/>
      <c r="CXE40" s="899"/>
      <c r="CXF40" s="899"/>
      <c r="CXG40" s="899"/>
      <c r="CXH40" s="899"/>
      <c r="CXI40" s="899"/>
      <c r="CXJ40" s="899"/>
      <c r="CXK40" s="899"/>
      <c r="CXL40" s="899"/>
      <c r="CXM40" s="899"/>
      <c r="CXN40" s="899"/>
      <c r="CXO40" s="899"/>
      <c r="CXP40" s="899"/>
      <c r="CXQ40" s="899"/>
      <c r="CXR40" s="899"/>
      <c r="CXS40" s="899"/>
      <c r="CXT40" s="899"/>
      <c r="CXU40" s="899"/>
      <c r="CXV40" s="899"/>
      <c r="CXW40" s="899"/>
      <c r="CXX40" s="899"/>
      <c r="CXY40" s="899"/>
      <c r="CXZ40" s="899"/>
      <c r="CYA40" s="899"/>
      <c r="CYB40" s="899"/>
      <c r="CYC40" s="899"/>
      <c r="CYD40" s="899"/>
      <c r="CYE40" s="899"/>
      <c r="CYF40" s="899"/>
      <c r="CYG40" s="899"/>
      <c r="CYH40" s="899"/>
      <c r="CYI40" s="899"/>
      <c r="CYJ40" s="899"/>
      <c r="CYK40" s="899"/>
      <c r="CYL40" s="899"/>
      <c r="CYM40" s="899"/>
      <c r="CYN40" s="899"/>
      <c r="CYO40" s="899"/>
      <c r="CYP40" s="899"/>
      <c r="CYQ40" s="899"/>
      <c r="CYR40" s="899"/>
      <c r="CYS40" s="899"/>
      <c r="CYT40" s="899"/>
      <c r="CYU40" s="899"/>
      <c r="CYV40" s="899"/>
      <c r="CYW40" s="899"/>
      <c r="CYX40" s="899"/>
      <c r="CYY40" s="899"/>
      <c r="CYZ40" s="899"/>
      <c r="CZA40" s="899"/>
      <c r="CZB40" s="899"/>
      <c r="CZC40" s="899"/>
      <c r="CZD40" s="899"/>
      <c r="CZE40" s="899"/>
      <c r="CZF40" s="899"/>
      <c r="CZG40" s="899"/>
      <c r="CZH40" s="899"/>
      <c r="CZI40" s="899"/>
      <c r="CZJ40" s="899"/>
      <c r="CZK40" s="899"/>
      <c r="CZL40" s="899"/>
      <c r="CZM40" s="899"/>
      <c r="CZN40" s="899"/>
      <c r="CZO40" s="899"/>
      <c r="CZP40" s="899"/>
      <c r="CZQ40" s="899"/>
      <c r="CZR40" s="899"/>
      <c r="CZS40" s="899"/>
      <c r="CZT40" s="899"/>
      <c r="CZU40" s="899"/>
      <c r="CZV40" s="899"/>
      <c r="CZW40" s="899"/>
      <c r="CZX40" s="899"/>
      <c r="CZY40" s="899"/>
      <c r="CZZ40" s="899"/>
      <c r="DAA40" s="899"/>
      <c r="DAB40" s="899"/>
      <c r="DAC40" s="899"/>
      <c r="DAD40" s="899"/>
      <c r="DAE40" s="899"/>
      <c r="DAF40" s="899"/>
      <c r="DAG40" s="899"/>
      <c r="DAH40" s="899"/>
      <c r="DAI40" s="899"/>
      <c r="DAJ40" s="899"/>
      <c r="DAK40" s="899"/>
      <c r="DAL40" s="899"/>
      <c r="DAM40" s="899"/>
      <c r="DAN40" s="899"/>
      <c r="DAO40" s="899"/>
      <c r="DAP40" s="899"/>
      <c r="DAQ40" s="899"/>
      <c r="DAR40" s="899"/>
      <c r="DAS40" s="899"/>
      <c r="DAT40" s="899"/>
      <c r="DAU40" s="899"/>
      <c r="DAV40" s="899"/>
      <c r="DAW40" s="899"/>
      <c r="DAX40" s="899"/>
      <c r="DAY40" s="899"/>
      <c r="DAZ40" s="899"/>
      <c r="DBA40" s="899"/>
      <c r="DBB40" s="899"/>
      <c r="DBC40" s="899"/>
      <c r="DBD40" s="899"/>
      <c r="DBE40" s="899"/>
      <c r="DBF40" s="899"/>
      <c r="DBG40" s="899"/>
      <c r="DBH40" s="899"/>
      <c r="DBI40" s="899"/>
      <c r="DBJ40" s="899"/>
      <c r="DBK40" s="899"/>
      <c r="DBL40" s="899"/>
      <c r="DBM40" s="899"/>
      <c r="DBN40" s="899"/>
      <c r="DBO40" s="899"/>
      <c r="DBP40" s="899"/>
      <c r="DBQ40" s="899"/>
      <c r="DBR40" s="899"/>
      <c r="DBS40" s="899"/>
      <c r="DBT40" s="899"/>
      <c r="DBU40" s="899"/>
      <c r="DBV40" s="899"/>
      <c r="DBW40" s="899"/>
      <c r="DBX40" s="899"/>
      <c r="DBY40" s="899"/>
      <c r="DBZ40" s="899"/>
      <c r="DCA40" s="899"/>
      <c r="DCB40" s="899"/>
      <c r="DCC40" s="899"/>
      <c r="DCD40" s="899"/>
      <c r="DCE40" s="899"/>
      <c r="DCF40" s="899"/>
      <c r="DCG40" s="899"/>
      <c r="DCH40" s="899"/>
      <c r="DCI40" s="899"/>
      <c r="DCJ40" s="899"/>
      <c r="DCK40" s="899"/>
      <c r="DCL40" s="899"/>
      <c r="DCM40" s="899"/>
      <c r="DCN40" s="899"/>
      <c r="DCO40" s="899"/>
      <c r="DCP40" s="899"/>
      <c r="DCQ40" s="899"/>
      <c r="DCR40" s="899"/>
      <c r="DCS40" s="899"/>
      <c r="DCT40" s="899"/>
      <c r="DCU40" s="899"/>
      <c r="DCV40" s="899"/>
      <c r="DCW40" s="899"/>
      <c r="DCX40" s="899"/>
      <c r="DCY40" s="899"/>
      <c r="DCZ40" s="899"/>
      <c r="DDA40" s="899"/>
      <c r="DDB40" s="899"/>
      <c r="DDC40" s="899"/>
      <c r="DDD40" s="899"/>
      <c r="DDE40" s="899"/>
      <c r="DDF40" s="899"/>
      <c r="DDG40" s="899"/>
      <c r="DDH40" s="899"/>
      <c r="DDI40" s="899"/>
      <c r="DDJ40" s="899"/>
      <c r="DDK40" s="899"/>
      <c r="DDL40" s="899"/>
      <c r="DDM40" s="899"/>
      <c r="DDN40" s="899"/>
      <c r="DDO40" s="899"/>
      <c r="DDP40" s="899"/>
      <c r="DDQ40" s="899"/>
      <c r="DDR40" s="899"/>
      <c r="DDS40" s="899"/>
      <c r="DDT40" s="899"/>
      <c r="DDU40" s="899"/>
      <c r="DDV40" s="899"/>
      <c r="DDW40" s="899"/>
      <c r="DDX40" s="899"/>
      <c r="DDY40" s="899"/>
      <c r="DDZ40" s="899"/>
      <c r="DEA40" s="899"/>
      <c r="DEB40" s="899"/>
      <c r="DEC40" s="899"/>
      <c r="DED40" s="899"/>
      <c r="DEE40" s="899"/>
      <c r="DEF40" s="899"/>
      <c r="DEG40" s="899"/>
      <c r="DEH40" s="899"/>
      <c r="DEI40" s="899"/>
      <c r="DEJ40" s="899"/>
      <c r="DEK40" s="899"/>
      <c r="DEL40" s="899"/>
      <c r="DEM40" s="899"/>
      <c r="DEN40" s="899"/>
      <c r="DEO40" s="899"/>
      <c r="DEP40" s="899"/>
      <c r="DEQ40" s="899"/>
      <c r="DER40" s="899"/>
      <c r="DES40" s="899"/>
      <c r="DET40" s="899"/>
      <c r="DEU40" s="899"/>
      <c r="DEV40" s="899"/>
      <c r="DEW40" s="899"/>
      <c r="DEX40" s="899"/>
      <c r="DEY40" s="899"/>
      <c r="DEZ40" s="899"/>
      <c r="DFA40" s="899"/>
      <c r="DFB40" s="899"/>
      <c r="DFC40" s="899"/>
      <c r="DFD40" s="899"/>
      <c r="DFE40" s="899"/>
      <c r="DFF40" s="899"/>
      <c r="DFG40" s="899"/>
      <c r="DFH40" s="899"/>
      <c r="DFI40" s="899"/>
      <c r="DFJ40" s="899"/>
      <c r="DFK40" s="899"/>
      <c r="DFL40" s="899"/>
      <c r="DFM40" s="899"/>
      <c r="DFN40" s="899"/>
      <c r="DFO40" s="899"/>
      <c r="DFP40" s="899"/>
      <c r="DFQ40" s="899"/>
      <c r="DFR40" s="899"/>
      <c r="DFS40" s="899"/>
      <c r="DFT40" s="899"/>
      <c r="DFU40" s="899"/>
      <c r="DFV40" s="899"/>
      <c r="DFW40" s="899"/>
      <c r="DFX40" s="899"/>
      <c r="DFY40" s="899"/>
      <c r="DFZ40" s="899"/>
      <c r="DGA40" s="899"/>
      <c r="DGB40" s="899"/>
      <c r="DGC40" s="899"/>
      <c r="DGD40" s="899"/>
      <c r="DGE40" s="899"/>
      <c r="DGF40" s="899"/>
      <c r="DGG40" s="899"/>
      <c r="DGH40" s="899"/>
      <c r="DGI40" s="899"/>
      <c r="DGJ40" s="899"/>
      <c r="DGK40" s="899"/>
      <c r="DGL40" s="899"/>
      <c r="DGM40" s="899"/>
      <c r="DGN40" s="899"/>
      <c r="DGO40" s="899"/>
      <c r="DGP40" s="899"/>
      <c r="DGQ40" s="899"/>
      <c r="DGR40" s="899"/>
      <c r="DGS40" s="899"/>
      <c r="DGT40" s="899"/>
      <c r="DGU40" s="899"/>
      <c r="DGV40" s="899"/>
      <c r="DGW40" s="899"/>
      <c r="DGX40" s="899"/>
      <c r="DGY40" s="899"/>
      <c r="DGZ40" s="899"/>
      <c r="DHA40" s="899"/>
      <c r="DHB40" s="899"/>
      <c r="DHC40" s="899"/>
      <c r="DHD40" s="899"/>
      <c r="DHE40" s="899"/>
      <c r="DHF40" s="899"/>
      <c r="DHG40" s="899"/>
      <c r="DHH40" s="899"/>
      <c r="DHI40" s="899"/>
      <c r="DHJ40" s="899"/>
      <c r="DHK40" s="899"/>
      <c r="DHL40" s="899"/>
      <c r="DHM40" s="899"/>
      <c r="DHN40" s="899"/>
      <c r="DHO40" s="899"/>
      <c r="DHP40" s="899"/>
      <c r="DHQ40" s="899"/>
      <c r="DHR40" s="899"/>
      <c r="DHS40" s="899"/>
      <c r="DHT40" s="899"/>
      <c r="DHU40" s="899"/>
      <c r="DHV40" s="899"/>
      <c r="DHW40" s="899"/>
      <c r="DHX40" s="899"/>
      <c r="DHY40" s="899"/>
      <c r="DHZ40" s="899"/>
      <c r="DIA40" s="899"/>
      <c r="DIB40" s="899"/>
      <c r="DIC40" s="899"/>
      <c r="DID40" s="899"/>
      <c r="DIE40" s="899"/>
      <c r="DIF40" s="899"/>
      <c r="DIG40" s="899"/>
      <c r="DIH40" s="899"/>
      <c r="DII40" s="899"/>
      <c r="DIJ40" s="899"/>
      <c r="DIK40" s="899"/>
      <c r="DIL40" s="899"/>
      <c r="DIM40" s="899"/>
      <c r="DIN40" s="899"/>
      <c r="DIO40" s="899"/>
      <c r="DIP40" s="899"/>
      <c r="DIQ40" s="899"/>
      <c r="DIR40" s="899"/>
      <c r="DIS40" s="899"/>
      <c r="DIT40" s="899"/>
      <c r="DIU40" s="899"/>
      <c r="DIV40" s="899"/>
      <c r="DIW40" s="899"/>
      <c r="DIX40" s="899"/>
      <c r="DIY40" s="899"/>
      <c r="DIZ40" s="899"/>
      <c r="DJA40" s="899"/>
      <c r="DJB40" s="899"/>
      <c r="DJC40" s="899"/>
      <c r="DJD40" s="899"/>
      <c r="DJE40" s="899"/>
      <c r="DJF40" s="899"/>
      <c r="DJG40" s="899"/>
      <c r="DJH40" s="899"/>
      <c r="DJI40" s="899"/>
      <c r="DJJ40" s="899"/>
      <c r="DJK40" s="899"/>
      <c r="DJL40" s="899"/>
      <c r="DJM40" s="899"/>
      <c r="DJN40" s="899"/>
      <c r="DJO40" s="899"/>
      <c r="DJP40" s="899"/>
      <c r="DJQ40" s="899"/>
      <c r="DJR40" s="899"/>
      <c r="DJS40" s="899"/>
      <c r="DJT40" s="899"/>
      <c r="DJU40" s="899"/>
      <c r="DJV40" s="899"/>
      <c r="DJW40" s="899"/>
      <c r="DJX40" s="899"/>
      <c r="DJY40" s="899"/>
      <c r="DJZ40" s="899"/>
      <c r="DKA40" s="899"/>
      <c r="DKB40" s="899"/>
      <c r="DKC40" s="899"/>
      <c r="DKD40" s="899"/>
      <c r="DKE40" s="899"/>
      <c r="DKF40" s="899"/>
      <c r="DKG40" s="899"/>
      <c r="DKH40" s="899"/>
      <c r="DKI40" s="899"/>
      <c r="DKJ40" s="899"/>
      <c r="DKK40" s="899"/>
      <c r="DKL40" s="899"/>
      <c r="DKM40" s="899"/>
      <c r="DKN40" s="899"/>
      <c r="DKO40" s="899"/>
      <c r="DKP40" s="899"/>
      <c r="DKQ40" s="899"/>
      <c r="DKR40" s="899"/>
      <c r="DKS40" s="899"/>
      <c r="DKT40" s="899"/>
      <c r="DKU40" s="899"/>
      <c r="DKV40" s="899"/>
      <c r="DKW40" s="899"/>
      <c r="DKX40" s="899"/>
      <c r="DKY40" s="899"/>
      <c r="DKZ40" s="899"/>
      <c r="DLA40" s="899"/>
      <c r="DLB40" s="899"/>
      <c r="DLC40" s="899"/>
      <c r="DLD40" s="899"/>
      <c r="DLE40" s="899"/>
      <c r="DLF40" s="899"/>
      <c r="DLG40" s="899"/>
      <c r="DLH40" s="899"/>
      <c r="DLI40" s="899"/>
      <c r="DLJ40" s="899"/>
      <c r="DLK40" s="899"/>
      <c r="DLL40" s="899"/>
      <c r="DLM40" s="899"/>
      <c r="DLN40" s="899"/>
      <c r="DLO40" s="899"/>
      <c r="DLP40" s="899"/>
      <c r="DLQ40" s="899"/>
      <c r="DLR40" s="899"/>
      <c r="DLS40" s="899"/>
      <c r="DLT40" s="899"/>
      <c r="DLU40" s="899"/>
      <c r="DLV40" s="899"/>
      <c r="DLW40" s="899"/>
      <c r="DLX40" s="899"/>
      <c r="DLY40" s="899"/>
      <c r="DLZ40" s="899"/>
      <c r="DMA40" s="899"/>
      <c r="DMB40" s="899"/>
      <c r="DMC40" s="899"/>
      <c r="DMD40" s="899"/>
      <c r="DME40" s="899"/>
      <c r="DMF40" s="899"/>
      <c r="DMG40" s="899"/>
      <c r="DMH40" s="899"/>
      <c r="DMI40" s="899"/>
      <c r="DMJ40" s="899"/>
      <c r="DMK40" s="899"/>
      <c r="DML40" s="899"/>
      <c r="DMM40" s="899"/>
      <c r="DMN40" s="899"/>
      <c r="DMO40" s="899"/>
      <c r="DMP40" s="899"/>
      <c r="DMQ40" s="899"/>
      <c r="DMR40" s="899"/>
      <c r="DMS40" s="899"/>
      <c r="DMT40" s="899"/>
      <c r="DMU40" s="899"/>
      <c r="DMV40" s="899"/>
      <c r="DMW40" s="899"/>
      <c r="DMX40" s="899"/>
      <c r="DMY40" s="899"/>
      <c r="DMZ40" s="899"/>
      <c r="DNA40" s="899"/>
      <c r="DNB40" s="899"/>
      <c r="DNC40" s="899"/>
      <c r="DND40" s="899"/>
      <c r="DNE40" s="899"/>
      <c r="DNF40" s="899"/>
      <c r="DNG40" s="899"/>
      <c r="DNH40" s="899"/>
      <c r="DNI40" s="899"/>
      <c r="DNJ40" s="899"/>
      <c r="DNK40" s="899"/>
      <c r="DNL40" s="899"/>
      <c r="DNM40" s="899"/>
      <c r="DNN40" s="899"/>
      <c r="DNO40" s="899"/>
      <c r="DNP40" s="899"/>
      <c r="DNQ40" s="899"/>
      <c r="DNR40" s="899"/>
      <c r="DNS40" s="899"/>
      <c r="DNT40" s="899"/>
      <c r="DNU40" s="899"/>
      <c r="DNV40" s="899"/>
      <c r="DNW40" s="899"/>
      <c r="DNX40" s="899"/>
      <c r="DNY40" s="899"/>
      <c r="DNZ40" s="899"/>
      <c r="DOA40" s="899"/>
      <c r="DOB40" s="899"/>
      <c r="DOC40" s="899"/>
      <c r="DOD40" s="899"/>
      <c r="DOE40" s="899"/>
      <c r="DOF40" s="899"/>
      <c r="DOG40" s="899"/>
      <c r="DOH40" s="899"/>
      <c r="DOI40" s="899"/>
      <c r="DOJ40" s="899"/>
      <c r="DOK40" s="899"/>
      <c r="DOL40" s="899"/>
      <c r="DOM40" s="899"/>
      <c r="DON40" s="899"/>
      <c r="DOO40" s="899"/>
      <c r="DOP40" s="899"/>
      <c r="DOQ40" s="899"/>
      <c r="DOR40" s="899"/>
      <c r="DOS40" s="899"/>
      <c r="DOT40" s="899"/>
      <c r="DOU40" s="899"/>
      <c r="DOV40" s="899"/>
      <c r="DOW40" s="899"/>
      <c r="DOX40" s="899"/>
      <c r="DOY40" s="899"/>
      <c r="DOZ40" s="899"/>
      <c r="DPA40" s="899"/>
      <c r="DPB40" s="899"/>
      <c r="DPC40" s="899"/>
      <c r="DPD40" s="899"/>
      <c r="DPE40" s="899"/>
      <c r="DPF40" s="899"/>
      <c r="DPG40" s="899"/>
      <c r="DPH40" s="899"/>
      <c r="DPI40" s="899"/>
      <c r="DPJ40" s="899"/>
      <c r="DPK40" s="899"/>
      <c r="DPL40" s="899"/>
      <c r="DPM40" s="899"/>
      <c r="DPN40" s="899"/>
      <c r="DPO40" s="899"/>
      <c r="DPP40" s="899"/>
      <c r="DPQ40" s="899"/>
      <c r="DPR40" s="899"/>
      <c r="DPS40" s="899"/>
      <c r="DPT40" s="899"/>
      <c r="DPU40" s="899"/>
      <c r="DPV40" s="899"/>
      <c r="DPW40" s="899"/>
      <c r="DPX40" s="899"/>
      <c r="DPY40" s="899"/>
      <c r="DPZ40" s="899"/>
      <c r="DQA40" s="899"/>
      <c r="DQB40" s="899"/>
      <c r="DQC40" s="899"/>
      <c r="DQD40" s="899"/>
      <c r="DQE40" s="899"/>
      <c r="DQF40" s="899"/>
      <c r="DQG40" s="899"/>
      <c r="DQH40" s="899"/>
      <c r="DQI40" s="899"/>
      <c r="DQJ40" s="899"/>
      <c r="DQK40" s="899"/>
      <c r="DQL40" s="899"/>
      <c r="DQM40" s="899"/>
      <c r="DQN40" s="899"/>
      <c r="DQO40" s="899"/>
      <c r="DQP40" s="899"/>
      <c r="DQQ40" s="899"/>
      <c r="DQR40" s="899"/>
      <c r="DQS40" s="899"/>
      <c r="DQT40" s="899"/>
      <c r="DQU40" s="899"/>
      <c r="DQV40" s="899"/>
      <c r="DQW40" s="899"/>
      <c r="DQX40" s="899"/>
      <c r="DQY40" s="899"/>
      <c r="DQZ40" s="899"/>
      <c r="DRA40" s="899"/>
      <c r="DRB40" s="899"/>
      <c r="DRC40" s="899"/>
      <c r="DRD40" s="899"/>
      <c r="DRE40" s="899"/>
      <c r="DRF40" s="899"/>
      <c r="DRG40" s="899"/>
      <c r="DRH40" s="899"/>
      <c r="DRI40" s="899"/>
      <c r="DRJ40" s="899"/>
      <c r="DRK40" s="899"/>
      <c r="DRL40" s="899"/>
      <c r="DRM40" s="899"/>
      <c r="DRN40" s="899"/>
      <c r="DRO40" s="899"/>
      <c r="DRP40" s="899"/>
      <c r="DRQ40" s="899"/>
      <c r="DRR40" s="899"/>
      <c r="DRS40" s="899"/>
      <c r="DRT40" s="899"/>
      <c r="DRU40" s="899"/>
      <c r="DRV40" s="899"/>
      <c r="DRW40" s="899"/>
      <c r="DRX40" s="899"/>
      <c r="DRY40" s="899"/>
      <c r="DRZ40" s="899"/>
      <c r="DSA40" s="899"/>
      <c r="DSB40" s="899"/>
      <c r="DSC40" s="899"/>
      <c r="DSD40" s="899"/>
      <c r="DSE40" s="899"/>
      <c r="DSF40" s="899"/>
      <c r="DSG40" s="899"/>
      <c r="DSH40" s="899"/>
      <c r="DSI40" s="899"/>
      <c r="DSJ40" s="899"/>
      <c r="DSK40" s="899"/>
      <c r="DSL40" s="899"/>
      <c r="DSM40" s="899"/>
      <c r="DSN40" s="899"/>
      <c r="DSO40" s="899"/>
      <c r="DSP40" s="899"/>
      <c r="DSQ40" s="899"/>
      <c r="DSR40" s="899"/>
      <c r="DSS40" s="899"/>
      <c r="DST40" s="899"/>
      <c r="DSU40" s="899"/>
      <c r="DSV40" s="899"/>
      <c r="DSW40" s="899"/>
      <c r="DSX40" s="899"/>
      <c r="DSY40" s="899"/>
      <c r="DSZ40" s="899"/>
      <c r="DTA40" s="899"/>
      <c r="DTB40" s="899"/>
      <c r="DTC40" s="899"/>
      <c r="DTD40" s="899"/>
      <c r="DTE40" s="899"/>
      <c r="DTF40" s="899"/>
      <c r="DTG40" s="899"/>
      <c r="DTH40" s="899"/>
      <c r="DTI40" s="899"/>
      <c r="DTJ40" s="899"/>
      <c r="DTK40" s="899"/>
      <c r="DTL40" s="899"/>
      <c r="DTM40" s="899"/>
      <c r="DTN40" s="899"/>
      <c r="DTO40" s="899"/>
      <c r="DTP40" s="899"/>
      <c r="DTQ40" s="899"/>
      <c r="DTR40" s="899"/>
      <c r="DTS40" s="899"/>
      <c r="DTT40" s="899"/>
      <c r="DTU40" s="899"/>
      <c r="DTV40" s="899"/>
      <c r="DTW40" s="899"/>
      <c r="DTX40" s="899"/>
      <c r="DTY40" s="899"/>
      <c r="DTZ40" s="899"/>
      <c r="DUA40" s="899"/>
      <c r="DUB40" s="899"/>
      <c r="DUC40" s="899"/>
      <c r="DUD40" s="899"/>
      <c r="DUE40" s="899"/>
      <c r="DUF40" s="899"/>
      <c r="DUG40" s="899"/>
      <c r="DUH40" s="899"/>
      <c r="DUI40" s="899"/>
      <c r="DUJ40" s="899"/>
      <c r="DUK40" s="899"/>
      <c r="DUL40" s="899"/>
      <c r="DUM40" s="899"/>
      <c r="DUN40" s="899"/>
      <c r="DUO40" s="899"/>
      <c r="DUP40" s="899"/>
      <c r="DUQ40" s="899"/>
      <c r="DUR40" s="899"/>
      <c r="DUS40" s="899"/>
      <c r="DUT40" s="899"/>
      <c r="DUU40" s="899"/>
      <c r="DUV40" s="899"/>
      <c r="DUW40" s="899"/>
      <c r="DUX40" s="899"/>
      <c r="DUY40" s="899"/>
      <c r="DUZ40" s="899"/>
      <c r="DVA40" s="899"/>
      <c r="DVB40" s="899"/>
      <c r="DVC40" s="899"/>
      <c r="DVD40" s="899"/>
      <c r="DVE40" s="899"/>
      <c r="DVF40" s="899"/>
      <c r="DVG40" s="899"/>
      <c r="DVH40" s="899"/>
      <c r="DVI40" s="899"/>
      <c r="DVJ40" s="899"/>
      <c r="DVK40" s="899"/>
      <c r="DVL40" s="899"/>
      <c r="DVM40" s="899"/>
      <c r="DVN40" s="899"/>
      <c r="DVO40" s="899"/>
      <c r="DVP40" s="899"/>
      <c r="DVQ40" s="899"/>
      <c r="DVR40" s="899"/>
      <c r="DVS40" s="899"/>
      <c r="DVT40" s="899"/>
      <c r="DVU40" s="899"/>
      <c r="DVV40" s="899"/>
      <c r="DVW40" s="899"/>
      <c r="DVX40" s="899"/>
      <c r="DVY40" s="899"/>
      <c r="DVZ40" s="899"/>
      <c r="DWA40" s="899"/>
      <c r="DWB40" s="899"/>
      <c r="DWC40" s="899"/>
      <c r="DWD40" s="899"/>
      <c r="DWE40" s="899"/>
      <c r="DWF40" s="899"/>
      <c r="DWG40" s="899"/>
      <c r="DWH40" s="899"/>
      <c r="DWI40" s="899"/>
      <c r="DWJ40" s="899"/>
      <c r="DWK40" s="899"/>
      <c r="DWL40" s="899"/>
      <c r="DWM40" s="899"/>
      <c r="DWN40" s="899"/>
      <c r="DWO40" s="899"/>
      <c r="DWP40" s="899"/>
      <c r="DWQ40" s="899"/>
      <c r="DWR40" s="899"/>
      <c r="DWS40" s="899"/>
      <c r="DWT40" s="899"/>
      <c r="DWU40" s="899"/>
      <c r="DWV40" s="899"/>
      <c r="DWW40" s="899"/>
      <c r="DWX40" s="899"/>
      <c r="DWY40" s="899"/>
      <c r="DWZ40" s="899"/>
      <c r="DXA40" s="899"/>
      <c r="DXB40" s="899"/>
      <c r="DXC40" s="899"/>
      <c r="DXD40" s="899"/>
      <c r="DXE40" s="899"/>
      <c r="DXF40" s="899"/>
      <c r="DXG40" s="899"/>
      <c r="DXH40" s="899"/>
      <c r="DXI40" s="899"/>
      <c r="DXJ40" s="899"/>
      <c r="DXK40" s="899"/>
      <c r="DXL40" s="899"/>
      <c r="DXM40" s="899"/>
      <c r="DXN40" s="899"/>
      <c r="DXO40" s="899"/>
      <c r="DXP40" s="899"/>
      <c r="DXQ40" s="899"/>
      <c r="DXR40" s="899"/>
      <c r="DXS40" s="899"/>
      <c r="DXT40" s="899"/>
      <c r="DXU40" s="899"/>
      <c r="DXV40" s="899"/>
      <c r="DXW40" s="899"/>
      <c r="DXX40" s="899"/>
      <c r="DXY40" s="899"/>
      <c r="DXZ40" s="899"/>
      <c r="DYA40" s="899"/>
      <c r="DYB40" s="899"/>
      <c r="DYC40" s="899"/>
      <c r="DYD40" s="899"/>
      <c r="DYE40" s="899"/>
      <c r="DYF40" s="899"/>
      <c r="DYG40" s="899"/>
      <c r="DYH40" s="899"/>
      <c r="DYI40" s="899"/>
      <c r="DYJ40" s="899"/>
      <c r="DYK40" s="899"/>
      <c r="DYL40" s="899"/>
      <c r="DYM40" s="899"/>
      <c r="DYN40" s="899"/>
      <c r="DYO40" s="899"/>
      <c r="DYP40" s="899"/>
      <c r="DYQ40" s="899"/>
      <c r="DYR40" s="899"/>
      <c r="DYS40" s="899"/>
      <c r="DYT40" s="899"/>
      <c r="DYU40" s="899"/>
      <c r="DYV40" s="899"/>
      <c r="DYW40" s="899"/>
      <c r="DYX40" s="899"/>
      <c r="DYY40" s="899"/>
      <c r="DYZ40" s="899"/>
      <c r="DZA40" s="899"/>
      <c r="DZB40" s="899"/>
      <c r="DZC40" s="899"/>
      <c r="DZD40" s="899"/>
      <c r="DZE40" s="899"/>
      <c r="DZF40" s="899"/>
      <c r="DZG40" s="899"/>
      <c r="DZH40" s="899"/>
      <c r="DZI40" s="899"/>
      <c r="DZJ40" s="899"/>
      <c r="DZK40" s="899"/>
      <c r="DZL40" s="899"/>
      <c r="DZM40" s="899"/>
      <c r="DZN40" s="899"/>
      <c r="DZO40" s="899"/>
      <c r="DZP40" s="899"/>
      <c r="DZQ40" s="899"/>
      <c r="DZR40" s="899"/>
      <c r="DZS40" s="899"/>
      <c r="DZT40" s="899"/>
      <c r="DZU40" s="899"/>
      <c r="DZV40" s="899"/>
      <c r="DZW40" s="899"/>
      <c r="DZX40" s="899"/>
      <c r="DZY40" s="899"/>
      <c r="DZZ40" s="899"/>
      <c r="EAA40" s="899"/>
      <c r="EAB40" s="899"/>
      <c r="EAC40" s="899"/>
      <c r="EAD40" s="899"/>
      <c r="EAE40" s="899"/>
      <c r="EAF40" s="899"/>
      <c r="EAG40" s="899"/>
      <c r="EAH40" s="899"/>
      <c r="EAI40" s="899"/>
      <c r="EAJ40" s="899"/>
      <c r="EAK40" s="899"/>
      <c r="EAL40" s="899"/>
      <c r="EAM40" s="899"/>
      <c r="EAN40" s="899"/>
      <c r="EAO40" s="899"/>
      <c r="EAP40" s="899"/>
      <c r="EAQ40" s="899"/>
      <c r="EAR40" s="899"/>
      <c r="EAS40" s="899"/>
      <c r="EAT40" s="899"/>
      <c r="EAU40" s="899"/>
      <c r="EAV40" s="899"/>
      <c r="EAW40" s="899"/>
      <c r="EAX40" s="899"/>
      <c r="EAY40" s="899"/>
      <c r="EAZ40" s="899"/>
      <c r="EBA40" s="899"/>
      <c r="EBB40" s="899"/>
      <c r="EBC40" s="899"/>
      <c r="EBD40" s="899"/>
      <c r="EBE40" s="899"/>
      <c r="EBF40" s="899"/>
      <c r="EBG40" s="899"/>
      <c r="EBH40" s="899"/>
      <c r="EBI40" s="899"/>
      <c r="EBJ40" s="899"/>
      <c r="EBK40" s="899"/>
      <c r="EBL40" s="899"/>
      <c r="EBM40" s="899"/>
      <c r="EBN40" s="899"/>
      <c r="EBO40" s="899"/>
      <c r="EBP40" s="899"/>
      <c r="EBQ40" s="899"/>
      <c r="EBR40" s="899"/>
      <c r="EBS40" s="899"/>
      <c r="EBT40" s="899"/>
      <c r="EBU40" s="899"/>
      <c r="EBV40" s="899"/>
      <c r="EBW40" s="899"/>
      <c r="EBX40" s="899"/>
      <c r="EBY40" s="899"/>
      <c r="EBZ40" s="899"/>
      <c r="ECA40" s="899"/>
      <c r="ECB40" s="899"/>
      <c r="ECC40" s="899"/>
      <c r="ECD40" s="899"/>
      <c r="ECE40" s="899"/>
      <c r="ECF40" s="899"/>
      <c r="ECG40" s="899"/>
      <c r="ECH40" s="899"/>
      <c r="ECI40" s="899"/>
      <c r="ECJ40" s="899"/>
      <c r="ECK40" s="899"/>
      <c r="ECL40" s="899"/>
      <c r="ECM40" s="899"/>
      <c r="ECN40" s="899"/>
      <c r="ECO40" s="899"/>
      <c r="ECP40" s="899"/>
      <c r="ECQ40" s="899"/>
      <c r="ECR40" s="899"/>
      <c r="ECS40" s="899"/>
      <c r="ECT40" s="899"/>
      <c r="ECU40" s="899"/>
      <c r="ECV40" s="899"/>
      <c r="ECW40" s="899"/>
      <c r="ECX40" s="899"/>
      <c r="ECY40" s="899"/>
      <c r="ECZ40" s="899"/>
      <c r="EDA40" s="899"/>
      <c r="EDB40" s="899"/>
      <c r="EDC40" s="899"/>
      <c r="EDD40" s="899"/>
      <c r="EDE40" s="899"/>
      <c r="EDF40" s="899"/>
      <c r="EDG40" s="899"/>
      <c r="EDH40" s="899"/>
      <c r="EDI40" s="899"/>
      <c r="EDJ40" s="899"/>
      <c r="EDK40" s="899"/>
      <c r="EDL40" s="899"/>
      <c r="EDM40" s="899"/>
      <c r="EDN40" s="899"/>
      <c r="EDO40" s="899"/>
      <c r="EDP40" s="899"/>
      <c r="EDQ40" s="899"/>
      <c r="EDR40" s="899"/>
      <c r="EDS40" s="899"/>
      <c r="EDT40" s="899"/>
      <c r="EDU40" s="899"/>
      <c r="EDV40" s="899"/>
      <c r="EDW40" s="899"/>
      <c r="EDX40" s="899"/>
      <c r="EDY40" s="899"/>
      <c r="EDZ40" s="899"/>
      <c r="EEA40" s="899"/>
      <c r="EEB40" s="899"/>
      <c r="EEC40" s="899"/>
      <c r="EED40" s="899"/>
      <c r="EEE40" s="899"/>
      <c r="EEF40" s="899"/>
      <c r="EEG40" s="899"/>
      <c r="EEH40" s="899"/>
      <c r="EEI40" s="899"/>
      <c r="EEJ40" s="899"/>
      <c r="EEK40" s="899"/>
      <c r="EEL40" s="899"/>
      <c r="EEM40" s="899"/>
      <c r="EEN40" s="899"/>
      <c r="EEO40" s="899"/>
      <c r="EEP40" s="899"/>
      <c r="EEQ40" s="899"/>
      <c r="EER40" s="899"/>
      <c r="EES40" s="899"/>
      <c r="EET40" s="899"/>
      <c r="EEU40" s="899"/>
      <c r="EEV40" s="899"/>
      <c r="EEW40" s="899"/>
      <c r="EEX40" s="899"/>
      <c r="EEY40" s="899"/>
      <c r="EEZ40" s="899"/>
      <c r="EFA40" s="899"/>
      <c r="EFB40" s="899"/>
      <c r="EFC40" s="899"/>
      <c r="EFD40" s="899"/>
      <c r="EFE40" s="899"/>
      <c r="EFF40" s="899"/>
      <c r="EFG40" s="899"/>
      <c r="EFH40" s="899"/>
      <c r="EFI40" s="899"/>
      <c r="EFJ40" s="899"/>
      <c r="EFK40" s="899"/>
      <c r="EFL40" s="899"/>
      <c r="EFM40" s="899"/>
      <c r="EFN40" s="899"/>
      <c r="EFO40" s="899"/>
      <c r="EFP40" s="899"/>
      <c r="EFQ40" s="899"/>
      <c r="EFR40" s="899"/>
      <c r="EFS40" s="899"/>
      <c r="EFT40" s="899"/>
      <c r="EFU40" s="899"/>
      <c r="EFV40" s="899"/>
      <c r="EFW40" s="899"/>
      <c r="EFX40" s="899"/>
      <c r="EFY40" s="899"/>
      <c r="EFZ40" s="899"/>
      <c r="EGA40" s="899"/>
      <c r="EGB40" s="899"/>
      <c r="EGC40" s="899"/>
      <c r="EGD40" s="899"/>
      <c r="EGE40" s="899"/>
      <c r="EGF40" s="899"/>
      <c r="EGG40" s="899"/>
      <c r="EGH40" s="899"/>
      <c r="EGI40" s="899"/>
      <c r="EGJ40" s="899"/>
      <c r="EGK40" s="899"/>
      <c r="EGL40" s="899"/>
      <c r="EGM40" s="899"/>
      <c r="EGN40" s="899"/>
      <c r="EGO40" s="899"/>
      <c r="EGP40" s="899"/>
      <c r="EGQ40" s="899"/>
      <c r="EGR40" s="899"/>
      <c r="EGS40" s="899"/>
      <c r="EGT40" s="899"/>
      <c r="EGU40" s="899"/>
      <c r="EGV40" s="899"/>
      <c r="EGW40" s="899"/>
      <c r="EGX40" s="899"/>
      <c r="EGY40" s="899"/>
      <c r="EGZ40" s="899"/>
      <c r="EHA40" s="899"/>
      <c r="EHB40" s="899"/>
      <c r="EHC40" s="899"/>
      <c r="EHD40" s="899"/>
      <c r="EHE40" s="899"/>
      <c r="EHF40" s="899"/>
      <c r="EHG40" s="899"/>
      <c r="EHH40" s="899"/>
      <c r="EHI40" s="899"/>
      <c r="EHJ40" s="899"/>
      <c r="EHK40" s="899"/>
      <c r="EHL40" s="899"/>
      <c r="EHM40" s="899"/>
      <c r="EHN40" s="899"/>
      <c r="EHO40" s="899"/>
      <c r="EHP40" s="899"/>
      <c r="EHQ40" s="899"/>
      <c r="EHR40" s="899"/>
      <c r="EHS40" s="899"/>
      <c r="EHT40" s="899"/>
      <c r="EHU40" s="899"/>
      <c r="EHV40" s="899"/>
      <c r="EHW40" s="899"/>
      <c r="EHX40" s="899"/>
      <c r="EHY40" s="899"/>
      <c r="EHZ40" s="899"/>
      <c r="EIA40" s="899"/>
      <c r="EIB40" s="899"/>
      <c r="EIC40" s="899"/>
      <c r="EID40" s="899"/>
      <c r="EIE40" s="899"/>
      <c r="EIF40" s="899"/>
      <c r="EIG40" s="899"/>
      <c r="EIH40" s="899"/>
      <c r="EII40" s="899"/>
      <c r="EIJ40" s="899"/>
      <c r="EIK40" s="899"/>
      <c r="EIL40" s="899"/>
      <c r="EIM40" s="899"/>
      <c r="EIN40" s="899"/>
      <c r="EIO40" s="899"/>
      <c r="EIP40" s="899"/>
      <c r="EIQ40" s="899"/>
      <c r="EIR40" s="899"/>
      <c r="EIS40" s="899"/>
      <c r="EIT40" s="899"/>
      <c r="EIU40" s="899"/>
      <c r="EIV40" s="899"/>
      <c r="EIW40" s="899"/>
      <c r="EIX40" s="899"/>
      <c r="EIY40" s="899"/>
      <c r="EIZ40" s="899"/>
      <c r="EJA40" s="899"/>
      <c r="EJB40" s="899"/>
      <c r="EJC40" s="899"/>
      <c r="EJD40" s="899"/>
      <c r="EJE40" s="899"/>
      <c r="EJF40" s="899"/>
      <c r="EJG40" s="899"/>
      <c r="EJH40" s="899"/>
      <c r="EJI40" s="899"/>
      <c r="EJJ40" s="899"/>
      <c r="EJK40" s="899"/>
      <c r="EJL40" s="899"/>
      <c r="EJM40" s="899"/>
      <c r="EJN40" s="899"/>
      <c r="EJO40" s="899"/>
      <c r="EJP40" s="899"/>
      <c r="EJQ40" s="899"/>
      <c r="EJR40" s="899"/>
      <c r="EJS40" s="899"/>
      <c r="EJT40" s="899"/>
      <c r="EJU40" s="899"/>
      <c r="EJV40" s="899"/>
      <c r="EJW40" s="899"/>
      <c r="EJX40" s="899"/>
      <c r="EJY40" s="899"/>
      <c r="EJZ40" s="899"/>
      <c r="EKA40" s="899"/>
      <c r="EKB40" s="899"/>
      <c r="EKC40" s="899"/>
      <c r="EKD40" s="899"/>
      <c r="EKE40" s="899"/>
      <c r="EKF40" s="899"/>
      <c r="EKG40" s="899"/>
      <c r="EKH40" s="899"/>
      <c r="EKI40" s="899"/>
      <c r="EKJ40" s="899"/>
      <c r="EKK40" s="899"/>
      <c r="EKL40" s="899"/>
      <c r="EKM40" s="899"/>
      <c r="EKN40" s="899"/>
      <c r="EKO40" s="899"/>
      <c r="EKP40" s="899"/>
      <c r="EKQ40" s="899"/>
      <c r="EKR40" s="899"/>
      <c r="EKS40" s="899"/>
      <c r="EKT40" s="899"/>
      <c r="EKU40" s="899"/>
      <c r="EKV40" s="899"/>
      <c r="EKW40" s="899"/>
      <c r="EKX40" s="899"/>
      <c r="EKY40" s="899"/>
      <c r="EKZ40" s="899"/>
      <c r="ELA40" s="899"/>
      <c r="ELB40" s="899"/>
      <c r="ELC40" s="899"/>
      <c r="ELD40" s="899"/>
      <c r="ELE40" s="899"/>
      <c r="ELF40" s="899"/>
      <c r="ELG40" s="899"/>
      <c r="ELH40" s="899"/>
      <c r="ELI40" s="899"/>
      <c r="ELJ40" s="899"/>
      <c r="ELK40" s="899"/>
      <c r="ELL40" s="899"/>
      <c r="ELM40" s="899"/>
      <c r="ELN40" s="899"/>
      <c r="ELO40" s="899"/>
      <c r="ELP40" s="899"/>
      <c r="ELQ40" s="899"/>
      <c r="ELR40" s="899"/>
      <c r="ELS40" s="899"/>
      <c r="ELT40" s="899"/>
      <c r="ELU40" s="899"/>
      <c r="ELV40" s="899"/>
      <c r="ELW40" s="899"/>
      <c r="ELX40" s="899"/>
      <c r="ELY40" s="899"/>
      <c r="ELZ40" s="899"/>
      <c r="EMA40" s="899"/>
      <c r="EMB40" s="899"/>
      <c r="EMC40" s="899"/>
      <c r="EMD40" s="899"/>
      <c r="EME40" s="899"/>
      <c r="EMF40" s="899"/>
      <c r="EMG40" s="899"/>
      <c r="EMH40" s="899"/>
      <c r="EMI40" s="899"/>
      <c r="EMJ40" s="899"/>
      <c r="EMK40" s="899"/>
      <c r="EML40" s="899"/>
      <c r="EMM40" s="899"/>
      <c r="EMN40" s="899"/>
      <c r="EMO40" s="899"/>
      <c r="EMP40" s="899"/>
      <c r="EMQ40" s="899"/>
      <c r="EMR40" s="899"/>
      <c r="EMS40" s="899"/>
      <c r="EMT40" s="899"/>
      <c r="EMU40" s="899"/>
      <c r="EMV40" s="899"/>
      <c r="EMW40" s="899"/>
      <c r="EMX40" s="899"/>
      <c r="EMY40" s="899"/>
      <c r="EMZ40" s="899"/>
      <c r="ENA40" s="899"/>
      <c r="ENB40" s="899"/>
      <c r="ENC40" s="899"/>
      <c r="END40" s="899"/>
      <c r="ENE40" s="899"/>
      <c r="ENF40" s="899"/>
      <c r="ENG40" s="899"/>
      <c r="ENH40" s="899"/>
      <c r="ENI40" s="899"/>
      <c r="ENJ40" s="899"/>
      <c r="ENK40" s="899"/>
      <c r="ENL40" s="899"/>
      <c r="ENM40" s="899"/>
      <c r="ENN40" s="899"/>
      <c r="ENO40" s="899"/>
      <c r="ENP40" s="899"/>
      <c r="ENQ40" s="899"/>
      <c r="ENR40" s="899"/>
      <c r="ENS40" s="899"/>
      <c r="ENT40" s="899"/>
      <c r="ENU40" s="899"/>
      <c r="ENV40" s="899"/>
      <c r="ENW40" s="899"/>
      <c r="ENX40" s="899"/>
      <c r="ENY40" s="899"/>
      <c r="ENZ40" s="899"/>
      <c r="EOA40" s="899"/>
      <c r="EOB40" s="899"/>
      <c r="EOC40" s="899"/>
      <c r="EOD40" s="899"/>
      <c r="EOE40" s="899"/>
      <c r="EOF40" s="899"/>
      <c r="EOG40" s="899"/>
      <c r="EOH40" s="899"/>
      <c r="EOI40" s="899"/>
      <c r="EOJ40" s="899"/>
      <c r="EOK40" s="899"/>
      <c r="EOL40" s="899"/>
      <c r="EOM40" s="899"/>
      <c r="EON40" s="899"/>
      <c r="EOO40" s="899"/>
      <c r="EOP40" s="899"/>
      <c r="EOQ40" s="899"/>
      <c r="EOR40" s="899"/>
      <c r="EOS40" s="899"/>
      <c r="EOT40" s="899"/>
      <c r="EOU40" s="899"/>
      <c r="EOV40" s="899"/>
      <c r="EOW40" s="899"/>
      <c r="EOX40" s="899"/>
      <c r="EOY40" s="899"/>
      <c r="EOZ40" s="899"/>
      <c r="EPA40" s="899"/>
      <c r="EPB40" s="899"/>
      <c r="EPC40" s="899"/>
      <c r="EPD40" s="899"/>
      <c r="EPE40" s="899"/>
      <c r="EPF40" s="899"/>
      <c r="EPG40" s="899"/>
      <c r="EPH40" s="899"/>
      <c r="EPI40" s="899"/>
      <c r="EPJ40" s="899"/>
      <c r="EPK40" s="899"/>
      <c r="EPL40" s="899"/>
      <c r="EPM40" s="899"/>
      <c r="EPN40" s="899"/>
      <c r="EPO40" s="899"/>
      <c r="EPP40" s="899"/>
      <c r="EPQ40" s="899"/>
      <c r="EPR40" s="899"/>
      <c r="EPS40" s="899"/>
      <c r="EPT40" s="899"/>
      <c r="EPU40" s="899"/>
      <c r="EPV40" s="899"/>
      <c r="EPW40" s="899"/>
      <c r="EPX40" s="899"/>
      <c r="EPY40" s="899"/>
      <c r="EPZ40" s="899"/>
      <c r="EQA40" s="899"/>
      <c r="EQB40" s="899"/>
      <c r="EQC40" s="899"/>
      <c r="EQD40" s="899"/>
      <c r="EQE40" s="899"/>
      <c r="EQF40" s="899"/>
      <c r="EQG40" s="899"/>
      <c r="EQH40" s="899"/>
      <c r="EQI40" s="899"/>
      <c r="EQJ40" s="899"/>
      <c r="EQK40" s="899"/>
      <c r="EQL40" s="899"/>
      <c r="EQM40" s="899"/>
      <c r="EQN40" s="899"/>
      <c r="EQO40" s="899"/>
      <c r="EQP40" s="899"/>
      <c r="EQQ40" s="899"/>
      <c r="EQR40" s="899"/>
      <c r="EQS40" s="899"/>
      <c r="EQT40" s="899"/>
      <c r="EQU40" s="899"/>
      <c r="EQV40" s="899"/>
      <c r="EQW40" s="899"/>
      <c r="EQX40" s="899"/>
      <c r="EQY40" s="899"/>
      <c r="EQZ40" s="899"/>
      <c r="ERA40" s="899"/>
      <c r="ERB40" s="899"/>
      <c r="ERC40" s="899"/>
      <c r="ERD40" s="899"/>
      <c r="ERE40" s="899"/>
      <c r="ERF40" s="899"/>
      <c r="ERG40" s="899"/>
      <c r="ERH40" s="899"/>
      <c r="ERI40" s="899"/>
      <c r="ERJ40" s="899"/>
      <c r="ERK40" s="899"/>
      <c r="ERL40" s="899"/>
      <c r="ERM40" s="899"/>
      <c r="ERN40" s="899"/>
      <c r="ERO40" s="899"/>
      <c r="ERP40" s="899"/>
      <c r="ERQ40" s="899"/>
      <c r="ERR40" s="899"/>
      <c r="ERS40" s="899"/>
      <c r="ERT40" s="899"/>
      <c r="ERU40" s="899"/>
      <c r="ERV40" s="899"/>
      <c r="ERW40" s="899"/>
      <c r="ERX40" s="899"/>
      <c r="ERY40" s="899"/>
      <c r="ERZ40" s="899"/>
      <c r="ESA40" s="899"/>
      <c r="ESB40" s="899"/>
      <c r="ESC40" s="899"/>
      <c r="ESD40" s="899"/>
      <c r="ESE40" s="899"/>
      <c r="ESF40" s="899"/>
      <c r="ESG40" s="899"/>
      <c r="ESH40" s="899"/>
      <c r="ESI40" s="899"/>
      <c r="ESJ40" s="899"/>
      <c r="ESK40" s="899"/>
      <c r="ESL40" s="899"/>
      <c r="ESM40" s="899"/>
      <c r="ESN40" s="899"/>
      <c r="ESO40" s="899"/>
      <c r="ESP40" s="899"/>
      <c r="ESQ40" s="899"/>
      <c r="ESR40" s="899"/>
      <c r="ESS40" s="899"/>
      <c r="EST40" s="899"/>
      <c r="ESU40" s="899"/>
      <c r="ESV40" s="899"/>
      <c r="ESW40" s="899"/>
      <c r="ESX40" s="899"/>
      <c r="ESY40" s="899"/>
      <c r="ESZ40" s="899"/>
      <c r="ETA40" s="899"/>
      <c r="ETB40" s="899"/>
      <c r="ETC40" s="899"/>
      <c r="ETD40" s="899"/>
      <c r="ETE40" s="899"/>
      <c r="ETF40" s="899"/>
      <c r="ETG40" s="899"/>
      <c r="ETH40" s="899"/>
      <c r="ETI40" s="899"/>
      <c r="ETJ40" s="899"/>
      <c r="ETK40" s="899"/>
      <c r="ETL40" s="899"/>
      <c r="ETM40" s="899"/>
      <c r="ETN40" s="899"/>
      <c r="ETO40" s="899"/>
      <c r="ETP40" s="899"/>
      <c r="ETQ40" s="899"/>
      <c r="ETR40" s="899"/>
      <c r="ETS40" s="899"/>
      <c r="ETT40" s="899"/>
      <c r="ETU40" s="899"/>
      <c r="ETV40" s="899"/>
      <c r="ETW40" s="899"/>
      <c r="ETX40" s="899"/>
      <c r="ETY40" s="899"/>
      <c r="ETZ40" s="899"/>
      <c r="EUA40" s="899"/>
      <c r="EUB40" s="899"/>
      <c r="EUC40" s="899"/>
      <c r="EUD40" s="899"/>
      <c r="EUE40" s="899"/>
      <c r="EUF40" s="899"/>
      <c r="EUG40" s="899"/>
      <c r="EUH40" s="899"/>
      <c r="EUI40" s="899"/>
      <c r="EUJ40" s="899"/>
      <c r="EUK40" s="899"/>
      <c r="EUL40" s="899"/>
      <c r="EUM40" s="899"/>
      <c r="EUN40" s="899"/>
      <c r="EUO40" s="899"/>
      <c r="EUP40" s="899"/>
      <c r="EUQ40" s="899"/>
      <c r="EUR40" s="899"/>
      <c r="EUS40" s="899"/>
      <c r="EUT40" s="899"/>
      <c r="EUU40" s="899"/>
      <c r="EUV40" s="899"/>
      <c r="EUW40" s="899"/>
      <c r="EUX40" s="899"/>
      <c r="EUY40" s="899"/>
      <c r="EUZ40" s="899"/>
      <c r="EVA40" s="899"/>
      <c r="EVB40" s="899"/>
      <c r="EVC40" s="899"/>
      <c r="EVD40" s="899"/>
      <c r="EVE40" s="899"/>
      <c r="EVF40" s="899"/>
      <c r="EVG40" s="899"/>
      <c r="EVH40" s="899"/>
      <c r="EVI40" s="899"/>
      <c r="EVJ40" s="899"/>
      <c r="EVK40" s="899"/>
      <c r="EVL40" s="899"/>
      <c r="EVM40" s="899"/>
      <c r="EVN40" s="899"/>
      <c r="EVO40" s="899"/>
      <c r="EVP40" s="899"/>
      <c r="EVQ40" s="899"/>
      <c r="EVR40" s="899"/>
      <c r="EVS40" s="899"/>
      <c r="EVT40" s="899"/>
      <c r="EVU40" s="899"/>
      <c r="EVV40" s="899"/>
      <c r="EVW40" s="899"/>
      <c r="EVX40" s="899"/>
      <c r="EVY40" s="899"/>
      <c r="EVZ40" s="899"/>
      <c r="EWA40" s="899"/>
      <c r="EWB40" s="899"/>
      <c r="EWC40" s="899"/>
      <c r="EWD40" s="899"/>
      <c r="EWE40" s="899"/>
      <c r="EWF40" s="899"/>
      <c r="EWG40" s="899"/>
      <c r="EWH40" s="899"/>
      <c r="EWI40" s="899"/>
      <c r="EWJ40" s="899"/>
      <c r="EWK40" s="899"/>
      <c r="EWL40" s="899"/>
      <c r="EWM40" s="899"/>
      <c r="EWN40" s="899"/>
      <c r="EWO40" s="899"/>
      <c r="EWP40" s="899"/>
      <c r="EWQ40" s="899"/>
      <c r="EWR40" s="899"/>
      <c r="EWS40" s="899"/>
      <c r="EWT40" s="899"/>
      <c r="EWU40" s="899"/>
      <c r="EWV40" s="899"/>
      <c r="EWW40" s="899"/>
      <c r="EWX40" s="899"/>
      <c r="EWY40" s="899"/>
      <c r="EWZ40" s="899"/>
      <c r="EXA40" s="899"/>
      <c r="EXB40" s="899"/>
      <c r="EXC40" s="899"/>
      <c r="EXD40" s="899"/>
      <c r="EXE40" s="899"/>
      <c r="EXF40" s="899"/>
      <c r="EXG40" s="899"/>
      <c r="EXH40" s="899"/>
      <c r="EXI40" s="899"/>
      <c r="EXJ40" s="899"/>
      <c r="EXK40" s="899"/>
      <c r="EXL40" s="899"/>
      <c r="EXM40" s="899"/>
      <c r="EXN40" s="899"/>
      <c r="EXO40" s="899"/>
      <c r="EXP40" s="899"/>
      <c r="EXQ40" s="899"/>
      <c r="EXR40" s="899"/>
      <c r="EXS40" s="899"/>
      <c r="EXT40" s="899"/>
      <c r="EXU40" s="899"/>
      <c r="EXV40" s="899"/>
      <c r="EXW40" s="899"/>
      <c r="EXX40" s="899"/>
      <c r="EXY40" s="899"/>
      <c r="EXZ40" s="899"/>
      <c r="EYA40" s="899"/>
      <c r="EYB40" s="899"/>
      <c r="EYC40" s="899"/>
      <c r="EYD40" s="899"/>
      <c r="EYE40" s="899"/>
      <c r="EYF40" s="899"/>
      <c r="EYG40" s="899"/>
      <c r="EYH40" s="899"/>
      <c r="EYI40" s="899"/>
      <c r="EYJ40" s="899"/>
      <c r="EYK40" s="899"/>
      <c r="EYL40" s="899"/>
      <c r="EYM40" s="899"/>
      <c r="EYN40" s="899"/>
      <c r="EYO40" s="899"/>
      <c r="EYP40" s="899"/>
      <c r="EYQ40" s="899"/>
      <c r="EYR40" s="899"/>
      <c r="EYS40" s="899"/>
      <c r="EYT40" s="899"/>
      <c r="EYU40" s="899"/>
      <c r="EYV40" s="899"/>
      <c r="EYW40" s="899"/>
      <c r="EYX40" s="899"/>
      <c r="EYY40" s="899"/>
      <c r="EYZ40" s="899"/>
      <c r="EZA40" s="899"/>
      <c r="EZB40" s="899"/>
      <c r="EZC40" s="899"/>
      <c r="EZD40" s="899"/>
      <c r="EZE40" s="899"/>
      <c r="EZF40" s="899"/>
      <c r="EZG40" s="899"/>
      <c r="EZH40" s="899"/>
      <c r="EZI40" s="899"/>
      <c r="EZJ40" s="899"/>
      <c r="EZK40" s="899"/>
      <c r="EZL40" s="899"/>
      <c r="EZM40" s="899"/>
      <c r="EZN40" s="899"/>
      <c r="EZO40" s="899"/>
      <c r="EZP40" s="899"/>
      <c r="EZQ40" s="899"/>
      <c r="EZR40" s="899"/>
      <c r="EZS40" s="899"/>
      <c r="EZT40" s="899"/>
      <c r="EZU40" s="899"/>
      <c r="EZV40" s="899"/>
      <c r="EZW40" s="899"/>
      <c r="EZX40" s="899"/>
      <c r="EZY40" s="899"/>
      <c r="EZZ40" s="899"/>
      <c r="FAA40" s="899"/>
      <c r="FAB40" s="899"/>
      <c r="FAC40" s="899"/>
      <c r="FAD40" s="899"/>
      <c r="FAE40" s="899"/>
      <c r="FAF40" s="899"/>
      <c r="FAG40" s="899"/>
      <c r="FAH40" s="899"/>
      <c r="FAI40" s="899"/>
      <c r="FAJ40" s="899"/>
      <c r="FAK40" s="899"/>
      <c r="FAL40" s="899"/>
      <c r="FAM40" s="899"/>
      <c r="FAN40" s="899"/>
      <c r="FAO40" s="899"/>
      <c r="FAP40" s="899"/>
      <c r="FAQ40" s="899"/>
      <c r="FAR40" s="899"/>
      <c r="FAS40" s="899"/>
      <c r="FAT40" s="899"/>
      <c r="FAU40" s="899"/>
      <c r="FAV40" s="899"/>
      <c r="FAW40" s="899"/>
      <c r="FAX40" s="899"/>
      <c r="FAY40" s="899"/>
      <c r="FAZ40" s="899"/>
      <c r="FBA40" s="899"/>
      <c r="FBB40" s="899"/>
      <c r="FBC40" s="899"/>
      <c r="FBD40" s="899"/>
      <c r="FBE40" s="899"/>
      <c r="FBF40" s="899"/>
      <c r="FBG40" s="899"/>
      <c r="FBH40" s="899"/>
      <c r="FBI40" s="899"/>
      <c r="FBJ40" s="899"/>
      <c r="FBK40" s="899"/>
      <c r="FBL40" s="899"/>
      <c r="FBM40" s="899"/>
      <c r="FBN40" s="899"/>
      <c r="FBO40" s="899"/>
      <c r="FBP40" s="899"/>
      <c r="FBQ40" s="899"/>
      <c r="FBR40" s="899"/>
      <c r="FBS40" s="899"/>
      <c r="FBT40" s="899"/>
      <c r="FBU40" s="899"/>
      <c r="FBV40" s="899"/>
      <c r="FBW40" s="899"/>
      <c r="FBX40" s="899"/>
      <c r="FBY40" s="899"/>
      <c r="FBZ40" s="899"/>
      <c r="FCA40" s="899"/>
      <c r="FCB40" s="899"/>
      <c r="FCC40" s="899"/>
      <c r="FCD40" s="899"/>
      <c r="FCE40" s="899"/>
      <c r="FCF40" s="899"/>
      <c r="FCG40" s="899"/>
      <c r="FCH40" s="899"/>
      <c r="FCI40" s="899"/>
      <c r="FCJ40" s="899"/>
      <c r="FCK40" s="899"/>
      <c r="FCL40" s="899"/>
      <c r="FCM40" s="899"/>
      <c r="FCN40" s="899"/>
      <c r="FCO40" s="899"/>
      <c r="FCP40" s="899"/>
      <c r="FCQ40" s="899"/>
      <c r="FCR40" s="899"/>
      <c r="FCS40" s="899"/>
      <c r="FCT40" s="899"/>
      <c r="FCU40" s="899"/>
      <c r="FCV40" s="899"/>
      <c r="FCW40" s="899"/>
      <c r="FCX40" s="899"/>
      <c r="FCY40" s="899"/>
      <c r="FCZ40" s="899"/>
      <c r="FDA40" s="899"/>
      <c r="FDB40" s="899"/>
      <c r="FDC40" s="899"/>
      <c r="FDD40" s="899"/>
      <c r="FDE40" s="899"/>
      <c r="FDF40" s="899"/>
      <c r="FDG40" s="899"/>
      <c r="FDH40" s="899"/>
      <c r="FDI40" s="899"/>
      <c r="FDJ40" s="899"/>
      <c r="FDK40" s="899"/>
      <c r="FDL40" s="899"/>
      <c r="FDM40" s="899"/>
      <c r="FDN40" s="899"/>
      <c r="FDO40" s="899"/>
      <c r="FDP40" s="899"/>
      <c r="FDQ40" s="899"/>
      <c r="FDR40" s="899"/>
      <c r="FDS40" s="899"/>
      <c r="FDT40" s="899"/>
      <c r="FDU40" s="899"/>
      <c r="FDV40" s="899"/>
      <c r="FDW40" s="899"/>
      <c r="FDX40" s="899"/>
      <c r="FDY40" s="899"/>
      <c r="FDZ40" s="899"/>
      <c r="FEA40" s="899"/>
      <c r="FEB40" s="899"/>
      <c r="FEC40" s="899"/>
      <c r="FED40" s="899"/>
      <c r="FEE40" s="899"/>
      <c r="FEF40" s="899"/>
      <c r="FEG40" s="899"/>
      <c r="FEH40" s="899"/>
      <c r="FEI40" s="899"/>
      <c r="FEJ40" s="899"/>
      <c r="FEK40" s="899"/>
      <c r="FEL40" s="899"/>
      <c r="FEM40" s="899"/>
      <c r="FEN40" s="899"/>
      <c r="FEO40" s="899"/>
      <c r="FEP40" s="899"/>
      <c r="FEQ40" s="899"/>
      <c r="FER40" s="899"/>
      <c r="FES40" s="899"/>
      <c r="FET40" s="899"/>
      <c r="FEU40" s="899"/>
      <c r="FEV40" s="899"/>
      <c r="FEW40" s="899"/>
      <c r="FEX40" s="899"/>
      <c r="FEY40" s="899"/>
      <c r="FEZ40" s="899"/>
      <c r="FFA40" s="899"/>
      <c r="FFB40" s="899"/>
      <c r="FFC40" s="899"/>
      <c r="FFD40" s="899"/>
      <c r="FFE40" s="899"/>
      <c r="FFF40" s="899"/>
      <c r="FFG40" s="899"/>
      <c r="FFH40" s="899"/>
      <c r="FFI40" s="899"/>
      <c r="FFJ40" s="899"/>
      <c r="FFK40" s="899"/>
      <c r="FFL40" s="899"/>
      <c r="FFM40" s="899"/>
      <c r="FFN40" s="899"/>
      <c r="FFO40" s="899"/>
      <c r="FFP40" s="899"/>
      <c r="FFQ40" s="899"/>
      <c r="FFR40" s="899"/>
      <c r="FFS40" s="899"/>
      <c r="FFT40" s="899"/>
      <c r="FFU40" s="899"/>
      <c r="FFV40" s="899"/>
      <c r="FFW40" s="899"/>
      <c r="FFX40" s="899"/>
      <c r="FFY40" s="899"/>
      <c r="FFZ40" s="899"/>
      <c r="FGA40" s="899"/>
      <c r="FGB40" s="899"/>
      <c r="FGC40" s="899"/>
      <c r="FGD40" s="899"/>
      <c r="FGE40" s="899"/>
      <c r="FGF40" s="899"/>
      <c r="FGG40" s="899"/>
      <c r="FGH40" s="899"/>
      <c r="FGI40" s="899"/>
      <c r="FGJ40" s="899"/>
      <c r="FGK40" s="899"/>
      <c r="FGL40" s="899"/>
      <c r="FGM40" s="899"/>
      <c r="FGN40" s="899"/>
      <c r="FGO40" s="899"/>
      <c r="FGP40" s="899"/>
      <c r="FGQ40" s="899"/>
      <c r="FGR40" s="899"/>
      <c r="FGS40" s="899"/>
      <c r="FGT40" s="899"/>
      <c r="FGU40" s="899"/>
      <c r="FGV40" s="899"/>
      <c r="FGW40" s="899"/>
      <c r="FGX40" s="899"/>
      <c r="FGY40" s="899"/>
      <c r="FGZ40" s="899"/>
      <c r="FHA40" s="899"/>
      <c r="FHB40" s="899"/>
      <c r="FHC40" s="899"/>
      <c r="FHD40" s="899"/>
      <c r="FHE40" s="899"/>
      <c r="FHF40" s="899"/>
      <c r="FHG40" s="899"/>
      <c r="FHH40" s="899"/>
      <c r="FHI40" s="899"/>
      <c r="FHJ40" s="899"/>
      <c r="FHK40" s="899"/>
      <c r="FHL40" s="899"/>
      <c r="FHM40" s="899"/>
      <c r="FHN40" s="899"/>
      <c r="FHO40" s="899"/>
      <c r="FHP40" s="899"/>
      <c r="FHQ40" s="899"/>
      <c r="FHR40" s="899"/>
      <c r="FHS40" s="899"/>
      <c r="FHT40" s="899"/>
      <c r="FHU40" s="899"/>
      <c r="FHV40" s="899"/>
      <c r="FHW40" s="899"/>
      <c r="FHX40" s="899"/>
      <c r="FHY40" s="899"/>
      <c r="FHZ40" s="899"/>
      <c r="FIA40" s="899"/>
      <c r="FIB40" s="899"/>
      <c r="FIC40" s="899"/>
      <c r="FID40" s="899"/>
      <c r="FIE40" s="899"/>
      <c r="FIF40" s="899"/>
      <c r="FIG40" s="899"/>
      <c r="FIH40" s="899"/>
      <c r="FII40" s="899"/>
      <c r="FIJ40" s="899"/>
      <c r="FIK40" s="899"/>
      <c r="FIL40" s="899"/>
      <c r="FIM40" s="899"/>
      <c r="FIN40" s="899"/>
      <c r="FIO40" s="899"/>
      <c r="FIP40" s="899"/>
      <c r="FIQ40" s="899"/>
      <c r="FIR40" s="899"/>
      <c r="FIS40" s="899"/>
      <c r="FIT40" s="899"/>
      <c r="FIU40" s="899"/>
      <c r="FIV40" s="899"/>
      <c r="FIW40" s="899"/>
      <c r="FIX40" s="899"/>
      <c r="FIY40" s="899"/>
      <c r="FIZ40" s="899"/>
      <c r="FJA40" s="899"/>
      <c r="FJB40" s="899"/>
      <c r="FJC40" s="899"/>
      <c r="FJD40" s="899"/>
      <c r="FJE40" s="899"/>
      <c r="FJF40" s="899"/>
      <c r="FJG40" s="899"/>
      <c r="FJH40" s="899"/>
      <c r="FJI40" s="899"/>
      <c r="FJJ40" s="899"/>
      <c r="FJK40" s="899"/>
      <c r="FJL40" s="899"/>
      <c r="FJM40" s="899"/>
      <c r="FJN40" s="899"/>
      <c r="FJO40" s="899"/>
      <c r="FJP40" s="899"/>
      <c r="FJQ40" s="899"/>
      <c r="FJR40" s="899"/>
      <c r="FJS40" s="899"/>
      <c r="FJT40" s="899"/>
      <c r="FJU40" s="899"/>
      <c r="FJV40" s="899"/>
      <c r="FJW40" s="899"/>
      <c r="FJX40" s="899"/>
      <c r="FJY40" s="899"/>
      <c r="FJZ40" s="899"/>
      <c r="FKA40" s="899"/>
      <c r="FKB40" s="899"/>
      <c r="FKC40" s="899"/>
      <c r="FKD40" s="899"/>
      <c r="FKE40" s="899"/>
      <c r="FKF40" s="899"/>
      <c r="FKG40" s="899"/>
      <c r="FKH40" s="899"/>
      <c r="FKI40" s="899"/>
      <c r="FKJ40" s="899"/>
      <c r="FKK40" s="899"/>
      <c r="FKL40" s="899"/>
      <c r="FKM40" s="899"/>
      <c r="FKN40" s="899"/>
      <c r="FKO40" s="899"/>
      <c r="FKP40" s="899"/>
      <c r="FKQ40" s="899"/>
      <c r="FKR40" s="899"/>
      <c r="FKS40" s="899"/>
      <c r="FKT40" s="899"/>
      <c r="FKU40" s="899"/>
      <c r="FKV40" s="899"/>
      <c r="FKW40" s="899"/>
      <c r="FKX40" s="899"/>
      <c r="FKY40" s="899"/>
      <c r="FKZ40" s="899"/>
      <c r="FLA40" s="899"/>
      <c r="FLB40" s="899"/>
      <c r="FLC40" s="899"/>
      <c r="FLD40" s="899"/>
      <c r="FLE40" s="899"/>
      <c r="FLF40" s="899"/>
      <c r="FLG40" s="899"/>
      <c r="FLH40" s="899"/>
      <c r="FLI40" s="899"/>
      <c r="FLJ40" s="899"/>
      <c r="FLK40" s="899"/>
      <c r="FLL40" s="899"/>
      <c r="FLM40" s="899"/>
      <c r="FLN40" s="899"/>
      <c r="FLO40" s="899"/>
      <c r="FLP40" s="899"/>
      <c r="FLQ40" s="899"/>
      <c r="FLR40" s="899"/>
      <c r="FLS40" s="899"/>
      <c r="FLT40" s="899"/>
      <c r="FLU40" s="899"/>
      <c r="FLV40" s="899"/>
      <c r="FLW40" s="899"/>
      <c r="FLX40" s="899"/>
      <c r="FLY40" s="899"/>
      <c r="FLZ40" s="899"/>
      <c r="FMA40" s="899"/>
      <c r="FMB40" s="899"/>
      <c r="FMC40" s="899"/>
      <c r="FMD40" s="899"/>
      <c r="FME40" s="899"/>
      <c r="FMF40" s="899"/>
      <c r="FMG40" s="899"/>
      <c r="FMH40" s="899"/>
      <c r="FMI40" s="899"/>
      <c r="FMJ40" s="899"/>
      <c r="FMK40" s="899"/>
      <c r="FML40" s="899"/>
      <c r="FMM40" s="899"/>
      <c r="FMN40" s="899"/>
      <c r="FMO40" s="899"/>
      <c r="FMP40" s="899"/>
      <c r="FMQ40" s="899"/>
      <c r="FMR40" s="899"/>
      <c r="FMS40" s="899"/>
      <c r="FMT40" s="899"/>
      <c r="FMU40" s="899"/>
      <c r="FMV40" s="899"/>
      <c r="FMW40" s="899"/>
      <c r="FMX40" s="899"/>
      <c r="FMY40" s="899"/>
      <c r="FMZ40" s="899"/>
      <c r="FNA40" s="899"/>
      <c r="FNB40" s="899"/>
      <c r="FNC40" s="899"/>
      <c r="FND40" s="899"/>
      <c r="FNE40" s="899"/>
      <c r="FNF40" s="899"/>
      <c r="FNG40" s="899"/>
      <c r="FNH40" s="899"/>
      <c r="FNI40" s="899"/>
      <c r="FNJ40" s="899"/>
      <c r="FNK40" s="899"/>
      <c r="FNL40" s="899"/>
      <c r="FNM40" s="899"/>
      <c r="FNN40" s="899"/>
      <c r="FNO40" s="899"/>
      <c r="FNP40" s="899"/>
      <c r="FNQ40" s="899"/>
      <c r="FNR40" s="899"/>
      <c r="FNS40" s="899"/>
      <c r="FNT40" s="899"/>
      <c r="FNU40" s="899"/>
      <c r="FNV40" s="899"/>
      <c r="FNW40" s="899"/>
      <c r="FNX40" s="899"/>
      <c r="FNY40" s="899"/>
      <c r="FNZ40" s="899"/>
      <c r="FOA40" s="899"/>
      <c r="FOB40" s="899"/>
      <c r="FOC40" s="899"/>
      <c r="FOD40" s="899"/>
      <c r="FOE40" s="899"/>
      <c r="FOF40" s="899"/>
      <c r="FOG40" s="899"/>
      <c r="FOH40" s="899"/>
      <c r="FOI40" s="899"/>
      <c r="FOJ40" s="899"/>
      <c r="FOK40" s="899"/>
      <c r="FOL40" s="899"/>
      <c r="FOM40" s="899"/>
      <c r="FON40" s="899"/>
      <c r="FOO40" s="899"/>
      <c r="FOP40" s="899"/>
      <c r="FOQ40" s="899"/>
      <c r="FOR40" s="899"/>
      <c r="FOS40" s="899"/>
      <c r="FOT40" s="899"/>
      <c r="FOU40" s="899"/>
      <c r="FOV40" s="899"/>
      <c r="FOW40" s="899"/>
      <c r="FOX40" s="899"/>
      <c r="FOY40" s="899"/>
      <c r="FOZ40" s="899"/>
      <c r="FPA40" s="899"/>
      <c r="FPB40" s="899"/>
      <c r="FPC40" s="899"/>
      <c r="FPD40" s="899"/>
      <c r="FPE40" s="899"/>
      <c r="FPF40" s="899"/>
      <c r="FPG40" s="899"/>
      <c r="FPH40" s="899"/>
      <c r="FPI40" s="899"/>
      <c r="FPJ40" s="899"/>
      <c r="FPK40" s="899"/>
      <c r="FPL40" s="899"/>
      <c r="FPM40" s="899"/>
      <c r="FPN40" s="899"/>
      <c r="FPO40" s="899"/>
      <c r="FPP40" s="899"/>
      <c r="FPQ40" s="899"/>
      <c r="FPR40" s="899"/>
      <c r="FPS40" s="899"/>
      <c r="FPT40" s="899"/>
      <c r="FPU40" s="899"/>
      <c r="FPV40" s="899"/>
      <c r="FPW40" s="899"/>
      <c r="FPX40" s="899"/>
      <c r="FPY40" s="899"/>
      <c r="FPZ40" s="899"/>
      <c r="FQA40" s="899"/>
      <c r="FQB40" s="899"/>
      <c r="FQC40" s="899"/>
      <c r="FQD40" s="899"/>
      <c r="FQE40" s="899"/>
      <c r="FQF40" s="899"/>
      <c r="FQG40" s="899"/>
      <c r="FQH40" s="899"/>
      <c r="FQI40" s="899"/>
      <c r="FQJ40" s="899"/>
      <c r="FQK40" s="899"/>
      <c r="FQL40" s="899"/>
      <c r="FQM40" s="899"/>
      <c r="FQN40" s="899"/>
      <c r="FQO40" s="899"/>
      <c r="FQP40" s="899"/>
      <c r="FQQ40" s="899"/>
      <c r="FQR40" s="899"/>
      <c r="FQS40" s="899"/>
      <c r="FQT40" s="899"/>
      <c r="FQU40" s="899"/>
      <c r="FQV40" s="899"/>
      <c r="FQW40" s="899"/>
      <c r="FQX40" s="899"/>
      <c r="FQY40" s="899"/>
      <c r="FQZ40" s="899"/>
      <c r="FRA40" s="899"/>
      <c r="FRB40" s="899"/>
      <c r="FRC40" s="899"/>
      <c r="FRD40" s="899"/>
      <c r="FRE40" s="899"/>
      <c r="FRF40" s="899"/>
      <c r="FRG40" s="899"/>
      <c r="FRH40" s="899"/>
      <c r="FRI40" s="899"/>
      <c r="FRJ40" s="899"/>
      <c r="FRK40" s="899"/>
      <c r="FRL40" s="899"/>
      <c r="FRM40" s="899"/>
      <c r="FRN40" s="899"/>
      <c r="FRO40" s="899"/>
      <c r="FRP40" s="899"/>
      <c r="FRQ40" s="899"/>
      <c r="FRR40" s="899"/>
      <c r="FRS40" s="899"/>
      <c r="FRT40" s="899"/>
      <c r="FRU40" s="899"/>
      <c r="FRV40" s="899"/>
      <c r="FRW40" s="899"/>
      <c r="FRX40" s="899"/>
      <c r="FRY40" s="899"/>
      <c r="FRZ40" s="899"/>
      <c r="FSA40" s="899"/>
      <c r="FSB40" s="899"/>
      <c r="FSC40" s="899"/>
      <c r="FSD40" s="899"/>
      <c r="FSE40" s="899"/>
      <c r="FSF40" s="899"/>
      <c r="FSG40" s="899"/>
      <c r="FSH40" s="899"/>
      <c r="FSI40" s="899"/>
      <c r="FSJ40" s="899"/>
      <c r="FSK40" s="899"/>
      <c r="FSL40" s="899"/>
      <c r="FSM40" s="899"/>
      <c r="FSN40" s="899"/>
      <c r="FSO40" s="899"/>
      <c r="FSP40" s="899"/>
      <c r="FSQ40" s="899"/>
      <c r="FSR40" s="899"/>
      <c r="FSS40" s="899"/>
      <c r="FST40" s="899"/>
      <c r="FSU40" s="899"/>
      <c r="FSV40" s="899"/>
      <c r="FSW40" s="899"/>
      <c r="FSX40" s="899"/>
      <c r="FSY40" s="899"/>
      <c r="FSZ40" s="899"/>
      <c r="FTA40" s="899"/>
      <c r="FTB40" s="899"/>
      <c r="FTC40" s="899"/>
      <c r="FTD40" s="899"/>
      <c r="FTE40" s="899"/>
      <c r="FTF40" s="899"/>
      <c r="FTG40" s="899"/>
      <c r="FTH40" s="899"/>
      <c r="FTI40" s="899"/>
      <c r="FTJ40" s="899"/>
      <c r="FTK40" s="899"/>
      <c r="FTL40" s="899"/>
      <c r="FTM40" s="899"/>
      <c r="FTN40" s="899"/>
      <c r="FTO40" s="899"/>
      <c r="FTP40" s="899"/>
      <c r="FTQ40" s="899"/>
      <c r="FTR40" s="899"/>
      <c r="FTS40" s="899"/>
      <c r="FTT40" s="899"/>
      <c r="FTU40" s="899"/>
      <c r="FTV40" s="899"/>
      <c r="FTW40" s="899"/>
      <c r="FTX40" s="899"/>
      <c r="FTY40" s="899"/>
      <c r="FTZ40" s="899"/>
      <c r="FUA40" s="899"/>
      <c r="FUB40" s="899"/>
      <c r="FUC40" s="899"/>
      <c r="FUD40" s="899"/>
      <c r="FUE40" s="899"/>
      <c r="FUF40" s="899"/>
      <c r="FUG40" s="899"/>
      <c r="FUH40" s="899"/>
      <c r="FUI40" s="899"/>
      <c r="FUJ40" s="899"/>
      <c r="FUK40" s="899"/>
      <c r="FUL40" s="899"/>
      <c r="FUM40" s="899"/>
      <c r="FUN40" s="899"/>
      <c r="FUO40" s="899"/>
      <c r="FUP40" s="899"/>
      <c r="FUQ40" s="899"/>
      <c r="FUR40" s="899"/>
      <c r="FUS40" s="899"/>
      <c r="FUT40" s="899"/>
      <c r="FUU40" s="899"/>
      <c r="FUV40" s="899"/>
      <c r="FUW40" s="899"/>
      <c r="FUX40" s="899"/>
      <c r="FUY40" s="899"/>
      <c r="FUZ40" s="899"/>
      <c r="FVA40" s="899"/>
      <c r="FVB40" s="899"/>
      <c r="FVC40" s="899"/>
      <c r="FVD40" s="899"/>
      <c r="FVE40" s="899"/>
      <c r="FVF40" s="899"/>
      <c r="FVG40" s="899"/>
      <c r="FVH40" s="899"/>
      <c r="FVI40" s="899"/>
      <c r="FVJ40" s="899"/>
      <c r="FVK40" s="899"/>
      <c r="FVL40" s="899"/>
      <c r="FVM40" s="899"/>
      <c r="FVN40" s="899"/>
      <c r="FVO40" s="899"/>
      <c r="FVP40" s="899"/>
      <c r="FVQ40" s="899"/>
      <c r="FVR40" s="899"/>
      <c r="FVS40" s="899"/>
      <c r="FVT40" s="899"/>
      <c r="FVU40" s="899"/>
      <c r="FVV40" s="899"/>
      <c r="FVW40" s="899"/>
      <c r="FVX40" s="899"/>
      <c r="FVY40" s="899"/>
      <c r="FVZ40" s="899"/>
      <c r="FWA40" s="899"/>
      <c r="FWB40" s="899"/>
      <c r="FWC40" s="899"/>
      <c r="FWD40" s="899"/>
      <c r="FWE40" s="899"/>
      <c r="FWF40" s="899"/>
      <c r="FWG40" s="899"/>
      <c r="FWH40" s="899"/>
      <c r="FWI40" s="899"/>
      <c r="FWJ40" s="899"/>
      <c r="FWK40" s="899"/>
      <c r="FWL40" s="899"/>
      <c r="FWM40" s="899"/>
      <c r="FWN40" s="899"/>
      <c r="FWO40" s="899"/>
      <c r="FWP40" s="899"/>
      <c r="FWQ40" s="899"/>
      <c r="FWR40" s="899"/>
      <c r="FWS40" s="899"/>
      <c r="FWT40" s="899"/>
      <c r="FWU40" s="899"/>
      <c r="FWV40" s="899"/>
      <c r="FWW40" s="899"/>
      <c r="FWX40" s="899"/>
      <c r="FWY40" s="899"/>
      <c r="FWZ40" s="899"/>
      <c r="FXA40" s="899"/>
      <c r="FXB40" s="899"/>
      <c r="FXC40" s="899"/>
      <c r="FXD40" s="899"/>
      <c r="FXE40" s="899"/>
      <c r="FXF40" s="899"/>
      <c r="FXG40" s="899"/>
      <c r="FXH40" s="899"/>
      <c r="FXI40" s="899"/>
      <c r="FXJ40" s="899"/>
      <c r="FXK40" s="899"/>
      <c r="FXL40" s="899"/>
      <c r="FXM40" s="899"/>
      <c r="FXN40" s="899"/>
      <c r="FXO40" s="899"/>
      <c r="FXP40" s="899"/>
      <c r="FXQ40" s="899"/>
      <c r="FXR40" s="899"/>
      <c r="FXS40" s="899"/>
      <c r="FXT40" s="899"/>
      <c r="FXU40" s="899"/>
      <c r="FXV40" s="899"/>
      <c r="FXW40" s="899"/>
      <c r="FXX40" s="899"/>
      <c r="FXY40" s="899"/>
      <c r="FXZ40" s="899"/>
      <c r="FYA40" s="899"/>
      <c r="FYB40" s="899"/>
      <c r="FYC40" s="899"/>
      <c r="FYD40" s="899"/>
      <c r="FYE40" s="899"/>
      <c r="FYF40" s="899"/>
      <c r="FYG40" s="899"/>
      <c r="FYH40" s="899"/>
      <c r="FYI40" s="899"/>
      <c r="FYJ40" s="899"/>
      <c r="FYK40" s="899"/>
      <c r="FYL40" s="899"/>
      <c r="FYM40" s="899"/>
      <c r="FYN40" s="899"/>
      <c r="FYO40" s="899"/>
      <c r="FYP40" s="899"/>
      <c r="FYQ40" s="899"/>
      <c r="FYR40" s="899"/>
      <c r="FYS40" s="899"/>
      <c r="FYT40" s="899"/>
      <c r="FYU40" s="899"/>
      <c r="FYV40" s="899"/>
      <c r="FYW40" s="899"/>
      <c r="FYX40" s="899"/>
      <c r="FYY40" s="899"/>
      <c r="FYZ40" s="899"/>
      <c r="FZA40" s="899"/>
      <c r="FZB40" s="899"/>
      <c r="FZC40" s="899"/>
      <c r="FZD40" s="899"/>
      <c r="FZE40" s="899"/>
      <c r="FZF40" s="899"/>
      <c r="FZG40" s="899"/>
      <c r="FZH40" s="899"/>
      <c r="FZI40" s="899"/>
      <c r="FZJ40" s="899"/>
      <c r="FZK40" s="899"/>
      <c r="FZL40" s="899"/>
      <c r="FZM40" s="899"/>
      <c r="FZN40" s="899"/>
      <c r="FZO40" s="899"/>
      <c r="FZP40" s="899"/>
      <c r="FZQ40" s="899"/>
      <c r="FZR40" s="899"/>
      <c r="FZS40" s="899"/>
      <c r="FZT40" s="899"/>
      <c r="FZU40" s="899"/>
      <c r="FZV40" s="899"/>
      <c r="FZW40" s="899"/>
      <c r="FZX40" s="899"/>
      <c r="FZY40" s="899"/>
      <c r="FZZ40" s="899"/>
      <c r="GAA40" s="899"/>
      <c r="GAB40" s="899"/>
      <c r="GAC40" s="899"/>
      <c r="GAD40" s="899"/>
      <c r="GAE40" s="899"/>
      <c r="GAF40" s="899"/>
      <c r="GAG40" s="899"/>
      <c r="GAH40" s="899"/>
      <c r="GAI40" s="899"/>
      <c r="GAJ40" s="899"/>
      <c r="GAK40" s="899"/>
      <c r="GAL40" s="899"/>
      <c r="GAM40" s="899"/>
      <c r="GAN40" s="899"/>
      <c r="GAO40" s="899"/>
      <c r="GAP40" s="899"/>
      <c r="GAQ40" s="899"/>
      <c r="GAR40" s="899"/>
      <c r="GAS40" s="899"/>
      <c r="GAT40" s="899"/>
      <c r="GAU40" s="899"/>
      <c r="GAV40" s="899"/>
      <c r="GAW40" s="899"/>
      <c r="GAX40" s="899"/>
      <c r="GAY40" s="899"/>
      <c r="GAZ40" s="899"/>
      <c r="GBA40" s="899"/>
      <c r="GBB40" s="899"/>
      <c r="GBC40" s="899"/>
      <c r="GBD40" s="899"/>
      <c r="GBE40" s="899"/>
      <c r="GBF40" s="899"/>
      <c r="GBG40" s="899"/>
      <c r="GBH40" s="899"/>
      <c r="GBI40" s="899"/>
      <c r="GBJ40" s="899"/>
      <c r="GBK40" s="899"/>
      <c r="GBL40" s="899"/>
      <c r="GBM40" s="899"/>
      <c r="GBN40" s="899"/>
      <c r="GBO40" s="899"/>
      <c r="GBP40" s="899"/>
      <c r="GBQ40" s="899"/>
      <c r="GBR40" s="899"/>
      <c r="GBS40" s="899"/>
      <c r="GBT40" s="899"/>
      <c r="GBU40" s="899"/>
      <c r="GBV40" s="899"/>
      <c r="GBW40" s="899"/>
      <c r="GBX40" s="899"/>
      <c r="GBY40" s="899"/>
      <c r="GBZ40" s="899"/>
      <c r="GCA40" s="899"/>
      <c r="GCB40" s="899"/>
      <c r="GCC40" s="899"/>
      <c r="GCD40" s="899"/>
      <c r="GCE40" s="899"/>
      <c r="GCF40" s="899"/>
      <c r="GCG40" s="899"/>
      <c r="GCH40" s="899"/>
      <c r="GCI40" s="899"/>
      <c r="GCJ40" s="899"/>
      <c r="GCK40" s="899"/>
      <c r="GCL40" s="899"/>
      <c r="GCM40" s="899"/>
      <c r="GCN40" s="899"/>
      <c r="GCO40" s="899"/>
      <c r="GCP40" s="899"/>
      <c r="GCQ40" s="899"/>
      <c r="GCR40" s="899"/>
      <c r="GCS40" s="899"/>
      <c r="GCT40" s="899"/>
      <c r="GCU40" s="899"/>
      <c r="GCV40" s="899"/>
      <c r="GCW40" s="899"/>
      <c r="GCX40" s="899"/>
      <c r="GCY40" s="899"/>
      <c r="GCZ40" s="899"/>
      <c r="GDA40" s="899"/>
      <c r="GDB40" s="899"/>
      <c r="GDC40" s="899"/>
      <c r="GDD40" s="899"/>
      <c r="GDE40" s="899"/>
      <c r="GDF40" s="899"/>
      <c r="GDG40" s="899"/>
      <c r="GDH40" s="899"/>
      <c r="GDI40" s="899"/>
      <c r="GDJ40" s="899"/>
      <c r="GDK40" s="899"/>
      <c r="GDL40" s="899"/>
      <c r="GDM40" s="899"/>
      <c r="GDN40" s="899"/>
      <c r="GDO40" s="899"/>
      <c r="GDP40" s="899"/>
      <c r="GDQ40" s="899"/>
      <c r="GDR40" s="899"/>
      <c r="GDS40" s="899"/>
      <c r="GDT40" s="899"/>
      <c r="GDU40" s="899"/>
      <c r="GDV40" s="899"/>
      <c r="GDW40" s="899"/>
      <c r="GDX40" s="899"/>
      <c r="GDY40" s="899"/>
      <c r="GDZ40" s="899"/>
      <c r="GEA40" s="899"/>
      <c r="GEB40" s="899"/>
      <c r="GEC40" s="899"/>
      <c r="GED40" s="899"/>
      <c r="GEE40" s="899"/>
      <c r="GEF40" s="899"/>
      <c r="GEG40" s="899"/>
      <c r="GEH40" s="899"/>
      <c r="GEI40" s="899"/>
      <c r="GEJ40" s="899"/>
      <c r="GEK40" s="899"/>
      <c r="GEL40" s="899"/>
      <c r="GEM40" s="899"/>
      <c r="GEN40" s="899"/>
      <c r="GEO40" s="899"/>
      <c r="GEP40" s="899"/>
      <c r="GEQ40" s="899"/>
      <c r="GER40" s="899"/>
      <c r="GES40" s="899"/>
      <c r="GET40" s="899"/>
      <c r="GEU40" s="899"/>
      <c r="GEV40" s="899"/>
      <c r="GEW40" s="899"/>
      <c r="GEX40" s="899"/>
      <c r="GEY40" s="899"/>
      <c r="GEZ40" s="899"/>
      <c r="GFA40" s="899"/>
      <c r="GFB40" s="899"/>
      <c r="GFC40" s="899"/>
      <c r="GFD40" s="899"/>
      <c r="GFE40" s="899"/>
      <c r="GFF40" s="899"/>
      <c r="GFG40" s="899"/>
      <c r="GFH40" s="899"/>
      <c r="GFI40" s="899"/>
      <c r="GFJ40" s="899"/>
      <c r="GFK40" s="899"/>
      <c r="GFL40" s="899"/>
      <c r="GFM40" s="899"/>
      <c r="GFN40" s="899"/>
      <c r="GFO40" s="899"/>
      <c r="GFP40" s="899"/>
      <c r="GFQ40" s="899"/>
      <c r="GFR40" s="899"/>
      <c r="GFS40" s="899"/>
      <c r="GFT40" s="899"/>
      <c r="GFU40" s="899"/>
      <c r="GFV40" s="899"/>
      <c r="GFW40" s="899"/>
      <c r="GFX40" s="899"/>
      <c r="GFY40" s="899"/>
      <c r="GFZ40" s="899"/>
      <c r="GGA40" s="899"/>
      <c r="GGB40" s="899"/>
      <c r="GGC40" s="899"/>
      <c r="GGD40" s="899"/>
      <c r="GGE40" s="899"/>
      <c r="GGF40" s="899"/>
      <c r="GGG40" s="899"/>
      <c r="GGH40" s="899"/>
      <c r="GGI40" s="899"/>
      <c r="GGJ40" s="899"/>
      <c r="GGK40" s="899"/>
      <c r="GGL40" s="899"/>
      <c r="GGM40" s="899"/>
      <c r="GGN40" s="899"/>
      <c r="GGO40" s="899"/>
      <c r="GGP40" s="899"/>
      <c r="GGQ40" s="899"/>
      <c r="GGR40" s="899"/>
      <c r="GGS40" s="899"/>
      <c r="GGT40" s="899"/>
      <c r="GGU40" s="899"/>
      <c r="GGV40" s="899"/>
      <c r="GGW40" s="899"/>
      <c r="GGX40" s="899"/>
      <c r="GGY40" s="899"/>
      <c r="GGZ40" s="899"/>
      <c r="GHA40" s="899"/>
      <c r="GHB40" s="899"/>
      <c r="GHC40" s="899"/>
      <c r="GHD40" s="899"/>
      <c r="GHE40" s="899"/>
      <c r="GHF40" s="899"/>
      <c r="GHG40" s="899"/>
      <c r="GHH40" s="899"/>
      <c r="GHI40" s="899"/>
      <c r="GHJ40" s="899"/>
      <c r="GHK40" s="899"/>
      <c r="GHL40" s="899"/>
      <c r="GHM40" s="899"/>
      <c r="GHN40" s="899"/>
      <c r="GHO40" s="899"/>
      <c r="GHP40" s="899"/>
      <c r="GHQ40" s="899"/>
      <c r="GHR40" s="899"/>
      <c r="GHS40" s="899"/>
      <c r="GHT40" s="899"/>
      <c r="GHU40" s="899"/>
      <c r="GHV40" s="899"/>
      <c r="GHW40" s="899"/>
      <c r="GHX40" s="899"/>
      <c r="GHY40" s="899"/>
      <c r="GHZ40" s="899"/>
      <c r="GIA40" s="899"/>
      <c r="GIB40" s="899"/>
      <c r="GIC40" s="899"/>
      <c r="GID40" s="899"/>
      <c r="GIE40" s="899"/>
      <c r="GIF40" s="899"/>
      <c r="GIG40" s="899"/>
      <c r="GIH40" s="899"/>
      <c r="GII40" s="899"/>
      <c r="GIJ40" s="899"/>
      <c r="GIK40" s="899"/>
      <c r="GIL40" s="899"/>
      <c r="GIM40" s="899"/>
      <c r="GIN40" s="899"/>
      <c r="GIO40" s="899"/>
      <c r="GIP40" s="899"/>
      <c r="GIQ40" s="899"/>
      <c r="GIR40" s="899"/>
      <c r="GIS40" s="899"/>
      <c r="GIT40" s="899"/>
      <c r="GIU40" s="899"/>
      <c r="GIV40" s="899"/>
      <c r="GIW40" s="899"/>
      <c r="GIX40" s="899"/>
      <c r="GIY40" s="899"/>
      <c r="GIZ40" s="899"/>
      <c r="GJA40" s="899"/>
      <c r="GJB40" s="899"/>
      <c r="GJC40" s="899"/>
      <c r="GJD40" s="899"/>
      <c r="GJE40" s="899"/>
      <c r="GJF40" s="899"/>
      <c r="GJG40" s="899"/>
      <c r="GJH40" s="899"/>
      <c r="GJI40" s="899"/>
      <c r="GJJ40" s="899"/>
      <c r="GJK40" s="899"/>
      <c r="GJL40" s="899"/>
      <c r="GJM40" s="899"/>
      <c r="GJN40" s="899"/>
      <c r="GJO40" s="899"/>
      <c r="GJP40" s="899"/>
      <c r="GJQ40" s="899"/>
      <c r="GJR40" s="899"/>
      <c r="GJS40" s="899"/>
      <c r="GJT40" s="899"/>
      <c r="GJU40" s="899"/>
      <c r="GJV40" s="899"/>
      <c r="GJW40" s="899"/>
      <c r="GJX40" s="899"/>
      <c r="GJY40" s="899"/>
      <c r="GJZ40" s="899"/>
      <c r="GKA40" s="899"/>
      <c r="GKB40" s="899"/>
      <c r="GKC40" s="899"/>
      <c r="GKD40" s="899"/>
      <c r="GKE40" s="899"/>
      <c r="GKF40" s="899"/>
      <c r="GKG40" s="899"/>
      <c r="GKH40" s="899"/>
      <c r="GKI40" s="899"/>
      <c r="GKJ40" s="899"/>
      <c r="GKK40" s="899"/>
      <c r="GKL40" s="899"/>
      <c r="GKM40" s="899"/>
      <c r="GKN40" s="899"/>
      <c r="GKO40" s="899"/>
      <c r="GKP40" s="899"/>
      <c r="GKQ40" s="899"/>
      <c r="GKR40" s="899"/>
      <c r="GKS40" s="899"/>
      <c r="GKT40" s="899"/>
      <c r="GKU40" s="899"/>
      <c r="GKV40" s="899"/>
      <c r="GKW40" s="899"/>
      <c r="GKX40" s="899"/>
      <c r="GKY40" s="899"/>
      <c r="GKZ40" s="899"/>
      <c r="GLA40" s="899"/>
      <c r="GLB40" s="899"/>
      <c r="GLC40" s="899"/>
      <c r="GLD40" s="899"/>
      <c r="GLE40" s="899"/>
      <c r="GLF40" s="899"/>
      <c r="GLG40" s="899"/>
      <c r="GLH40" s="899"/>
      <c r="GLI40" s="899"/>
      <c r="GLJ40" s="899"/>
      <c r="GLK40" s="899"/>
      <c r="GLL40" s="899"/>
      <c r="GLM40" s="899"/>
      <c r="GLN40" s="899"/>
      <c r="GLO40" s="899"/>
      <c r="GLP40" s="899"/>
      <c r="GLQ40" s="899"/>
      <c r="GLR40" s="899"/>
      <c r="GLS40" s="899"/>
      <c r="GLT40" s="899"/>
      <c r="GLU40" s="899"/>
      <c r="GLV40" s="899"/>
      <c r="GLW40" s="899"/>
      <c r="GLX40" s="899"/>
      <c r="GLY40" s="899"/>
      <c r="GLZ40" s="899"/>
      <c r="GMA40" s="899"/>
      <c r="GMB40" s="899"/>
      <c r="GMC40" s="899"/>
      <c r="GMD40" s="899"/>
      <c r="GME40" s="899"/>
      <c r="GMF40" s="899"/>
      <c r="GMG40" s="899"/>
      <c r="GMH40" s="899"/>
      <c r="GMI40" s="899"/>
      <c r="GMJ40" s="899"/>
      <c r="GMK40" s="899"/>
      <c r="GML40" s="899"/>
      <c r="GMM40" s="899"/>
      <c r="GMN40" s="899"/>
      <c r="GMO40" s="899"/>
      <c r="GMP40" s="899"/>
      <c r="GMQ40" s="899"/>
      <c r="GMR40" s="899"/>
      <c r="GMS40" s="899"/>
      <c r="GMT40" s="899"/>
      <c r="GMU40" s="899"/>
      <c r="GMV40" s="899"/>
      <c r="GMW40" s="899"/>
      <c r="GMX40" s="899"/>
      <c r="GMY40" s="899"/>
      <c r="GMZ40" s="899"/>
      <c r="GNA40" s="899"/>
      <c r="GNB40" s="899"/>
      <c r="GNC40" s="899"/>
      <c r="GND40" s="899"/>
      <c r="GNE40" s="899"/>
      <c r="GNF40" s="899"/>
      <c r="GNG40" s="899"/>
      <c r="GNH40" s="899"/>
      <c r="GNI40" s="899"/>
      <c r="GNJ40" s="899"/>
      <c r="GNK40" s="899"/>
      <c r="GNL40" s="899"/>
      <c r="GNM40" s="899"/>
      <c r="GNN40" s="899"/>
      <c r="GNO40" s="899"/>
      <c r="GNP40" s="899"/>
      <c r="GNQ40" s="899"/>
      <c r="GNR40" s="899"/>
      <c r="GNS40" s="899"/>
      <c r="GNT40" s="899"/>
      <c r="GNU40" s="899"/>
      <c r="GNV40" s="899"/>
      <c r="GNW40" s="899"/>
      <c r="GNX40" s="899"/>
      <c r="GNY40" s="899"/>
      <c r="GNZ40" s="899"/>
      <c r="GOA40" s="899"/>
      <c r="GOB40" s="899"/>
      <c r="GOC40" s="899"/>
      <c r="GOD40" s="899"/>
      <c r="GOE40" s="899"/>
      <c r="GOF40" s="899"/>
      <c r="GOG40" s="899"/>
      <c r="GOH40" s="899"/>
      <c r="GOI40" s="899"/>
      <c r="GOJ40" s="899"/>
      <c r="GOK40" s="899"/>
      <c r="GOL40" s="899"/>
      <c r="GOM40" s="899"/>
      <c r="GON40" s="899"/>
      <c r="GOO40" s="899"/>
      <c r="GOP40" s="899"/>
      <c r="GOQ40" s="899"/>
      <c r="GOR40" s="899"/>
      <c r="GOS40" s="899"/>
      <c r="GOT40" s="899"/>
      <c r="GOU40" s="899"/>
      <c r="GOV40" s="899"/>
      <c r="GOW40" s="899"/>
      <c r="GOX40" s="899"/>
      <c r="GOY40" s="899"/>
      <c r="GOZ40" s="899"/>
      <c r="GPA40" s="899"/>
      <c r="GPB40" s="899"/>
      <c r="GPC40" s="899"/>
      <c r="GPD40" s="899"/>
      <c r="GPE40" s="899"/>
      <c r="GPF40" s="899"/>
      <c r="GPG40" s="899"/>
      <c r="GPH40" s="899"/>
      <c r="GPI40" s="899"/>
      <c r="GPJ40" s="899"/>
      <c r="GPK40" s="899"/>
      <c r="GPL40" s="899"/>
      <c r="GPM40" s="899"/>
      <c r="GPN40" s="899"/>
      <c r="GPO40" s="899"/>
      <c r="GPP40" s="899"/>
      <c r="GPQ40" s="899"/>
      <c r="GPR40" s="899"/>
      <c r="GPS40" s="899"/>
      <c r="GPT40" s="899"/>
      <c r="GPU40" s="899"/>
      <c r="GPV40" s="899"/>
      <c r="GPW40" s="899"/>
      <c r="GPX40" s="899"/>
      <c r="GPY40" s="899"/>
      <c r="GPZ40" s="899"/>
      <c r="GQA40" s="899"/>
      <c r="GQB40" s="899"/>
      <c r="GQC40" s="899"/>
      <c r="GQD40" s="899"/>
      <c r="GQE40" s="899"/>
      <c r="GQF40" s="899"/>
      <c r="GQG40" s="899"/>
      <c r="GQH40" s="899"/>
      <c r="GQI40" s="899"/>
      <c r="GQJ40" s="899"/>
      <c r="GQK40" s="899"/>
      <c r="GQL40" s="899"/>
      <c r="GQM40" s="899"/>
      <c r="GQN40" s="899"/>
      <c r="GQO40" s="899"/>
      <c r="GQP40" s="899"/>
      <c r="GQQ40" s="899"/>
      <c r="GQR40" s="899"/>
      <c r="GQS40" s="899"/>
      <c r="GQT40" s="899"/>
      <c r="GQU40" s="899"/>
      <c r="GQV40" s="899"/>
      <c r="GQW40" s="899"/>
      <c r="GQX40" s="899"/>
      <c r="GQY40" s="899"/>
      <c r="GQZ40" s="899"/>
      <c r="GRA40" s="899"/>
      <c r="GRB40" s="899"/>
      <c r="GRC40" s="899"/>
      <c r="GRD40" s="899"/>
      <c r="GRE40" s="899"/>
      <c r="GRF40" s="899"/>
      <c r="GRG40" s="899"/>
      <c r="GRH40" s="899"/>
      <c r="GRI40" s="899"/>
      <c r="GRJ40" s="899"/>
      <c r="GRK40" s="899"/>
      <c r="GRL40" s="899"/>
      <c r="GRM40" s="899"/>
      <c r="GRN40" s="899"/>
      <c r="GRO40" s="899"/>
      <c r="GRP40" s="899"/>
      <c r="GRQ40" s="899"/>
      <c r="GRR40" s="899"/>
      <c r="GRS40" s="899"/>
      <c r="GRT40" s="899"/>
      <c r="GRU40" s="899"/>
      <c r="GRV40" s="899"/>
      <c r="GRW40" s="899"/>
      <c r="GRX40" s="899"/>
      <c r="GRY40" s="899"/>
      <c r="GRZ40" s="899"/>
      <c r="GSA40" s="899"/>
      <c r="GSB40" s="899"/>
      <c r="GSC40" s="899"/>
      <c r="GSD40" s="899"/>
      <c r="GSE40" s="899"/>
      <c r="GSF40" s="899"/>
      <c r="GSG40" s="899"/>
      <c r="GSH40" s="899"/>
      <c r="GSI40" s="899"/>
      <c r="GSJ40" s="899"/>
      <c r="GSK40" s="899"/>
      <c r="GSL40" s="899"/>
      <c r="GSM40" s="899"/>
      <c r="GSN40" s="899"/>
      <c r="GSO40" s="899"/>
      <c r="GSP40" s="899"/>
      <c r="GSQ40" s="899"/>
      <c r="GSR40" s="899"/>
      <c r="GSS40" s="899"/>
      <c r="GST40" s="899"/>
      <c r="GSU40" s="899"/>
      <c r="GSV40" s="899"/>
      <c r="GSW40" s="899"/>
      <c r="GSX40" s="899"/>
      <c r="GSY40" s="899"/>
      <c r="GSZ40" s="899"/>
      <c r="GTA40" s="899"/>
      <c r="GTB40" s="899"/>
      <c r="GTC40" s="899"/>
      <c r="GTD40" s="899"/>
      <c r="GTE40" s="899"/>
      <c r="GTF40" s="899"/>
      <c r="GTG40" s="899"/>
      <c r="GTH40" s="899"/>
      <c r="GTI40" s="899"/>
      <c r="GTJ40" s="899"/>
      <c r="GTK40" s="899"/>
      <c r="GTL40" s="899"/>
      <c r="GTM40" s="899"/>
      <c r="GTN40" s="899"/>
      <c r="GTO40" s="899"/>
      <c r="GTP40" s="899"/>
      <c r="GTQ40" s="899"/>
      <c r="GTR40" s="899"/>
      <c r="GTS40" s="899"/>
      <c r="GTT40" s="899"/>
      <c r="GTU40" s="899"/>
      <c r="GTV40" s="899"/>
      <c r="GTW40" s="899"/>
      <c r="GTX40" s="899"/>
      <c r="GTY40" s="899"/>
      <c r="GTZ40" s="899"/>
      <c r="GUA40" s="899"/>
      <c r="GUB40" s="899"/>
      <c r="GUC40" s="899"/>
      <c r="GUD40" s="899"/>
      <c r="GUE40" s="899"/>
      <c r="GUF40" s="899"/>
      <c r="GUG40" s="899"/>
      <c r="GUH40" s="899"/>
      <c r="GUI40" s="899"/>
      <c r="GUJ40" s="899"/>
      <c r="GUK40" s="899"/>
      <c r="GUL40" s="899"/>
      <c r="GUM40" s="899"/>
      <c r="GUN40" s="899"/>
      <c r="GUO40" s="899"/>
      <c r="GUP40" s="899"/>
      <c r="GUQ40" s="899"/>
      <c r="GUR40" s="899"/>
      <c r="GUS40" s="899"/>
      <c r="GUT40" s="899"/>
      <c r="GUU40" s="899"/>
      <c r="GUV40" s="899"/>
      <c r="GUW40" s="899"/>
      <c r="GUX40" s="899"/>
      <c r="GUY40" s="899"/>
      <c r="GUZ40" s="899"/>
      <c r="GVA40" s="899"/>
      <c r="GVB40" s="899"/>
      <c r="GVC40" s="899"/>
      <c r="GVD40" s="899"/>
      <c r="GVE40" s="899"/>
      <c r="GVF40" s="899"/>
      <c r="GVG40" s="899"/>
      <c r="GVH40" s="899"/>
      <c r="GVI40" s="899"/>
      <c r="GVJ40" s="899"/>
      <c r="GVK40" s="899"/>
      <c r="GVL40" s="899"/>
      <c r="GVM40" s="899"/>
      <c r="GVN40" s="899"/>
      <c r="GVO40" s="899"/>
      <c r="GVP40" s="899"/>
      <c r="GVQ40" s="899"/>
      <c r="GVR40" s="899"/>
      <c r="GVS40" s="899"/>
      <c r="GVT40" s="899"/>
      <c r="GVU40" s="899"/>
      <c r="GVV40" s="899"/>
      <c r="GVW40" s="899"/>
      <c r="GVX40" s="899"/>
      <c r="GVY40" s="899"/>
      <c r="GVZ40" s="899"/>
      <c r="GWA40" s="899"/>
      <c r="GWB40" s="899"/>
      <c r="GWC40" s="899"/>
      <c r="GWD40" s="899"/>
      <c r="GWE40" s="899"/>
      <c r="GWF40" s="899"/>
      <c r="GWG40" s="899"/>
      <c r="GWH40" s="899"/>
      <c r="GWI40" s="899"/>
      <c r="GWJ40" s="899"/>
      <c r="GWK40" s="899"/>
      <c r="GWL40" s="899"/>
      <c r="GWM40" s="899"/>
      <c r="GWN40" s="899"/>
      <c r="GWO40" s="899"/>
      <c r="GWP40" s="899"/>
      <c r="GWQ40" s="899"/>
      <c r="GWR40" s="899"/>
      <c r="GWS40" s="899"/>
      <c r="GWT40" s="899"/>
      <c r="GWU40" s="899"/>
      <c r="GWV40" s="899"/>
      <c r="GWW40" s="899"/>
      <c r="GWX40" s="899"/>
      <c r="GWY40" s="899"/>
      <c r="GWZ40" s="899"/>
      <c r="GXA40" s="899"/>
      <c r="GXB40" s="899"/>
      <c r="GXC40" s="899"/>
      <c r="GXD40" s="899"/>
      <c r="GXE40" s="899"/>
      <c r="GXF40" s="899"/>
      <c r="GXG40" s="899"/>
      <c r="GXH40" s="899"/>
      <c r="GXI40" s="899"/>
      <c r="GXJ40" s="899"/>
      <c r="GXK40" s="899"/>
      <c r="GXL40" s="899"/>
      <c r="GXM40" s="899"/>
      <c r="GXN40" s="899"/>
      <c r="GXO40" s="899"/>
      <c r="GXP40" s="899"/>
      <c r="GXQ40" s="899"/>
      <c r="GXR40" s="899"/>
      <c r="GXS40" s="899"/>
      <c r="GXT40" s="899"/>
      <c r="GXU40" s="899"/>
      <c r="GXV40" s="899"/>
      <c r="GXW40" s="899"/>
      <c r="GXX40" s="899"/>
      <c r="GXY40" s="899"/>
      <c r="GXZ40" s="899"/>
      <c r="GYA40" s="899"/>
      <c r="GYB40" s="899"/>
      <c r="GYC40" s="899"/>
      <c r="GYD40" s="899"/>
      <c r="GYE40" s="899"/>
      <c r="GYF40" s="899"/>
      <c r="GYG40" s="899"/>
      <c r="GYH40" s="899"/>
      <c r="GYI40" s="899"/>
      <c r="GYJ40" s="899"/>
      <c r="GYK40" s="899"/>
      <c r="GYL40" s="899"/>
      <c r="GYM40" s="899"/>
      <c r="GYN40" s="899"/>
      <c r="GYO40" s="899"/>
      <c r="GYP40" s="899"/>
      <c r="GYQ40" s="899"/>
      <c r="GYR40" s="899"/>
      <c r="GYS40" s="899"/>
      <c r="GYT40" s="899"/>
      <c r="GYU40" s="899"/>
      <c r="GYV40" s="899"/>
      <c r="GYW40" s="899"/>
      <c r="GYX40" s="899"/>
      <c r="GYY40" s="899"/>
      <c r="GYZ40" s="899"/>
      <c r="GZA40" s="899"/>
      <c r="GZB40" s="899"/>
      <c r="GZC40" s="899"/>
      <c r="GZD40" s="899"/>
      <c r="GZE40" s="899"/>
      <c r="GZF40" s="899"/>
      <c r="GZG40" s="899"/>
      <c r="GZH40" s="899"/>
      <c r="GZI40" s="899"/>
      <c r="GZJ40" s="899"/>
      <c r="GZK40" s="899"/>
      <c r="GZL40" s="899"/>
      <c r="GZM40" s="899"/>
      <c r="GZN40" s="899"/>
      <c r="GZO40" s="899"/>
      <c r="GZP40" s="899"/>
      <c r="GZQ40" s="899"/>
      <c r="GZR40" s="899"/>
      <c r="GZS40" s="899"/>
      <c r="GZT40" s="899"/>
      <c r="GZU40" s="899"/>
      <c r="GZV40" s="899"/>
      <c r="GZW40" s="899"/>
      <c r="GZX40" s="899"/>
      <c r="GZY40" s="899"/>
      <c r="GZZ40" s="899"/>
      <c r="HAA40" s="899"/>
      <c r="HAB40" s="899"/>
      <c r="HAC40" s="899"/>
      <c r="HAD40" s="899"/>
      <c r="HAE40" s="899"/>
      <c r="HAF40" s="899"/>
      <c r="HAG40" s="899"/>
      <c r="HAH40" s="899"/>
      <c r="HAI40" s="899"/>
      <c r="HAJ40" s="899"/>
      <c r="HAK40" s="899"/>
      <c r="HAL40" s="899"/>
      <c r="HAM40" s="899"/>
      <c r="HAN40" s="899"/>
      <c r="HAO40" s="899"/>
      <c r="HAP40" s="899"/>
      <c r="HAQ40" s="899"/>
      <c r="HAR40" s="899"/>
      <c r="HAS40" s="899"/>
      <c r="HAT40" s="899"/>
      <c r="HAU40" s="899"/>
      <c r="HAV40" s="899"/>
      <c r="HAW40" s="899"/>
      <c r="HAX40" s="899"/>
      <c r="HAY40" s="899"/>
      <c r="HAZ40" s="899"/>
      <c r="HBA40" s="899"/>
      <c r="HBB40" s="899"/>
      <c r="HBC40" s="899"/>
      <c r="HBD40" s="899"/>
      <c r="HBE40" s="899"/>
      <c r="HBF40" s="899"/>
      <c r="HBG40" s="899"/>
      <c r="HBH40" s="899"/>
      <c r="HBI40" s="899"/>
      <c r="HBJ40" s="899"/>
      <c r="HBK40" s="899"/>
      <c r="HBL40" s="899"/>
      <c r="HBM40" s="899"/>
      <c r="HBN40" s="899"/>
      <c r="HBO40" s="899"/>
      <c r="HBP40" s="899"/>
      <c r="HBQ40" s="899"/>
      <c r="HBR40" s="899"/>
      <c r="HBS40" s="899"/>
      <c r="HBT40" s="899"/>
      <c r="HBU40" s="899"/>
      <c r="HBV40" s="899"/>
      <c r="HBW40" s="899"/>
      <c r="HBX40" s="899"/>
      <c r="HBY40" s="899"/>
      <c r="HBZ40" s="899"/>
      <c r="HCA40" s="899"/>
      <c r="HCB40" s="899"/>
      <c r="HCC40" s="899"/>
      <c r="HCD40" s="899"/>
      <c r="HCE40" s="899"/>
      <c r="HCF40" s="899"/>
      <c r="HCG40" s="899"/>
      <c r="HCH40" s="899"/>
      <c r="HCI40" s="899"/>
      <c r="HCJ40" s="899"/>
      <c r="HCK40" s="899"/>
      <c r="HCL40" s="899"/>
      <c r="HCM40" s="899"/>
      <c r="HCN40" s="899"/>
      <c r="HCO40" s="899"/>
      <c r="HCP40" s="899"/>
      <c r="HCQ40" s="899"/>
      <c r="HCR40" s="899"/>
      <c r="HCS40" s="899"/>
      <c r="HCT40" s="899"/>
      <c r="HCU40" s="899"/>
      <c r="HCV40" s="899"/>
      <c r="HCW40" s="899"/>
      <c r="HCX40" s="899"/>
      <c r="HCY40" s="899"/>
      <c r="HCZ40" s="899"/>
      <c r="HDA40" s="899"/>
      <c r="HDB40" s="899"/>
      <c r="HDC40" s="899"/>
      <c r="HDD40" s="899"/>
      <c r="HDE40" s="899"/>
      <c r="HDF40" s="899"/>
      <c r="HDG40" s="899"/>
      <c r="HDH40" s="899"/>
      <c r="HDI40" s="899"/>
      <c r="HDJ40" s="899"/>
      <c r="HDK40" s="899"/>
      <c r="HDL40" s="899"/>
      <c r="HDM40" s="899"/>
      <c r="HDN40" s="899"/>
      <c r="HDO40" s="899"/>
      <c r="HDP40" s="899"/>
      <c r="HDQ40" s="899"/>
      <c r="HDR40" s="899"/>
      <c r="HDS40" s="899"/>
      <c r="HDT40" s="899"/>
      <c r="HDU40" s="899"/>
      <c r="HDV40" s="899"/>
      <c r="HDW40" s="899"/>
      <c r="HDX40" s="899"/>
      <c r="HDY40" s="899"/>
      <c r="HDZ40" s="899"/>
      <c r="HEA40" s="899"/>
      <c r="HEB40" s="899"/>
      <c r="HEC40" s="899"/>
      <c r="HED40" s="899"/>
      <c r="HEE40" s="899"/>
      <c r="HEF40" s="899"/>
      <c r="HEG40" s="899"/>
      <c r="HEH40" s="899"/>
      <c r="HEI40" s="899"/>
      <c r="HEJ40" s="899"/>
      <c r="HEK40" s="899"/>
      <c r="HEL40" s="899"/>
      <c r="HEM40" s="899"/>
      <c r="HEN40" s="899"/>
      <c r="HEO40" s="899"/>
      <c r="HEP40" s="899"/>
      <c r="HEQ40" s="899"/>
      <c r="HER40" s="899"/>
      <c r="HES40" s="899"/>
      <c r="HET40" s="899"/>
      <c r="HEU40" s="899"/>
      <c r="HEV40" s="899"/>
      <c r="HEW40" s="899"/>
      <c r="HEX40" s="899"/>
      <c r="HEY40" s="899"/>
      <c r="HEZ40" s="899"/>
      <c r="HFA40" s="899"/>
      <c r="HFB40" s="899"/>
      <c r="HFC40" s="899"/>
      <c r="HFD40" s="899"/>
      <c r="HFE40" s="899"/>
      <c r="HFF40" s="899"/>
      <c r="HFG40" s="899"/>
      <c r="HFH40" s="899"/>
      <c r="HFI40" s="899"/>
      <c r="HFJ40" s="899"/>
      <c r="HFK40" s="899"/>
      <c r="HFL40" s="899"/>
      <c r="HFM40" s="899"/>
      <c r="HFN40" s="899"/>
      <c r="HFO40" s="899"/>
      <c r="HFP40" s="899"/>
      <c r="HFQ40" s="899"/>
      <c r="HFR40" s="899"/>
      <c r="HFS40" s="899"/>
      <c r="HFT40" s="899"/>
      <c r="HFU40" s="899"/>
      <c r="HFV40" s="899"/>
      <c r="HFW40" s="899"/>
      <c r="HFX40" s="899"/>
      <c r="HFY40" s="899"/>
      <c r="HFZ40" s="899"/>
      <c r="HGA40" s="899"/>
      <c r="HGB40" s="899"/>
      <c r="HGC40" s="899"/>
      <c r="HGD40" s="899"/>
      <c r="HGE40" s="899"/>
      <c r="HGF40" s="899"/>
      <c r="HGG40" s="899"/>
      <c r="HGH40" s="899"/>
      <c r="HGI40" s="899"/>
      <c r="HGJ40" s="899"/>
      <c r="HGK40" s="899"/>
      <c r="HGL40" s="899"/>
      <c r="HGM40" s="899"/>
      <c r="HGN40" s="899"/>
      <c r="HGO40" s="899"/>
      <c r="HGP40" s="899"/>
      <c r="HGQ40" s="899"/>
      <c r="HGR40" s="899"/>
      <c r="HGS40" s="899"/>
      <c r="HGT40" s="899"/>
      <c r="HGU40" s="899"/>
      <c r="HGV40" s="899"/>
      <c r="HGW40" s="899"/>
      <c r="HGX40" s="899"/>
      <c r="HGY40" s="899"/>
      <c r="HGZ40" s="899"/>
      <c r="HHA40" s="899"/>
      <c r="HHB40" s="899"/>
      <c r="HHC40" s="899"/>
      <c r="HHD40" s="899"/>
      <c r="HHE40" s="899"/>
      <c r="HHF40" s="899"/>
      <c r="HHG40" s="899"/>
      <c r="HHH40" s="899"/>
      <c r="HHI40" s="899"/>
      <c r="HHJ40" s="899"/>
      <c r="HHK40" s="899"/>
      <c r="HHL40" s="899"/>
      <c r="HHM40" s="899"/>
      <c r="HHN40" s="899"/>
      <c r="HHO40" s="899"/>
      <c r="HHP40" s="899"/>
      <c r="HHQ40" s="899"/>
      <c r="HHR40" s="899"/>
      <c r="HHS40" s="899"/>
      <c r="HHT40" s="899"/>
      <c r="HHU40" s="899"/>
      <c r="HHV40" s="899"/>
      <c r="HHW40" s="899"/>
      <c r="HHX40" s="899"/>
      <c r="HHY40" s="899"/>
      <c r="HHZ40" s="899"/>
      <c r="HIA40" s="899"/>
      <c r="HIB40" s="899"/>
      <c r="HIC40" s="899"/>
      <c r="HID40" s="899"/>
      <c r="HIE40" s="899"/>
      <c r="HIF40" s="899"/>
      <c r="HIG40" s="899"/>
      <c r="HIH40" s="899"/>
      <c r="HII40" s="899"/>
      <c r="HIJ40" s="899"/>
      <c r="HIK40" s="899"/>
      <c r="HIL40" s="899"/>
      <c r="HIM40" s="899"/>
      <c r="HIN40" s="899"/>
      <c r="HIO40" s="899"/>
      <c r="HIP40" s="899"/>
      <c r="HIQ40" s="899"/>
      <c r="HIR40" s="899"/>
      <c r="HIS40" s="899"/>
      <c r="HIT40" s="899"/>
      <c r="HIU40" s="899"/>
      <c r="HIV40" s="899"/>
      <c r="HIW40" s="899"/>
      <c r="HIX40" s="899"/>
      <c r="HIY40" s="899"/>
      <c r="HIZ40" s="899"/>
      <c r="HJA40" s="899"/>
      <c r="HJB40" s="899"/>
      <c r="HJC40" s="899"/>
      <c r="HJD40" s="899"/>
      <c r="HJE40" s="899"/>
      <c r="HJF40" s="899"/>
      <c r="HJG40" s="899"/>
      <c r="HJH40" s="899"/>
      <c r="HJI40" s="899"/>
      <c r="HJJ40" s="899"/>
      <c r="HJK40" s="899"/>
      <c r="HJL40" s="899"/>
      <c r="HJM40" s="899"/>
      <c r="HJN40" s="899"/>
      <c r="HJO40" s="899"/>
      <c r="HJP40" s="899"/>
      <c r="HJQ40" s="899"/>
      <c r="HJR40" s="899"/>
      <c r="HJS40" s="899"/>
      <c r="HJT40" s="899"/>
      <c r="HJU40" s="899"/>
      <c r="HJV40" s="899"/>
      <c r="HJW40" s="899"/>
      <c r="HJX40" s="899"/>
      <c r="HJY40" s="899"/>
      <c r="HJZ40" s="899"/>
      <c r="HKA40" s="899"/>
      <c r="HKB40" s="899"/>
      <c r="HKC40" s="899"/>
      <c r="HKD40" s="899"/>
      <c r="HKE40" s="899"/>
      <c r="HKF40" s="899"/>
      <c r="HKG40" s="899"/>
      <c r="HKH40" s="899"/>
      <c r="HKI40" s="899"/>
      <c r="HKJ40" s="899"/>
      <c r="HKK40" s="899"/>
      <c r="HKL40" s="899"/>
      <c r="HKM40" s="899"/>
      <c r="HKN40" s="899"/>
      <c r="HKO40" s="899"/>
      <c r="HKP40" s="899"/>
      <c r="HKQ40" s="899"/>
      <c r="HKR40" s="899"/>
      <c r="HKS40" s="899"/>
      <c r="HKT40" s="899"/>
      <c r="HKU40" s="899"/>
      <c r="HKV40" s="899"/>
      <c r="HKW40" s="899"/>
      <c r="HKX40" s="899"/>
      <c r="HKY40" s="899"/>
      <c r="HKZ40" s="899"/>
      <c r="HLA40" s="899"/>
      <c r="HLB40" s="899"/>
      <c r="HLC40" s="899"/>
      <c r="HLD40" s="899"/>
      <c r="HLE40" s="899"/>
      <c r="HLF40" s="899"/>
      <c r="HLG40" s="899"/>
      <c r="HLH40" s="899"/>
      <c r="HLI40" s="899"/>
      <c r="HLJ40" s="899"/>
      <c r="HLK40" s="899"/>
      <c r="HLL40" s="899"/>
      <c r="HLM40" s="899"/>
      <c r="HLN40" s="899"/>
      <c r="HLO40" s="899"/>
      <c r="HLP40" s="899"/>
      <c r="HLQ40" s="899"/>
      <c r="HLR40" s="899"/>
      <c r="HLS40" s="899"/>
      <c r="HLT40" s="899"/>
      <c r="HLU40" s="899"/>
      <c r="HLV40" s="899"/>
      <c r="HLW40" s="899"/>
      <c r="HLX40" s="899"/>
      <c r="HLY40" s="899"/>
      <c r="HLZ40" s="899"/>
      <c r="HMA40" s="899"/>
      <c r="HMB40" s="899"/>
      <c r="HMC40" s="899"/>
      <c r="HMD40" s="899"/>
      <c r="HME40" s="899"/>
      <c r="HMF40" s="899"/>
      <c r="HMG40" s="899"/>
      <c r="HMH40" s="899"/>
      <c r="HMI40" s="899"/>
      <c r="HMJ40" s="899"/>
      <c r="HMK40" s="899"/>
      <c r="HML40" s="899"/>
      <c r="HMM40" s="899"/>
      <c r="HMN40" s="899"/>
      <c r="HMO40" s="899"/>
      <c r="HMP40" s="899"/>
      <c r="HMQ40" s="899"/>
      <c r="HMR40" s="899"/>
      <c r="HMS40" s="899"/>
      <c r="HMT40" s="899"/>
      <c r="HMU40" s="899"/>
      <c r="HMV40" s="899"/>
      <c r="HMW40" s="899"/>
      <c r="HMX40" s="899"/>
      <c r="HMY40" s="899"/>
      <c r="HMZ40" s="899"/>
      <c r="HNA40" s="899"/>
      <c r="HNB40" s="899"/>
      <c r="HNC40" s="899"/>
      <c r="HND40" s="899"/>
      <c r="HNE40" s="899"/>
      <c r="HNF40" s="899"/>
      <c r="HNG40" s="899"/>
      <c r="HNH40" s="899"/>
      <c r="HNI40" s="899"/>
      <c r="HNJ40" s="899"/>
      <c r="HNK40" s="899"/>
      <c r="HNL40" s="899"/>
      <c r="HNM40" s="899"/>
      <c r="HNN40" s="899"/>
      <c r="HNO40" s="899"/>
      <c r="HNP40" s="899"/>
      <c r="HNQ40" s="899"/>
      <c r="HNR40" s="899"/>
      <c r="HNS40" s="899"/>
      <c r="HNT40" s="899"/>
      <c r="HNU40" s="899"/>
      <c r="HNV40" s="899"/>
      <c r="HNW40" s="899"/>
      <c r="HNX40" s="899"/>
      <c r="HNY40" s="899"/>
      <c r="HNZ40" s="899"/>
      <c r="HOA40" s="899"/>
      <c r="HOB40" s="899"/>
      <c r="HOC40" s="899"/>
      <c r="HOD40" s="899"/>
      <c r="HOE40" s="899"/>
      <c r="HOF40" s="899"/>
      <c r="HOG40" s="899"/>
      <c r="HOH40" s="899"/>
      <c r="HOI40" s="899"/>
      <c r="HOJ40" s="899"/>
      <c r="HOK40" s="899"/>
      <c r="HOL40" s="899"/>
      <c r="HOM40" s="899"/>
      <c r="HON40" s="899"/>
      <c r="HOO40" s="899"/>
      <c r="HOP40" s="899"/>
      <c r="HOQ40" s="899"/>
      <c r="HOR40" s="899"/>
      <c r="HOS40" s="899"/>
      <c r="HOT40" s="899"/>
      <c r="HOU40" s="899"/>
      <c r="HOV40" s="899"/>
      <c r="HOW40" s="899"/>
      <c r="HOX40" s="899"/>
      <c r="HOY40" s="899"/>
      <c r="HOZ40" s="899"/>
      <c r="HPA40" s="899"/>
      <c r="HPB40" s="899"/>
      <c r="HPC40" s="899"/>
      <c r="HPD40" s="899"/>
      <c r="HPE40" s="899"/>
      <c r="HPF40" s="899"/>
      <c r="HPG40" s="899"/>
      <c r="HPH40" s="899"/>
      <c r="HPI40" s="899"/>
      <c r="HPJ40" s="899"/>
      <c r="HPK40" s="899"/>
      <c r="HPL40" s="899"/>
      <c r="HPM40" s="899"/>
      <c r="HPN40" s="899"/>
      <c r="HPO40" s="899"/>
      <c r="HPP40" s="899"/>
      <c r="HPQ40" s="899"/>
      <c r="HPR40" s="899"/>
      <c r="HPS40" s="899"/>
      <c r="HPT40" s="899"/>
      <c r="HPU40" s="899"/>
      <c r="HPV40" s="899"/>
      <c r="HPW40" s="899"/>
      <c r="HPX40" s="899"/>
      <c r="HPY40" s="899"/>
      <c r="HPZ40" s="899"/>
      <c r="HQA40" s="899"/>
      <c r="HQB40" s="899"/>
      <c r="HQC40" s="899"/>
      <c r="HQD40" s="899"/>
      <c r="HQE40" s="899"/>
      <c r="HQF40" s="899"/>
      <c r="HQG40" s="899"/>
      <c r="HQH40" s="899"/>
      <c r="HQI40" s="899"/>
      <c r="HQJ40" s="899"/>
      <c r="HQK40" s="899"/>
      <c r="HQL40" s="899"/>
      <c r="HQM40" s="899"/>
      <c r="HQN40" s="899"/>
      <c r="HQO40" s="899"/>
      <c r="HQP40" s="899"/>
      <c r="HQQ40" s="899"/>
      <c r="HQR40" s="899"/>
      <c r="HQS40" s="899"/>
      <c r="HQT40" s="899"/>
      <c r="HQU40" s="899"/>
      <c r="HQV40" s="899"/>
      <c r="HQW40" s="899"/>
      <c r="HQX40" s="899"/>
      <c r="HQY40" s="899"/>
      <c r="HQZ40" s="899"/>
      <c r="HRA40" s="899"/>
      <c r="HRB40" s="899"/>
      <c r="HRC40" s="899"/>
      <c r="HRD40" s="899"/>
      <c r="HRE40" s="899"/>
      <c r="HRF40" s="899"/>
      <c r="HRG40" s="899"/>
      <c r="HRH40" s="899"/>
      <c r="HRI40" s="899"/>
      <c r="HRJ40" s="899"/>
      <c r="HRK40" s="899"/>
      <c r="HRL40" s="899"/>
      <c r="HRM40" s="899"/>
      <c r="HRN40" s="899"/>
      <c r="HRO40" s="899"/>
      <c r="HRP40" s="899"/>
      <c r="HRQ40" s="899"/>
      <c r="HRR40" s="899"/>
      <c r="HRS40" s="899"/>
      <c r="HRT40" s="899"/>
      <c r="HRU40" s="899"/>
      <c r="HRV40" s="899"/>
      <c r="HRW40" s="899"/>
      <c r="HRX40" s="899"/>
      <c r="HRY40" s="899"/>
      <c r="HRZ40" s="899"/>
      <c r="HSA40" s="899"/>
      <c r="HSB40" s="899"/>
      <c r="HSC40" s="899"/>
      <c r="HSD40" s="899"/>
      <c r="HSE40" s="899"/>
      <c r="HSF40" s="899"/>
      <c r="HSG40" s="899"/>
      <c r="HSH40" s="899"/>
      <c r="HSI40" s="899"/>
      <c r="HSJ40" s="899"/>
      <c r="HSK40" s="899"/>
      <c r="HSL40" s="899"/>
      <c r="HSM40" s="899"/>
      <c r="HSN40" s="899"/>
      <c r="HSO40" s="899"/>
      <c r="HSP40" s="899"/>
      <c r="HSQ40" s="899"/>
      <c r="HSR40" s="899"/>
      <c r="HSS40" s="899"/>
      <c r="HST40" s="899"/>
      <c r="HSU40" s="899"/>
      <c r="HSV40" s="899"/>
      <c r="HSW40" s="899"/>
      <c r="HSX40" s="899"/>
      <c r="HSY40" s="899"/>
      <c r="HSZ40" s="899"/>
      <c r="HTA40" s="899"/>
      <c r="HTB40" s="899"/>
      <c r="HTC40" s="899"/>
      <c r="HTD40" s="899"/>
      <c r="HTE40" s="899"/>
      <c r="HTF40" s="899"/>
      <c r="HTG40" s="899"/>
      <c r="HTH40" s="899"/>
      <c r="HTI40" s="899"/>
      <c r="HTJ40" s="899"/>
      <c r="HTK40" s="899"/>
      <c r="HTL40" s="899"/>
      <c r="HTM40" s="899"/>
      <c r="HTN40" s="899"/>
      <c r="HTO40" s="899"/>
      <c r="HTP40" s="899"/>
      <c r="HTQ40" s="899"/>
      <c r="HTR40" s="899"/>
      <c r="HTS40" s="899"/>
      <c r="HTT40" s="899"/>
      <c r="HTU40" s="899"/>
      <c r="HTV40" s="899"/>
      <c r="HTW40" s="899"/>
      <c r="HTX40" s="899"/>
      <c r="HTY40" s="899"/>
      <c r="HTZ40" s="899"/>
      <c r="HUA40" s="899"/>
      <c r="HUB40" s="899"/>
      <c r="HUC40" s="899"/>
      <c r="HUD40" s="899"/>
      <c r="HUE40" s="899"/>
      <c r="HUF40" s="899"/>
      <c r="HUG40" s="899"/>
      <c r="HUH40" s="899"/>
      <c r="HUI40" s="899"/>
      <c r="HUJ40" s="899"/>
      <c r="HUK40" s="899"/>
      <c r="HUL40" s="899"/>
      <c r="HUM40" s="899"/>
      <c r="HUN40" s="899"/>
      <c r="HUO40" s="899"/>
      <c r="HUP40" s="899"/>
      <c r="HUQ40" s="899"/>
      <c r="HUR40" s="899"/>
      <c r="HUS40" s="899"/>
      <c r="HUT40" s="899"/>
      <c r="HUU40" s="899"/>
      <c r="HUV40" s="899"/>
      <c r="HUW40" s="899"/>
      <c r="HUX40" s="899"/>
      <c r="HUY40" s="899"/>
      <c r="HUZ40" s="899"/>
      <c r="HVA40" s="899"/>
      <c r="HVB40" s="899"/>
      <c r="HVC40" s="899"/>
      <c r="HVD40" s="899"/>
      <c r="HVE40" s="899"/>
      <c r="HVF40" s="899"/>
      <c r="HVG40" s="899"/>
      <c r="HVH40" s="899"/>
      <c r="HVI40" s="899"/>
      <c r="HVJ40" s="899"/>
      <c r="HVK40" s="899"/>
      <c r="HVL40" s="899"/>
      <c r="HVM40" s="899"/>
      <c r="HVN40" s="899"/>
      <c r="HVO40" s="899"/>
      <c r="HVP40" s="899"/>
      <c r="HVQ40" s="899"/>
      <c r="HVR40" s="899"/>
      <c r="HVS40" s="899"/>
      <c r="HVT40" s="899"/>
      <c r="HVU40" s="899"/>
      <c r="HVV40" s="899"/>
      <c r="HVW40" s="899"/>
      <c r="HVX40" s="899"/>
      <c r="HVY40" s="899"/>
      <c r="HVZ40" s="899"/>
      <c r="HWA40" s="899"/>
      <c r="HWB40" s="899"/>
      <c r="HWC40" s="899"/>
      <c r="HWD40" s="899"/>
      <c r="HWE40" s="899"/>
      <c r="HWF40" s="899"/>
      <c r="HWG40" s="899"/>
      <c r="HWH40" s="899"/>
      <c r="HWI40" s="899"/>
      <c r="HWJ40" s="899"/>
      <c r="HWK40" s="899"/>
      <c r="HWL40" s="899"/>
      <c r="HWM40" s="899"/>
      <c r="HWN40" s="899"/>
      <c r="HWO40" s="899"/>
      <c r="HWP40" s="899"/>
      <c r="HWQ40" s="899"/>
      <c r="HWR40" s="899"/>
      <c r="HWS40" s="899"/>
      <c r="HWT40" s="899"/>
      <c r="HWU40" s="899"/>
      <c r="HWV40" s="899"/>
      <c r="HWW40" s="899"/>
      <c r="HWX40" s="899"/>
      <c r="HWY40" s="899"/>
      <c r="HWZ40" s="899"/>
      <c r="HXA40" s="899"/>
      <c r="HXB40" s="899"/>
      <c r="HXC40" s="899"/>
      <c r="HXD40" s="899"/>
      <c r="HXE40" s="899"/>
      <c r="HXF40" s="899"/>
      <c r="HXG40" s="899"/>
      <c r="HXH40" s="899"/>
      <c r="HXI40" s="899"/>
      <c r="HXJ40" s="899"/>
      <c r="HXK40" s="899"/>
      <c r="HXL40" s="899"/>
      <c r="HXM40" s="899"/>
      <c r="HXN40" s="899"/>
      <c r="HXO40" s="899"/>
      <c r="HXP40" s="899"/>
      <c r="HXQ40" s="899"/>
      <c r="HXR40" s="899"/>
      <c r="HXS40" s="899"/>
      <c r="HXT40" s="899"/>
      <c r="HXU40" s="899"/>
      <c r="HXV40" s="899"/>
      <c r="HXW40" s="899"/>
      <c r="HXX40" s="899"/>
      <c r="HXY40" s="899"/>
      <c r="HXZ40" s="899"/>
      <c r="HYA40" s="899"/>
      <c r="HYB40" s="899"/>
      <c r="HYC40" s="899"/>
      <c r="HYD40" s="899"/>
      <c r="HYE40" s="899"/>
      <c r="HYF40" s="899"/>
      <c r="HYG40" s="899"/>
      <c r="HYH40" s="899"/>
      <c r="HYI40" s="899"/>
      <c r="HYJ40" s="899"/>
      <c r="HYK40" s="899"/>
      <c r="HYL40" s="899"/>
      <c r="HYM40" s="899"/>
      <c r="HYN40" s="899"/>
      <c r="HYO40" s="899"/>
      <c r="HYP40" s="899"/>
      <c r="HYQ40" s="899"/>
      <c r="HYR40" s="899"/>
      <c r="HYS40" s="899"/>
      <c r="HYT40" s="899"/>
      <c r="HYU40" s="899"/>
      <c r="HYV40" s="899"/>
      <c r="HYW40" s="899"/>
      <c r="HYX40" s="899"/>
      <c r="HYY40" s="899"/>
      <c r="HYZ40" s="899"/>
      <c r="HZA40" s="899"/>
      <c r="HZB40" s="899"/>
      <c r="HZC40" s="899"/>
      <c r="HZD40" s="899"/>
      <c r="HZE40" s="899"/>
      <c r="HZF40" s="899"/>
      <c r="HZG40" s="899"/>
      <c r="HZH40" s="899"/>
      <c r="HZI40" s="899"/>
      <c r="HZJ40" s="899"/>
      <c r="HZK40" s="899"/>
      <c r="HZL40" s="899"/>
      <c r="HZM40" s="899"/>
      <c r="HZN40" s="899"/>
      <c r="HZO40" s="899"/>
      <c r="HZP40" s="899"/>
      <c r="HZQ40" s="899"/>
      <c r="HZR40" s="899"/>
      <c r="HZS40" s="899"/>
      <c r="HZT40" s="899"/>
      <c r="HZU40" s="899"/>
      <c r="HZV40" s="899"/>
      <c r="HZW40" s="899"/>
      <c r="HZX40" s="899"/>
      <c r="HZY40" s="899"/>
      <c r="HZZ40" s="899"/>
      <c r="IAA40" s="899"/>
      <c r="IAB40" s="899"/>
      <c r="IAC40" s="899"/>
      <c r="IAD40" s="899"/>
      <c r="IAE40" s="899"/>
      <c r="IAF40" s="899"/>
      <c r="IAG40" s="899"/>
      <c r="IAH40" s="899"/>
      <c r="IAI40" s="899"/>
      <c r="IAJ40" s="899"/>
      <c r="IAK40" s="899"/>
      <c r="IAL40" s="899"/>
      <c r="IAM40" s="899"/>
      <c r="IAN40" s="899"/>
      <c r="IAO40" s="899"/>
      <c r="IAP40" s="899"/>
      <c r="IAQ40" s="899"/>
      <c r="IAR40" s="899"/>
      <c r="IAS40" s="899"/>
      <c r="IAT40" s="899"/>
      <c r="IAU40" s="899"/>
      <c r="IAV40" s="899"/>
      <c r="IAW40" s="899"/>
      <c r="IAX40" s="899"/>
      <c r="IAY40" s="899"/>
      <c r="IAZ40" s="899"/>
      <c r="IBA40" s="899"/>
      <c r="IBB40" s="899"/>
      <c r="IBC40" s="899"/>
      <c r="IBD40" s="899"/>
      <c r="IBE40" s="899"/>
      <c r="IBF40" s="899"/>
      <c r="IBG40" s="899"/>
      <c r="IBH40" s="899"/>
      <c r="IBI40" s="899"/>
      <c r="IBJ40" s="899"/>
      <c r="IBK40" s="899"/>
      <c r="IBL40" s="899"/>
      <c r="IBM40" s="899"/>
      <c r="IBN40" s="899"/>
      <c r="IBO40" s="899"/>
      <c r="IBP40" s="899"/>
      <c r="IBQ40" s="899"/>
      <c r="IBR40" s="899"/>
      <c r="IBS40" s="899"/>
      <c r="IBT40" s="899"/>
      <c r="IBU40" s="899"/>
      <c r="IBV40" s="899"/>
      <c r="IBW40" s="899"/>
      <c r="IBX40" s="899"/>
      <c r="IBY40" s="899"/>
      <c r="IBZ40" s="899"/>
      <c r="ICA40" s="899"/>
      <c r="ICB40" s="899"/>
      <c r="ICC40" s="899"/>
      <c r="ICD40" s="899"/>
      <c r="ICE40" s="899"/>
      <c r="ICF40" s="899"/>
      <c r="ICG40" s="899"/>
      <c r="ICH40" s="899"/>
      <c r="ICI40" s="899"/>
      <c r="ICJ40" s="899"/>
      <c r="ICK40" s="899"/>
      <c r="ICL40" s="899"/>
      <c r="ICM40" s="899"/>
      <c r="ICN40" s="899"/>
      <c r="ICO40" s="899"/>
      <c r="ICP40" s="899"/>
      <c r="ICQ40" s="899"/>
      <c r="ICR40" s="899"/>
      <c r="ICS40" s="899"/>
      <c r="ICT40" s="899"/>
      <c r="ICU40" s="899"/>
      <c r="ICV40" s="899"/>
      <c r="ICW40" s="899"/>
      <c r="ICX40" s="899"/>
      <c r="ICY40" s="899"/>
      <c r="ICZ40" s="899"/>
      <c r="IDA40" s="899"/>
      <c r="IDB40" s="899"/>
      <c r="IDC40" s="899"/>
      <c r="IDD40" s="899"/>
      <c r="IDE40" s="899"/>
      <c r="IDF40" s="899"/>
      <c r="IDG40" s="899"/>
      <c r="IDH40" s="899"/>
      <c r="IDI40" s="899"/>
      <c r="IDJ40" s="899"/>
      <c r="IDK40" s="899"/>
      <c r="IDL40" s="899"/>
      <c r="IDM40" s="899"/>
      <c r="IDN40" s="899"/>
      <c r="IDO40" s="899"/>
      <c r="IDP40" s="899"/>
      <c r="IDQ40" s="899"/>
      <c r="IDR40" s="899"/>
      <c r="IDS40" s="899"/>
      <c r="IDT40" s="899"/>
      <c r="IDU40" s="899"/>
      <c r="IDV40" s="899"/>
      <c r="IDW40" s="899"/>
      <c r="IDX40" s="899"/>
      <c r="IDY40" s="899"/>
      <c r="IDZ40" s="899"/>
      <c r="IEA40" s="899"/>
      <c r="IEB40" s="899"/>
      <c r="IEC40" s="899"/>
      <c r="IED40" s="899"/>
      <c r="IEE40" s="899"/>
      <c r="IEF40" s="899"/>
      <c r="IEG40" s="899"/>
      <c r="IEH40" s="899"/>
      <c r="IEI40" s="899"/>
      <c r="IEJ40" s="899"/>
      <c r="IEK40" s="899"/>
      <c r="IEL40" s="899"/>
      <c r="IEM40" s="899"/>
      <c r="IEN40" s="899"/>
      <c r="IEO40" s="899"/>
      <c r="IEP40" s="899"/>
      <c r="IEQ40" s="899"/>
      <c r="IER40" s="899"/>
      <c r="IES40" s="899"/>
      <c r="IET40" s="899"/>
      <c r="IEU40" s="899"/>
      <c r="IEV40" s="899"/>
      <c r="IEW40" s="899"/>
      <c r="IEX40" s="899"/>
      <c r="IEY40" s="899"/>
      <c r="IEZ40" s="899"/>
      <c r="IFA40" s="899"/>
      <c r="IFB40" s="899"/>
      <c r="IFC40" s="899"/>
      <c r="IFD40" s="899"/>
      <c r="IFE40" s="899"/>
      <c r="IFF40" s="899"/>
      <c r="IFG40" s="899"/>
      <c r="IFH40" s="899"/>
      <c r="IFI40" s="899"/>
      <c r="IFJ40" s="899"/>
      <c r="IFK40" s="899"/>
      <c r="IFL40" s="899"/>
      <c r="IFM40" s="899"/>
      <c r="IFN40" s="899"/>
      <c r="IFO40" s="899"/>
      <c r="IFP40" s="899"/>
      <c r="IFQ40" s="899"/>
      <c r="IFR40" s="899"/>
      <c r="IFS40" s="899"/>
      <c r="IFT40" s="899"/>
      <c r="IFU40" s="899"/>
      <c r="IFV40" s="899"/>
      <c r="IFW40" s="899"/>
      <c r="IFX40" s="899"/>
      <c r="IFY40" s="899"/>
      <c r="IFZ40" s="899"/>
      <c r="IGA40" s="899"/>
      <c r="IGB40" s="899"/>
      <c r="IGC40" s="899"/>
      <c r="IGD40" s="899"/>
      <c r="IGE40" s="899"/>
      <c r="IGF40" s="899"/>
      <c r="IGG40" s="899"/>
      <c r="IGH40" s="899"/>
      <c r="IGI40" s="899"/>
      <c r="IGJ40" s="899"/>
      <c r="IGK40" s="899"/>
      <c r="IGL40" s="899"/>
      <c r="IGM40" s="899"/>
      <c r="IGN40" s="899"/>
      <c r="IGO40" s="899"/>
      <c r="IGP40" s="899"/>
      <c r="IGQ40" s="899"/>
      <c r="IGR40" s="899"/>
      <c r="IGS40" s="899"/>
      <c r="IGT40" s="899"/>
      <c r="IGU40" s="899"/>
      <c r="IGV40" s="899"/>
      <c r="IGW40" s="899"/>
      <c r="IGX40" s="899"/>
      <c r="IGY40" s="899"/>
      <c r="IGZ40" s="899"/>
      <c r="IHA40" s="899"/>
      <c r="IHB40" s="899"/>
      <c r="IHC40" s="899"/>
      <c r="IHD40" s="899"/>
      <c r="IHE40" s="899"/>
      <c r="IHF40" s="899"/>
      <c r="IHG40" s="899"/>
      <c r="IHH40" s="899"/>
      <c r="IHI40" s="899"/>
      <c r="IHJ40" s="899"/>
      <c r="IHK40" s="899"/>
      <c r="IHL40" s="899"/>
      <c r="IHM40" s="899"/>
      <c r="IHN40" s="899"/>
      <c r="IHO40" s="899"/>
      <c r="IHP40" s="899"/>
      <c r="IHQ40" s="899"/>
      <c r="IHR40" s="899"/>
      <c r="IHS40" s="899"/>
      <c r="IHT40" s="899"/>
      <c r="IHU40" s="899"/>
      <c r="IHV40" s="899"/>
      <c r="IHW40" s="899"/>
      <c r="IHX40" s="899"/>
      <c r="IHY40" s="899"/>
      <c r="IHZ40" s="899"/>
      <c r="IIA40" s="899"/>
      <c r="IIB40" s="899"/>
      <c r="IIC40" s="899"/>
      <c r="IID40" s="899"/>
      <c r="IIE40" s="899"/>
      <c r="IIF40" s="899"/>
      <c r="IIG40" s="899"/>
      <c r="IIH40" s="899"/>
      <c r="III40" s="899"/>
      <c r="IIJ40" s="899"/>
      <c r="IIK40" s="899"/>
      <c r="IIL40" s="899"/>
      <c r="IIM40" s="899"/>
      <c r="IIN40" s="899"/>
      <c r="IIO40" s="899"/>
      <c r="IIP40" s="899"/>
      <c r="IIQ40" s="899"/>
      <c r="IIR40" s="899"/>
      <c r="IIS40" s="899"/>
      <c r="IIT40" s="899"/>
      <c r="IIU40" s="899"/>
      <c r="IIV40" s="899"/>
      <c r="IIW40" s="899"/>
      <c r="IIX40" s="899"/>
      <c r="IIY40" s="899"/>
      <c r="IIZ40" s="899"/>
      <c r="IJA40" s="899"/>
      <c r="IJB40" s="899"/>
      <c r="IJC40" s="899"/>
      <c r="IJD40" s="899"/>
      <c r="IJE40" s="899"/>
      <c r="IJF40" s="899"/>
      <c r="IJG40" s="899"/>
      <c r="IJH40" s="899"/>
      <c r="IJI40" s="899"/>
      <c r="IJJ40" s="899"/>
      <c r="IJK40" s="899"/>
      <c r="IJL40" s="899"/>
      <c r="IJM40" s="899"/>
      <c r="IJN40" s="899"/>
      <c r="IJO40" s="899"/>
      <c r="IJP40" s="899"/>
      <c r="IJQ40" s="899"/>
      <c r="IJR40" s="899"/>
      <c r="IJS40" s="899"/>
      <c r="IJT40" s="899"/>
      <c r="IJU40" s="899"/>
      <c r="IJV40" s="899"/>
      <c r="IJW40" s="899"/>
      <c r="IJX40" s="899"/>
      <c r="IJY40" s="899"/>
      <c r="IJZ40" s="899"/>
      <c r="IKA40" s="899"/>
      <c r="IKB40" s="899"/>
      <c r="IKC40" s="899"/>
      <c r="IKD40" s="899"/>
      <c r="IKE40" s="899"/>
      <c r="IKF40" s="899"/>
      <c r="IKG40" s="899"/>
      <c r="IKH40" s="899"/>
      <c r="IKI40" s="899"/>
      <c r="IKJ40" s="899"/>
      <c r="IKK40" s="899"/>
      <c r="IKL40" s="899"/>
      <c r="IKM40" s="899"/>
      <c r="IKN40" s="899"/>
      <c r="IKO40" s="899"/>
      <c r="IKP40" s="899"/>
      <c r="IKQ40" s="899"/>
      <c r="IKR40" s="899"/>
      <c r="IKS40" s="899"/>
      <c r="IKT40" s="899"/>
      <c r="IKU40" s="899"/>
      <c r="IKV40" s="899"/>
      <c r="IKW40" s="899"/>
      <c r="IKX40" s="899"/>
      <c r="IKY40" s="899"/>
      <c r="IKZ40" s="899"/>
      <c r="ILA40" s="899"/>
      <c r="ILB40" s="899"/>
      <c r="ILC40" s="899"/>
      <c r="ILD40" s="899"/>
      <c r="ILE40" s="899"/>
      <c r="ILF40" s="899"/>
      <c r="ILG40" s="899"/>
      <c r="ILH40" s="899"/>
      <c r="ILI40" s="899"/>
      <c r="ILJ40" s="899"/>
      <c r="ILK40" s="899"/>
      <c r="ILL40" s="899"/>
      <c r="ILM40" s="899"/>
      <c r="ILN40" s="899"/>
      <c r="ILO40" s="899"/>
      <c r="ILP40" s="899"/>
      <c r="ILQ40" s="899"/>
      <c r="ILR40" s="899"/>
      <c r="ILS40" s="899"/>
      <c r="ILT40" s="899"/>
      <c r="ILU40" s="899"/>
      <c r="ILV40" s="899"/>
      <c r="ILW40" s="899"/>
      <c r="ILX40" s="899"/>
      <c r="ILY40" s="899"/>
      <c r="ILZ40" s="899"/>
      <c r="IMA40" s="899"/>
      <c r="IMB40" s="899"/>
      <c r="IMC40" s="899"/>
      <c r="IMD40" s="899"/>
      <c r="IME40" s="899"/>
      <c r="IMF40" s="899"/>
      <c r="IMG40" s="899"/>
      <c r="IMH40" s="899"/>
      <c r="IMI40" s="899"/>
      <c r="IMJ40" s="899"/>
      <c r="IMK40" s="899"/>
      <c r="IML40" s="899"/>
      <c r="IMM40" s="899"/>
      <c r="IMN40" s="899"/>
      <c r="IMO40" s="899"/>
      <c r="IMP40" s="899"/>
      <c r="IMQ40" s="899"/>
      <c r="IMR40" s="899"/>
      <c r="IMS40" s="899"/>
      <c r="IMT40" s="899"/>
      <c r="IMU40" s="899"/>
      <c r="IMV40" s="899"/>
      <c r="IMW40" s="899"/>
      <c r="IMX40" s="899"/>
      <c r="IMY40" s="899"/>
      <c r="IMZ40" s="899"/>
      <c r="INA40" s="899"/>
      <c r="INB40" s="899"/>
      <c r="INC40" s="899"/>
      <c r="IND40" s="899"/>
      <c r="INE40" s="899"/>
      <c r="INF40" s="899"/>
      <c r="ING40" s="899"/>
      <c r="INH40" s="899"/>
      <c r="INI40" s="899"/>
      <c r="INJ40" s="899"/>
      <c r="INK40" s="899"/>
      <c r="INL40" s="899"/>
      <c r="INM40" s="899"/>
      <c r="INN40" s="899"/>
      <c r="INO40" s="899"/>
      <c r="INP40" s="899"/>
      <c r="INQ40" s="899"/>
      <c r="INR40" s="899"/>
      <c r="INS40" s="899"/>
      <c r="INT40" s="899"/>
      <c r="INU40" s="899"/>
      <c r="INV40" s="899"/>
      <c r="INW40" s="899"/>
      <c r="INX40" s="899"/>
      <c r="INY40" s="899"/>
      <c r="INZ40" s="899"/>
      <c r="IOA40" s="899"/>
      <c r="IOB40" s="899"/>
      <c r="IOC40" s="899"/>
      <c r="IOD40" s="899"/>
      <c r="IOE40" s="899"/>
      <c r="IOF40" s="899"/>
      <c r="IOG40" s="899"/>
      <c r="IOH40" s="899"/>
      <c r="IOI40" s="899"/>
      <c r="IOJ40" s="899"/>
      <c r="IOK40" s="899"/>
      <c r="IOL40" s="899"/>
      <c r="IOM40" s="899"/>
      <c r="ION40" s="899"/>
      <c r="IOO40" s="899"/>
      <c r="IOP40" s="899"/>
      <c r="IOQ40" s="899"/>
      <c r="IOR40" s="899"/>
      <c r="IOS40" s="899"/>
      <c r="IOT40" s="899"/>
      <c r="IOU40" s="899"/>
      <c r="IOV40" s="899"/>
      <c r="IOW40" s="899"/>
      <c r="IOX40" s="899"/>
      <c r="IOY40" s="899"/>
      <c r="IOZ40" s="899"/>
      <c r="IPA40" s="899"/>
      <c r="IPB40" s="899"/>
      <c r="IPC40" s="899"/>
      <c r="IPD40" s="899"/>
      <c r="IPE40" s="899"/>
      <c r="IPF40" s="899"/>
      <c r="IPG40" s="899"/>
      <c r="IPH40" s="899"/>
      <c r="IPI40" s="899"/>
      <c r="IPJ40" s="899"/>
      <c r="IPK40" s="899"/>
      <c r="IPL40" s="899"/>
      <c r="IPM40" s="899"/>
      <c r="IPN40" s="899"/>
      <c r="IPO40" s="899"/>
      <c r="IPP40" s="899"/>
      <c r="IPQ40" s="899"/>
      <c r="IPR40" s="899"/>
      <c r="IPS40" s="899"/>
      <c r="IPT40" s="899"/>
      <c r="IPU40" s="899"/>
      <c r="IPV40" s="899"/>
      <c r="IPW40" s="899"/>
      <c r="IPX40" s="899"/>
      <c r="IPY40" s="899"/>
      <c r="IPZ40" s="899"/>
      <c r="IQA40" s="899"/>
      <c r="IQB40" s="899"/>
      <c r="IQC40" s="899"/>
      <c r="IQD40" s="899"/>
      <c r="IQE40" s="899"/>
      <c r="IQF40" s="899"/>
      <c r="IQG40" s="899"/>
      <c r="IQH40" s="899"/>
      <c r="IQI40" s="899"/>
      <c r="IQJ40" s="899"/>
      <c r="IQK40" s="899"/>
      <c r="IQL40" s="899"/>
      <c r="IQM40" s="899"/>
      <c r="IQN40" s="899"/>
      <c r="IQO40" s="899"/>
      <c r="IQP40" s="899"/>
      <c r="IQQ40" s="899"/>
      <c r="IQR40" s="899"/>
      <c r="IQS40" s="899"/>
      <c r="IQT40" s="899"/>
      <c r="IQU40" s="899"/>
      <c r="IQV40" s="899"/>
      <c r="IQW40" s="899"/>
      <c r="IQX40" s="899"/>
      <c r="IQY40" s="899"/>
      <c r="IQZ40" s="899"/>
      <c r="IRA40" s="899"/>
      <c r="IRB40" s="899"/>
      <c r="IRC40" s="899"/>
      <c r="IRD40" s="899"/>
      <c r="IRE40" s="899"/>
      <c r="IRF40" s="899"/>
      <c r="IRG40" s="899"/>
      <c r="IRH40" s="899"/>
      <c r="IRI40" s="899"/>
      <c r="IRJ40" s="899"/>
      <c r="IRK40" s="899"/>
      <c r="IRL40" s="899"/>
      <c r="IRM40" s="899"/>
      <c r="IRN40" s="899"/>
      <c r="IRO40" s="899"/>
      <c r="IRP40" s="899"/>
      <c r="IRQ40" s="899"/>
      <c r="IRR40" s="899"/>
      <c r="IRS40" s="899"/>
      <c r="IRT40" s="899"/>
      <c r="IRU40" s="899"/>
      <c r="IRV40" s="899"/>
      <c r="IRW40" s="899"/>
      <c r="IRX40" s="899"/>
      <c r="IRY40" s="899"/>
      <c r="IRZ40" s="899"/>
      <c r="ISA40" s="899"/>
      <c r="ISB40" s="899"/>
      <c r="ISC40" s="899"/>
      <c r="ISD40" s="899"/>
      <c r="ISE40" s="899"/>
      <c r="ISF40" s="899"/>
      <c r="ISG40" s="899"/>
      <c r="ISH40" s="899"/>
      <c r="ISI40" s="899"/>
      <c r="ISJ40" s="899"/>
      <c r="ISK40" s="899"/>
      <c r="ISL40" s="899"/>
      <c r="ISM40" s="899"/>
      <c r="ISN40" s="899"/>
      <c r="ISO40" s="899"/>
      <c r="ISP40" s="899"/>
      <c r="ISQ40" s="899"/>
      <c r="ISR40" s="899"/>
      <c r="ISS40" s="899"/>
      <c r="IST40" s="899"/>
      <c r="ISU40" s="899"/>
      <c r="ISV40" s="899"/>
      <c r="ISW40" s="899"/>
      <c r="ISX40" s="899"/>
      <c r="ISY40" s="899"/>
      <c r="ISZ40" s="899"/>
      <c r="ITA40" s="899"/>
      <c r="ITB40" s="899"/>
      <c r="ITC40" s="899"/>
      <c r="ITD40" s="899"/>
      <c r="ITE40" s="899"/>
      <c r="ITF40" s="899"/>
      <c r="ITG40" s="899"/>
      <c r="ITH40" s="899"/>
      <c r="ITI40" s="899"/>
      <c r="ITJ40" s="899"/>
      <c r="ITK40" s="899"/>
      <c r="ITL40" s="899"/>
      <c r="ITM40" s="899"/>
      <c r="ITN40" s="899"/>
      <c r="ITO40" s="899"/>
      <c r="ITP40" s="899"/>
      <c r="ITQ40" s="899"/>
      <c r="ITR40" s="899"/>
      <c r="ITS40" s="899"/>
      <c r="ITT40" s="899"/>
      <c r="ITU40" s="899"/>
      <c r="ITV40" s="899"/>
      <c r="ITW40" s="899"/>
      <c r="ITX40" s="899"/>
      <c r="ITY40" s="899"/>
      <c r="ITZ40" s="899"/>
      <c r="IUA40" s="899"/>
      <c r="IUB40" s="899"/>
      <c r="IUC40" s="899"/>
      <c r="IUD40" s="899"/>
      <c r="IUE40" s="899"/>
      <c r="IUF40" s="899"/>
      <c r="IUG40" s="899"/>
      <c r="IUH40" s="899"/>
      <c r="IUI40" s="899"/>
      <c r="IUJ40" s="899"/>
      <c r="IUK40" s="899"/>
      <c r="IUL40" s="899"/>
      <c r="IUM40" s="899"/>
      <c r="IUN40" s="899"/>
      <c r="IUO40" s="899"/>
      <c r="IUP40" s="899"/>
      <c r="IUQ40" s="899"/>
      <c r="IUR40" s="899"/>
      <c r="IUS40" s="899"/>
      <c r="IUT40" s="899"/>
      <c r="IUU40" s="899"/>
      <c r="IUV40" s="899"/>
      <c r="IUW40" s="899"/>
      <c r="IUX40" s="899"/>
      <c r="IUY40" s="899"/>
      <c r="IUZ40" s="899"/>
      <c r="IVA40" s="899"/>
      <c r="IVB40" s="899"/>
      <c r="IVC40" s="899"/>
      <c r="IVD40" s="899"/>
      <c r="IVE40" s="899"/>
      <c r="IVF40" s="899"/>
      <c r="IVG40" s="899"/>
      <c r="IVH40" s="899"/>
      <c r="IVI40" s="899"/>
      <c r="IVJ40" s="899"/>
      <c r="IVK40" s="899"/>
      <c r="IVL40" s="899"/>
      <c r="IVM40" s="899"/>
      <c r="IVN40" s="899"/>
      <c r="IVO40" s="899"/>
      <c r="IVP40" s="899"/>
      <c r="IVQ40" s="899"/>
      <c r="IVR40" s="899"/>
      <c r="IVS40" s="899"/>
      <c r="IVT40" s="899"/>
      <c r="IVU40" s="899"/>
      <c r="IVV40" s="899"/>
      <c r="IVW40" s="899"/>
      <c r="IVX40" s="899"/>
      <c r="IVY40" s="899"/>
      <c r="IVZ40" s="899"/>
      <c r="IWA40" s="899"/>
      <c r="IWB40" s="899"/>
      <c r="IWC40" s="899"/>
      <c r="IWD40" s="899"/>
      <c r="IWE40" s="899"/>
      <c r="IWF40" s="899"/>
      <c r="IWG40" s="899"/>
      <c r="IWH40" s="899"/>
      <c r="IWI40" s="899"/>
      <c r="IWJ40" s="899"/>
      <c r="IWK40" s="899"/>
      <c r="IWL40" s="899"/>
      <c r="IWM40" s="899"/>
      <c r="IWN40" s="899"/>
      <c r="IWO40" s="899"/>
      <c r="IWP40" s="899"/>
      <c r="IWQ40" s="899"/>
      <c r="IWR40" s="899"/>
      <c r="IWS40" s="899"/>
      <c r="IWT40" s="899"/>
      <c r="IWU40" s="899"/>
      <c r="IWV40" s="899"/>
      <c r="IWW40" s="899"/>
      <c r="IWX40" s="899"/>
      <c r="IWY40" s="899"/>
      <c r="IWZ40" s="899"/>
      <c r="IXA40" s="899"/>
      <c r="IXB40" s="899"/>
      <c r="IXC40" s="899"/>
      <c r="IXD40" s="899"/>
      <c r="IXE40" s="899"/>
      <c r="IXF40" s="899"/>
      <c r="IXG40" s="899"/>
      <c r="IXH40" s="899"/>
      <c r="IXI40" s="899"/>
      <c r="IXJ40" s="899"/>
      <c r="IXK40" s="899"/>
      <c r="IXL40" s="899"/>
      <c r="IXM40" s="899"/>
      <c r="IXN40" s="899"/>
      <c r="IXO40" s="899"/>
      <c r="IXP40" s="899"/>
      <c r="IXQ40" s="899"/>
      <c r="IXR40" s="899"/>
      <c r="IXS40" s="899"/>
      <c r="IXT40" s="899"/>
      <c r="IXU40" s="899"/>
      <c r="IXV40" s="899"/>
      <c r="IXW40" s="899"/>
      <c r="IXX40" s="899"/>
      <c r="IXY40" s="899"/>
      <c r="IXZ40" s="899"/>
      <c r="IYA40" s="899"/>
      <c r="IYB40" s="899"/>
      <c r="IYC40" s="899"/>
      <c r="IYD40" s="899"/>
      <c r="IYE40" s="899"/>
      <c r="IYF40" s="899"/>
      <c r="IYG40" s="899"/>
      <c r="IYH40" s="899"/>
      <c r="IYI40" s="899"/>
      <c r="IYJ40" s="899"/>
      <c r="IYK40" s="899"/>
      <c r="IYL40" s="899"/>
      <c r="IYM40" s="899"/>
      <c r="IYN40" s="899"/>
      <c r="IYO40" s="899"/>
      <c r="IYP40" s="899"/>
      <c r="IYQ40" s="899"/>
      <c r="IYR40" s="899"/>
      <c r="IYS40" s="899"/>
      <c r="IYT40" s="899"/>
      <c r="IYU40" s="899"/>
      <c r="IYV40" s="899"/>
      <c r="IYW40" s="899"/>
      <c r="IYX40" s="899"/>
      <c r="IYY40" s="899"/>
      <c r="IYZ40" s="899"/>
      <c r="IZA40" s="899"/>
      <c r="IZB40" s="899"/>
      <c r="IZC40" s="899"/>
      <c r="IZD40" s="899"/>
      <c r="IZE40" s="899"/>
      <c r="IZF40" s="899"/>
      <c r="IZG40" s="899"/>
      <c r="IZH40" s="899"/>
      <c r="IZI40" s="899"/>
      <c r="IZJ40" s="899"/>
      <c r="IZK40" s="899"/>
      <c r="IZL40" s="899"/>
      <c r="IZM40" s="899"/>
      <c r="IZN40" s="899"/>
      <c r="IZO40" s="899"/>
      <c r="IZP40" s="899"/>
      <c r="IZQ40" s="899"/>
      <c r="IZR40" s="899"/>
      <c r="IZS40" s="899"/>
      <c r="IZT40" s="899"/>
      <c r="IZU40" s="899"/>
      <c r="IZV40" s="899"/>
      <c r="IZW40" s="899"/>
      <c r="IZX40" s="899"/>
      <c r="IZY40" s="899"/>
      <c r="IZZ40" s="899"/>
      <c r="JAA40" s="899"/>
      <c r="JAB40" s="899"/>
      <c r="JAC40" s="899"/>
      <c r="JAD40" s="899"/>
      <c r="JAE40" s="899"/>
      <c r="JAF40" s="899"/>
      <c r="JAG40" s="899"/>
      <c r="JAH40" s="899"/>
      <c r="JAI40" s="899"/>
      <c r="JAJ40" s="899"/>
      <c r="JAK40" s="899"/>
      <c r="JAL40" s="899"/>
      <c r="JAM40" s="899"/>
      <c r="JAN40" s="899"/>
      <c r="JAO40" s="899"/>
      <c r="JAP40" s="899"/>
      <c r="JAQ40" s="899"/>
      <c r="JAR40" s="899"/>
      <c r="JAS40" s="899"/>
      <c r="JAT40" s="899"/>
      <c r="JAU40" s="899"/>
      <c r="JAV40" s="899"/>
      <c r="JAW40" s="899"/>
      <c r="JAX40" s="899"/>
      <c r="JAY40" s="899"/>
      <c r="JAZ40" s="899"/>
      <c r="JBA40" s="899"/>
      <c r="JBB40" s="899"/>
      <c r="JBC40" s="899"/>
      <c r="JBD40" s="899"/>
      <c r="JBE40" s="899"/>
      <c r="JBF40" s="899"/>
      <c r="JBG40" s="899"/>
      <c r="JBH40" s="899"/>
      <c r="JBI40" s="899"/>
      <c r="JBJ40" s="899"/>
      <c r="JBK40" s="899"/>
      <c r="JBL40" s="899"/>
      <c r="JBM40" s="899"/>
      <c r="JBN40" s="899"/>
      <c r="JBO40" s="899"/>
      <c r="JBP40" s="899"/>
      <c r="JBQ40" s="899"/>
      <c r="JBR40" s="899"/>
      <c r="JBS40" s="899"/>
      <c r="JBT40" s="899"/>
      <c r="JBU40" s="899"/>
      <c r="JBV40" s="899"/>
      <c r="JBW40" s="899"/>
      <c r="JBX40" s="899"/>
      <c r="JBY40" s="899"/>
      <c r="JBZ40" s="899"/>
      <c r="JCA40" s="899"/>
      <c r="JCB40" s="899"/>
      <c r="JCC40" s="899"/>
      <c r="JCD40" s="899"/>
      <c r="JCE40" s="899"/>
      <c r="JCF40" s="899"/>
      <c r="JCG40" s="899"/>
      <c r="JCH40" s="899"/>
      <c r="JCI40" s="899"/>
      <c r="JCJ40" s="899"/>
      <c r="JCK40" s="899"/>
      <c r="JCL40" s="899"/>
      <c r="JCM40" s="899"/>
      <c r="JCN40" s="899"/>
      <c r="JCO40" s="899"/>
      <c r="JCP40" s="899"/>
      <c r="JCQ40" s="899"/>
      <c r="JCR40" s="899"/>
      <c r="JCS40" s="899"/>
      <c r="JCT40" s="899"/>
      <c r="JCU40" s="899"/>
      <c r="JCV40" s="899"/>
      <c r="JCW40" s="899"/>
      <c r="JCX40" s="899"/>
      <c r="JCY40" s="899"/>
      <c r="JCZ40" s="899"/>
      <c r="JDA40" s="899"/>
      <c r="JDB40" s="899"/>
      <c r="JDC40" s="899"/>
      <c r="JDD40" s="899"/>
      <c r="JDE40" s="899"/>
      <c r="JDF40" s="899"/>
      <c r="JDG40" s="899"/>
      <c r="JDH40" s="899"/>
      <c r="JDI40" s="899"/>
      <c r="JDJ40" s="899"/>
      <c r="JDK40" s="899"/>
      <c r="JDL40" s="899"/>
      <c r="JDM40" s="899"/>
      <c r="JDN40" s="899"/>
      <c r="JDO40" s="899"/>
      <c r="JDP40" s="899"/>
      <c r="JDQ40" s="899"/>
      <c r="JDR40" s="899"/>
      <c r="JDS40" s="899"/>
      <c r="JDT40" s="899"/>
      <c r="JDU40" s="899"/>
      <c r="JDV40" s="899"/>
      <c r="JDW40" s="899"/>
      <c r="JDX40" s="899"/>
      <c r="JDY40" s="899"/>
      <c r="JDZ40" s="899"/>
      <c r="JEA40" s="899"/>
      <c r="JEB40" s="899"/>
      <c r="JEC40" s="899"/>
      <c r="JED40" s="899"/>
      <c r="JEE40" s="899"/>
      <c r="JEF40" s="899"/>
      <c r="JEG40" s="899"/>
      <c r="JEH40" s="899"/>
      <c r="JEI40" s="899"/>
      <c r="JEJ40" s="899"/>
      <c r="JEK40" s="899"/>
      <c r="JEL40" s="899"/>
      <c r="JEM40" s="899"/>
      <c r="JEN40" s="899"/>
      <c r="JEO40" s="899"/>
      <c r="JEP40" s="899"/>
      <c r="JEQ40" s="899"/>
      <c r="JER40" s="899"/>
      <c r="JES40" s="899"/>
      <c r="JET40" s="899"/>
      <c r="JEU40" s="899"/>
      <c r="JEV40" s="899"/>
      <c r="JEW40" s="899"/>
      <c r="JEX40" s="899"/>
      <c r="JEY40" s="899"/>
      <c r="JEZ40" s="899"/>
      <c r="JFA40" s="899"/>
      <c r="JFB40" s="899"/>
      <c r="JFC40" s="899"/>
      <c r="JFD40" s="899"/>
      <c r="JFE40" s="899"/>
      <c r="JFF40" s="899"/>
      <c r="JFG40" s="899"/>
      <c r="JFH40" s="899"/>
      <c r="JFI40" s="899"/>
      <c r="JFJ40" s="899"/>
      <c r="JFK40" s="899"/>
      <c r="JFL40" s="899"/>
      <c r="JFM40" s="899"/>
      <c r="JFN40" s="899"/>
      <c r="JFO40" s="899"/>
      <c r="JFP40" s="899"/>
      <c r="JFQ40" s="899"/>
      <c r="JFR40" s="899"/>
      <c r="JFS40" s="899"/>
      <c r="JFT40" s="899"/>
      <c r="JFU40" s="899"/>
      <c r="JFV40" s="899"/>
      <c r="JFW40" s="899"/>
      <c r="JFX40" s="899"/>
      <c r="JFY40" s="899"/>
      <c r="JFZ40" s="899"/>
      <c r="JGA40" s="899"/>
      <c r="JGB40" s="899"/>
      <c r="JGC40" s="899"/>
      <c r="JGD40" s="899"/>
      <c r="JGE40" s="899"/>
      <c r="JGF40" s="899"/>
      <c r="JGG40" s="899"/>
      <c r="JGH40" s="899"/>
      <c r="JGI40" s="899"/>
      <c r="JGJ40" s="899"/>
      <c r="JGK40" s="899"/>
      <c r="JGL40" s="899"/>
      <c r="JGM40" s="899"/>
      <c r="JGN40" s="899"/>
      <c r="JGO40" s="899"/>
      <c r="JGP40" s="899"/>
      <c r="JGQ40" s="899"/>
      <c r="JGR40" s="899"/>
      <c r="JGS40" s="899"/>
      <c r="JGT40" s="899"/>
      <c r="JGU40" s="899"/>
      <c r="JGV40" s="899"/>
      <c r="JGW40" s="899"/>
      <c r="JGX40" s="899"/>
      <c r="JGY40" s="899"/>
      <c r="JGZ40" s="899"/>
      <c r="JHA40" s="899"/>
      <c r="JHB40" s="899"/>
      <c r="JHC40" s="899"/>
      <c r="JHD40" s="899"/>
      <c r="JHE40" s="899"/>
      <c r="JHF40" s="899"/>
      <c r="JHG40" s="899"/>
      <c r="JHH40" s="899"/>
      <c r="JHI40" s="899"/>
      <c r="JHJ40" s="899"/>
      <c r="JHK40" s="899"/>
      <c r="JHL40" s="899"/>
      <c r="JHM40" s="899"/>
      <c r="JHN40" s="899"/>
      <c r="JHO40" s="899"/>
      <c r="JHP40" s="899"/>
      <c r="JHQ40" s="899"/>
      <c r="JHR40" s="899"/>
      <c r="JHS40" s="899"/>
      <c r="JHT40" s="899"/>
      <c r="JHU40" s="899"/>
      <c r="JHV40" s="899"/>
      <c r="JHW40" s="899"/>
      <c r="JHX40" s="899"/>
      <c r="JHY40" s="899"/>
      <c r="JHZ40" s="899"/>
      <c r="JIA40" s="899"/>
      <c r="JIB40" s="899"/>
      <c r="JIC40" s="899"/>
      <c r="JID40" s="899"/>
      <c r="JIE40" s="899"/>
      <c r="JIF40" s="899"/>
      <c r="JIG40" s="899"/>
      <c r="JIH40" s="899"/>
      <c r="JII40" s="899"/>
      <c r="JIJ40" s="899"/>
      <c r="JIK40" s="899"/>
      <c r="JIL40" s="899"/>
      <c r="JIM40" s="899"/>
      <c r="JIN40" s="899"/>
      <c r="JIO40" s="899"/>
      <c r="JIP40" s="899"/>
      <c r="JIQ40" s="899"/>
      <c r="JIR40" s="899"/>
      <c r="JIS40" s="899"/>
      <c r="JIT40" s="899"/>
      <c r="JIU40" s="899"/>
      <c r="JIV40" s="899"/>
      <c r="JIW40" s="899"/>
      <c r="JIX40" s="899"/>
      <c r="JIY40" s="899"/>
      <c r="JIZ40" s="899"/>
      <c r="JJA40" s="899"/>
      <c r="JJB40" s="899"/>
      <c r="JJC40" s="899"/>
      <c r="JJD40" s="899"/>
      <c r="JJE40" s="899"/>
      <c r="JJF40" s="899"/>
      <c r="JJG40" s="899"/>
      <c r="JJH40" s="899"/>
      <c r="JJI40" s="899"/>
      <c r="JJJ40" s="899"/>
      <c r="JJK40" s="899"/>
      <c r="JJL40" s="899"/>
      <c r="JJM40" s="899"/>
      <c r="JJN40" s="899"/>
      <c r="JJO40" s="899"/>
      <c r="JJP40" s="899"/>
      <c r="JJQ40" s="899"/>
      <c r="JJR40" s="899"/>
      <c r="JJS40" s="899"/>
      <c r="JJT40" s="899"/>
      <c r="JJU40" s="899"/>
      <c r="JJV40" s="899"/>
      <c r="JJW40" s="899"/>
      <c r="JJX40" s="899"/>
      <c r="JJY40" s="899"/>
      <c r="JJZ40" s="899"/>
      <c r="JKA40" s="899"/>
      <c r="JKB40" s="899"/>
      <c r="JKC40" s="899"/>
      <c r="JKD40" s="899"/>
      <c r="JKE40" s="899"/>
      <c r="JKF40" s="899"/>
      <c r="JKG40" s="899"/>
      <c r="JKH40" s="899"/>
      <c r="JKI40" s="899"/>
      <c r="JKJ40" s="899"/>
      <c r="JKK40" s="899"/>
      <c r="JKL40" s="899"/>
      <c r="JKM40" s="899"/>
      <c r="JKN40" s="899"/>
      <c r="JKO40" s="899"/>
      <c r="JKP40" s="899"/>
      <c r="JKQ40" s="899"/>
      <c r="JKR40" s="899"/>
      <c r="JKS40" s="899"/>
      <c r="JKT40" s="899"/>
      <c r="JKU40" s="899"/>
      <c r="JKV40" s="899"/>
      <c r="JKW40" s="899"/>
      <c r="JKX40" s="899"/>
      <c r="JKY40" s="899"/>
      <c r="JKZ40" s="899"/>
      <c r="JLA40" s="899"/>
      <c r="JLB40" s="899"/>
      <c r="JLC40" s="899"/>
      <c r="JLD40" s="899"/>
      <c r="JLE40" s="899"/>
      <c r="JLF40" s="899"/>
      <c r="JLG40" s="899"/>
      <c r="JLH40" s="899"/>
      <c r="JLI40" s="899"/>
      <c r="JLJ40" s="899"/>
      <c r="JLK40" s="899"/>
      <c r="JLL40" s="899"/>
      <c r="JLM40" s="899"/>
      <c r="JLN40" s="899"/>
      <c r="JLO40" s="899"/>
      <c r="JLP40" s="899"/>
      <c r="JLQ40" s="899"/>
      <c r="JLR40" s="899"/>
      <c r="JLS40" s="899"/>
      <c r="JLT40" s="899"/>
      <c r="JLU40" s="899"/>
      <c r="JLV40" s="899"/>
      <c r="JLW40" s="899"/>
      <c r="JLX40" s="899"/>
      <c r="JLY40" s="899"/>
      <c r="JLZ40" s="899"/>
      <c r="JMA40" s="899"/>
      <c r="JMB40" s="899"/>
      <c r="JMC40" s="899"/>
      <c r="JMD40" s="899"/>
      <c r="JME40" s="899"/>
      <c r="JMF40" s="899"/>
      <c r="JMG40" s="899"/>
      <c r="JMH40" s="899"/>
      <c r="JMI40" s="899"/>
      <c r="JMJ40" s="899"/>
      <c r="JMK40" s="899"/>
      <c r="JML40" s="899"/>
      <c r="JMM40" s="899"/>
      <c r="JMN40" s="899"/>
      <c r="JMO40" s="899"/>
      <c r="JMP40" s="899"/>
      <c r="JMQ40" s="899"/>
      <c r="JMR40" s="899"/>
      <c r="JMS40" s="899"/>
      <c r="JMT40" s="899"/>
      <c r="JMU40" s="899"/>
      <c r="JMV40" s="899"/>
      <c r="JMW40" s="899"/>
      <c r="JMX40" s="899"/>
      <c r="JMY40" s="899"/>
      <c r="JMZ40" s="899"/>
      <c r="JNA40" s="899"/>
      <c r="JNB40" s="899"/>
      <c r="JNC40" s="899"/>
      <c r="JND40" s="899"/>
      <c r="JNE40" s="899"/>
      <c r="JNF40" s="899"/>
      <c r="JNG40" s="899"/>
      <c r="JNH40" s="899"/>
      <c r="JNI40" s="899"/>
      <c r="JNJ40" s="899"/>
      <c r="JNK40" s="899"/>
      <c r="JNL40" s="899"/>
      <c r="JNM40" s="899"/>
      <c r="JNN40" s="899"/>
      <c r="JNO40" s="899"/>
      <c r="JNP40" s="899"/>
      <c r="JNQ40" s="899"/>
      <c r="JNR40" s="899"/>
      <c r="JNS40" s="899"/>
      <c r="JNT40" s="899"/>
      <c r="JNU40" s="899"/>
      <c r="JNV40" s="899"/>
      <c r="JNW40" s="899"/>
      <c r="JNX40" s="899"/>
      <c r="JNY40" s="899"/>
      <c r="JNZ40" s="899"/>
      <c r="JOA40" s="899"/>
      <c r="JOB40" s="899"/>
      <c r="JOC40" s="899"/>
      <c r="JOD40" s="899"/>
      <c r="JOE40" s="899"/>
      <c r="JOF40" s="899"/>
      <c r="JOG40" s="899"/>
      <c r="JOH40" s="899"/>
      <c r="JOI40" s="899"/>
      <c r="JOJ40" s="899"/>
      <c r="JOK40" s="899"/>
      <c r="JOL40" s="899"/>
      <c r="JOM40" s="899"/>
      <c r="JON40" s="899"/>
      <c r="JOO40" s="899"/>
      <c r="JOP40" s="899"/>
      <c r="JOQ40" s="899"/>
      <c r="JOR40" s="899"/>
      <c r="JOS40" s="899"/>
      <c r="JOT40" s="899"/>
      <c r="JOU40" s="899"/>
      <c r="JOV40" s="899"/>
      <c r="JOW40" s="899"/>
      <c r="JOX40" s="899"/>
      <c r="JOY40" s="899"/>
      <c r="JOZ40" s="899"/>
      <c r="JPA40" s="899"/>
      <c r="JPB40" s="899"/>
      <c r="JPC40" s="899"/>
      <c r="JPD40" s="899"/>
      <c r="JPE40" s="899"/>
      <c r="JPF40" s="899"/>
      <c r="JPG40" s="899"/>
      <c r="JPH40" s="899"/>
      <c r="JPI40" s="899"/>
      <c r="JPJ40" s="899"/>
      <c r="JPK40" s="899"/>
      <c r="JPL40" s="899"/>
      <c r="JPM40" s="899"/>
      <c r="JPN40" s="899"/>
      <c r="JPO40" s="899"/>
      <c r="JPP40" s="899"/>
      <c r="JPQ40" s="899"/>
      <c r="JPR40" s="899"/>
      <c r="JPS40" s="899"/>
      <c r="JPT40" s="899"/>
      <c r="JPU40" s="899"/>
      <c r="JPV40" s="899"/>
      <c r="JPW40" s="899"/>
      <c r="JPX40" s="899"/>
      <c r="JPY40" s="899"/>
      <c r="JPZ40" s="899"/>
      <c r="JQA40" s="899"/>
      <c r="JQB40" s="899"/>
      <c r="JQC40" s="899"/>
      <c r="JQD40" s="899"/>
      <c r="JQE40" s="899"/>
      <c r="JQF40" s="899"/>
      <c r="JQG40" s="899"/>
      <c r="JQH40" s="899"/>
      <c r="JQI40" s="899"/>
      <c r="JQJ40" s="899"/>
      <c r="JQK40" s="899"/>
      <c r="JQL40" s="899"/>
      <c r="JQM40" s="899"/>
      <c r="JQN40" s="899"/>
      <c r="JQO40" s="899"/>
      <c r="JQP40" s="899"/>
      <c r="JQQ40" s="899"/>
      <c r="JQR40" s="899"/>
      <c r="JQS40" s="899"/>
      <c r="JQT40" s="899"/>
      <c r="JQU40" s="899"/>
      <c r="JQV40" s="899"/>
      <c r="JQW40" s="899"/>
      <c r="JQX40" s="899"/>
      <c r="JQY40" s="899"/>
      <c r="JQZ40" s="899"/>
      <c r="JRA40" s="899"/>
      <c r="JRB40" s="899"/>
      <c r="JRC40" s="899"/>
      <c r="JRD40" s="899"/>
      <c r="JRE40" s="899"/>
      <c r="JRF40" s="899"/>
      <c r="JRG40" s="899"/>
      <c r="JRH40" s="899"/>
      <c r="JRI40" s="899"/>
      <c r="JRJ40" s="899"/>
      <c r="JRK40" s="899"/>
      <c r="JRL40" s="899"/>
      <c r="JRM40" s="899"/>
      <c r="JRN40" s="899"/>
      <c r="JRO40" s="899"/>
      <c r="JRP40" s="899"/>
      <c r="JRQ40" s="899"/>
      <c r="JRR40" s="899"/>
      <c r="JRS40" s="899"/>
      <c r="JRT40" s="899"/>
      <c r="JRU40" s="899"/>
      <c r="JRV40" s="899"/>
      <c r="JRW40" s="899"/>
      <c r="JRX40" s="899"/>
      <c r="JRY40" s="899"/>
      <c r="JRZ40" s="899"/>
      <c r="JSA40" s="899"/>
      <c r="JSB40" s="899"/>
      <c r="JSC40" s="899"/>
      <c r="JSD40" s="899"/>
      <c r="JSE40" s="899"/>
      <c r="JSF40" s="899"/>
      <c r="JSG40" s="899"/>
      <c r="JSH40" s="899"/>
      <c r="JSI40" s="899"/>
      <c r="JSJ40" s="899"/>
      <c r="JSK40" s="899"/>
      <c r="JSL40" s="899"/>
      <c r="JSM40" s="899"/>
      <c r="JSN40" s="899"/>
      <c r="JSO40" s="899"/>
      <c r="JSP40" s="899"/>
      <c r="JSQ40" s="899"/>
      <c r="JSR40" s="899"/>
      <c r="JSS40" s="899"/>
      <c r="JST40" s="899"/>
      <c r="JSU40" s="899"/>
      <c r="JSV40" s="899"/>
      <c r="JSW40" s="899"/>
      <c r="JSX40" s="899"/>
      <c r="JSY40" s="899"/>
      <c r="JSZ40" s="899"/>
      <c r="JTA40" s="899"/>
      <c r="JTB40" s="899"/>
      <c r="JTC40" s="899"/>
      <c r="JTD40" s="899"/>
      <c r="JTE40" s="899"/>
      <c r="JTF40" s="899"/>
      <c r="JTG40" s="899"/>
      <c r="JTH40" s="899"/>
      <c r="JTI40" s="899"/>
      <c r="JTJ40" s="899"/>
      <c r="JTK40" s="899"/>
      <c r="JTL40" s="899"/>
      <c r="JTM40" s="899"/>
      <c r="JTN40" s="899"/>
      <c r="JTO40" s="899"/>
      <c r="JTP40" s="899"/>
      <c r="JTQ40" s="899"/>
      <c r="JTR40" s="899"/>
      <c r="JTS40" s="899"/>
      <c r="JTT40" s="899"/>
      <c r="JTU40" s="899"/>
      <c r="JTV40" s="899"/>
      <c r="JTW40" s="899"/>
      <c r="JTX40" s="899"/>
      <c r="JTY40" s="899"/>
      <c r="JTZ40" s="899"/>
      <c r="JUA40" s="899"/>
      <c r="JUB40" s="899"/>
      <c r="JUC40" s="899"/>
      <c r="JUD40" s="899"/>
      <c r="JUE40" s="899"/>
      <c r="JUF40" s="899"/>
      <c r="JUG40" s="899"/>
      <c r="JUH40" s="899"/>
      <c r="JUI40" s="899"/>
      <c r="JUJ40" s="899"/>
      <c r="JUK40" s="899"/>
      <c r="JUL40" s="899"/>
      <c r="JUM40" s="899"/>
      <c r="JUN40" s="899"/>
      <c r="JUO40" s="899"/>
      <c r="JUP40" s="899"/>
      <c r="JUQ40" s="899"/>
      <c r="JUR40" s="899"/>
      <c r="JUS40" s="899"/>
      <c r="JUT40" s="899"/>
      <c r="JUU40" s="899"/>
      <c r="JUV40" s="899"/>
      <c r="JUW40" s="899"/>
      <c r="JUX40" s="899"/>
      <c r="JUY40" s="899"/>
      <c r="JUZ40" s="899"/>
      <c r="JVA40" s="899"/>
      <c r="JVB40" s="899"/>
      <c r="JVC40" s="899"/>
      <c r="JVD40" s="899"/>
      <c r="JVE40" s="899"/>
      <c r="JVF40" s="899"/>
      <c r="JVG40" s="899"/>
      <c r="JVH40" s="899"/>
      <c r="JVI40" s="899"/>
      <c r="JVJ40" s="899"/>
      <c r="JVK40" s="899"/>
      <c r="JVL40" s="899"/>
      <c r="JVM40" s="899"/>
      <c r="JVN40" s="899"/>
      <c r="JVO40" s="899"/>
      <c r="JVP40" s="899"/>
      <c r="JVQ40" s="899"/>
      <c r="JVR40" s="899"/>
      <c r="JVS40" s="899"/>
      <c r="JVT40" s="899"/>
      <c r="JVU40" s="899"/>
      <c r="JVV40" s="899"/>
      <c r="JVW40" s="899"/>
      <c r="JVX40" s="899"/>
      <c r="JVY40" s="899"/>
      <c r="JVZ40" s="899"/>
      <c r="JWA40" s="899"/>
      <c r="JWB40" s="899"/>
      <c r="JWC40" s="899"/>
      <c r="JWD40" s="899"/>
      <c r="JWE40" s="899"/>
      <c r="JWF40" s="899"/>
      <c r="JWG40" s="899"/>
      <c r="JWH40" s="899"/>
      <c r="JWI40" s="899"/>
      <c r="JWJ40" s="899"/>
      <c r="JWK40" s="899"/>
      <c r="JWL40" s="899"/>
      <c r="JWM40" s="899"/>
      <c r="JWN40" s="899"/>
      <c r="JWO40" s="899"/>
      <c r="JWP40" s="899"/>
      <c r="JWQ40" s="899"/>
      <c r="JWR40" s="899"/>
      <c r="JWS40" s="899"/>
      <c r="JWT40" s="899"/>
      <c r="JWU40" s="899"/>
      <c r="JWV40" s="899"/>
      <c r="JWW40" s="899"/>
      <c r="JWX40" s="899"/>
      <c r="JWY40" s="899"/>
      <c r="JWZ40" s="899"/>
      <c r="JXA40" s="899"/>
      <c r="JXB40" s="899"/>
      <c r="JXC40" s="899"/>
      <c r="JXD40" s="899"/>
      <c r="JXE40" s="899"/>
      <c r="JXF40" s="899"/>
      <c r="JXG40" s="899"/>
      <c r="JXH40" s="899"/>
      <c r="JXI40" s="899"/>
      <c r="JXJ40" s="899"/>
      <c r="JXK40" s="899"/>
      <c r="JXL40" s="899"/>
      <c r="JXM40" s="899"/>
      <c r="JXN40" s="899"/>
      <c r="JXO40" s="899"/>
      <c r="JXP40" s="899"/>
      <c r="JXQ40" s="899"/>
      <c r="JXR40" s="899"/>
      <c r="JXS40" s="899"/>
      <c r="JXT40" s="899"/>
      <c r="JXU40" s="899"/>
      <c r="JXV40" s="899"/>
      <c r="JXW40" s="899"/>
      <c r="JXX40" s="899"/>
      <c r="JXY40" s="899"/>
      <c r="JXZ40" s="899"/>
      <c r="JYA40" s="899"/>
      <c r="JYB40" s="899"/>
      <c r="JYC40" s="899"/>
      <c r="JYD40" s="899"/>
      <c r="JYE40" s="899"/>
      <c r="JYF40" s="899"/>
      <c r="JYG40" s="899"/>
      <c r="JYH40" s="899"/>
      <c r="JYI40" s="899"/>
      <c r="JYJ40" s="899"/>
      <c r="JYK40" s="899"/>
      <c r="JYL40" s="899"/>
      <c r="JYM40" s="899"/>
      <c r="JYN40" s="899"/>
      <c r="JYO40" s="899"/>
      <c r="JYP40" s="899"/>
      <c r="JYQ40" s="899"/>
      <c r="JYR40" s="899"/>
      <c r="JYS40" s="899"/>
      <c r="JYT40" s="899"/>
      <c r="JYU40" s="899"/>
      <c r="JYV40" s="899"/>
      <c r="JYW40" s="899"/>
      <c r="JYX40" s="899"/>
      <c r="JYY40" s="899"/>
      <c r="JYZ40" s="899"/>
      <c r="JZA40" s="899"/>
      <c r="JZB40" s="899"/>
      <c r="JZC40" s="899"/>
      <c r="JZD40" s="899"/>
      <c r="JZE40" s="899"/>
      <c r="JZF40" s="899"/>
      <c r="JZG40" s="899"/>
      <c r="JZH40" s="899"/>
      <c r="JZI40" s="899"/>
      <c r="JZJ40" s="899"/>
      <c r="JZK40" s="899"/>
      <c r="JZL40" s="899"/>
      <c r="JZM40" s="899"/>
      <c r="JZN40" s="899"/>
      <c r="JZO40" s="899"/>
      <c r="JZP40" s="899"/>
      <c r="JZQ40" s="899"/>
      <c r="JZR40" s="899"/>
      <c r="JZS40" s="899"/>
      <c r="JZT40" s="899"/>
      <c r="JZU40" s="899"/>
      <c r="JZV40" s="899"/>
      <c r="JZW40" s="899"/>
      <c r="JZX40" s="899"/>
      <c r="JZY40" s="899"/>
      <c r="JZZ40" s="899"/>
      <c r="KAA40" s="899"/>
      <c r="KAB40" s="899"/>
      <c r="KAC40" s="899"/>
      <c r="KAD40" s="899"/>
      <c r="KAE40" s="899"/>
      <c r="KAF40" s="899"/>
      <c r="KAG40" s="899"/>
      <c r="KAH40" s="899"/>
      <c r="KAI40" s="899"/>
      <c r="KAJ40" s="899"/>
      <c r="KAK40" s="899"/>
      <c r="KAL40" s="899"/>
      <c r="KAM40" s="899"/>
      <c r="KAN40" s="899"/>
      <c r="KAO40" s="899"/>
      <c r="KAP40" s="899"/>
      <c r="KAQ40" s="899"/>
      <c r="KAR40" s="899"/>
      <c r="KAS40" s="899"/>
      <c r="KAT40" s="899"/>
      <c r="KAU40" s="899"/>
      <c r="KAV40" s="899"/>
      <c r="KAW40" s="899"/>
      <c r="KAX40" s="899"/>
      <c r="KAY40" s="899"/>
      <c r="KAZ40" s="899"/>
      <c r="KBA40" s="899"/>
      <c r="KBB40" s="899"/>
      <c r="KBC40" s="899"/>
      <c r="KBD40" s="899"/>
      <c r="KBE40" s="899"/>
      <c r="KBF40" s="899"/>
      <c r="KBG40" s="899"/>
      <c r="KBH40" s="899"/>
      <c r="KBI40" s="899"/>
      <c r="KBJ40" s="899"/>
      <c r="KBK40" s="899"/>
      <c r="KBL40" s="899"/>
      <c r="KBM40" s="899"/>
      <c r="KBN40" s="899"/>
      <c r="KBO40" s="899"/>
      <c r="KBP40" s="899"/>
      <c r="KBQ40" s="899"/>
      <c r="KBR40" s="899"/>
      <c r="KBS40" s="899"/>
      <c r="KBT40" s="899"/>
      <c r="KBU40" s="899"/>
      <c r="KBV40" s="899"/>
      <c r="KBW40" s="899"/>
      <c r="KBX40" s="899"/>
      <c r="KBY40" s="899"/>
      <c r="KBZ40" s="899"/>
      <c r="KCA40" s="899"/>
      <c r="KCB40" s="899"/>
      <c r="KCC40" s="899"/>
      <c r="KCD40" s="899"/>
      <c r="KCE40" s="899"/>
      <c r="KCF40" s="899"/>
      <c r="KCG40" s="899"/>
      <c r="KCH40" s="899"/>
      <c r="KCI40" s="899"/>
      <c r="KCJ40" s="899"/>
      <c r="KCK40" s="899"/>
      <c r="KCL40" s="899"/>
      <c r="KCM40" s="899"/>
      <c r="KCN40" s="899"/>
      <c r="KCO40" s="899"/>
      <c r="KCP40" s="899"/>
      <c r="KCQ40" s="899"/>
      <c r="KCR40" s="899"/>
      <c r="KCS40" s="899"/>
      <c r="KCT40" s="899"/>
      <c r="KCU40" s="899"/>
      <c r="KCV40" s="899"/>
      <c r="KCW40" s="899"/>
      <c r="KCX40" s="899"/>
      <c r="KCY40" s="899"/>
      <c r="KCZ40" s="899"/>
      <c r="KDA40" s="899"/>
      <c r="KDB40" s="899"/>
      <c r="KDC40" s="899"/>
      <c r="KDD40" s="899"/>
      <c r="KDE40" s="899"/>
      <c r="KDF40" s="899"/>
      <c r="KDG40" s="899"/>
      <c r="KDH40" s="899"/>
      <c r="KDI40" s="899"/>
      <c r="KDJ40" s="899"/>
      <c r="KDK40" s="899"/>
      <c r="KDL40" s="899"/>
      <c r="KDM40" s="899"/>
      <c r="KDN40" s="899"/>
      <c r="KDO40" s="899"/>
      <c r="KDP40" s="899"/>
      <c r="KDQ40" s="899"/>
      <c r="KDR40" s="899"/>
      <c r="KDS40" s="899"/>
      <c r="KDT40" s="899"/>
      <c r="KDU40" s="899"/>
      <c r="KDV40" s="899"/>
      <c r="KDW40" s="899"/>
      <c r="KDX40" s="899"/>
      <c r="KDY40" s="899"/>
      <c r="KDZ40" s="899"/>
      <c r="KEA40" s="899"/>
      <c r="KEB40" s="899"/>
      <c r="KEC40" s="899"/>
      <c r="KED40" s="899"/>
      <c r="KEE40" s="899"/>
      <c r="KEF40" s="899"/>
      <c r="KEG40" s="899"/>
      <c r="KEH40" s="899"/>
      <c r="KEI40" s="899"/>
      <c r="KEJ40" s="899"/>
      <c r="KEK40" s="899"/>
      <c r="KEL40" s="899"/>
      <c r="KEM40" s="899"/>
      <c r="KEN40" s="899"/>
      <c r="KEO40" s="899"/>
      <c r="KEP40" s="899"/>
      <c r="KEQ40" s="899"/>
      <c r="KER40" s="899"/>
      <c r="KES40" s="899"/>
      <c r="KET40" s="899"/>
      <c r="KEU40" s="899"/>
      <c r="KEV40" s="899"/>
      <c r="KEW40" s="899"/>
      <c r="KEX40" s="899"/>
      <c r="KEY40" s="899"/>
      <c r="KEZ40" s="899"/>
      <c r="KFA40" s="899"/>
      <c r="KFB40" s="899"/>
      <c r="KFC40" s="899"/>
      <c r="KFD40" s="899"/>
      <c r="KFE40" s="899"/>
      <c r="KFF40" s="899"/>
      <c r="KFG40" s="899"/>
      <c r="KFH40" s="899"/>
      <c r="KFI40" s="899"/>
      <c r="KFJ40" s="899"/>
      <c r="KFK40" s="899"/>
      <c r="KFL40" s="899"/>
      <c r="KFM40" s="899"/>
      <c r="KFN40" s="899"/>
      <c r="KFO40" s="899"/>
      <c r="KFP40" s="899"/>
      <c r="KFQ40" s="899"/>
      <c r="KFR40" s="899"/>
      <c r="KFS40" s="899"/>
      <c r="KFT40" s="899"/>
      <c r="KFU40" s="899"/>
      <c r="KFV40" s="899"/>
      <c r="KFW40" s="899"/>
      <c r="KFX40" s="899"/>
      <c r="KFY40" s="899"/>
      <c r="KFZ40" s="899"/>
      <c r="KGA40" s="899"/>
      <c r="KGB40" s="899"/>
      <c r="KGC40" s="899"/>
      <c r="KGD40" s="899"/>
      <c r="KGE40" s="899"/>
      <c r="KGF40" s="899"/>
      <c r="KGG40" s="899"/>
      <c r="KGH40" s="899"/>
      <c r="KGI40" s="899"/>
      <c r="KGJ40" s="899"/>
      <c r="KGK40" s="899"/>
      <c r="KGL40" s="899"/>
      <c r="KGM40" s="899"/>
      <c r="KGN40" s="899"/>
      <c r="KGO40" s="899"/>
      <c r="KGP40" s="899"/>
      <c r="KGQ40" s="899"/>
      <c r="KGR40" s="899"/>
      <c r="KGS40" s="899"/>
      <c r="KGT40" s="899"/>
      <c r="KGU40" s="899"/>
      <c r="KGV40" s="899"/>
      <c r="KGW40" s="899"/>
      <c r="KGX40" s="899"/>
      <c r="KGY40" s="899"/>
      <c r="KGZ40" s="899"/>
      <c r="KHA40" s="899"/>
      <c r="KHB40" s="899"/>
      <c r="KHC40" s="899"/>
      <c r="KHD40" s="899"/>
      <c r="KHE40" s="899"/>
      <c r="KHF40" s="899"/>
      <c r="KHG40" s="899"/>
      <c r="KHH40" s="899"/>
      <c r="KHI40" s="899"/>
      <c r="KHJ40" s="899"/>
      <c r="KHK40" s="899"/>
      <c r="KHL40" s="899"/>
      <c r="KHM40" s="899"/>
      <c r="KHN40" s="899"/>
      <c r="KHO40" s="899"/>
      <c r="KHP40" s="899"/>
      <c r="KHQ40" s="899"/>
      <c r="KHR40" s="899"/>
      <c r="KHS40" s="899"/>
      <c r="KHT40" s="899"/>
      <c r="KHU40" s="899"/>
      <c r="KHV40" s="899"/>
      <c r="KHW40" s="899"/>
      <c r="KHX40" s="899"/>
      <c r="KHY40" s="899"/>
      <c r="KHZ40" s="899"/>
      <c r="KIA40" s="899"/>
      <c r="KIB40" s="899"/>
      <c r="KIC40" s="899"/>
      <c r="KID40" s="899"/>
      <c r="KIE40" s="899"/>
      <c r="KIF40" s="899"/>
      <c r="KIG40" s="899"/>
      <c r="KIH40" s="899"/>
      <c r="KII40" s="899"/>
      <c r="KIJ40" s="899"/>
      <c r="KIK40" s="899"/>
      <c r="KIL40" s="899"/>
      <c r="KIM40" s="899"/>
      <c r="KIN40" s="899"/>
      <c r="KIO40" s="899"/>
      <c r="KIP40" s="899"/>
      <c r="KIQ40" s="899"/>
      <c r="KIR40" s="899"/>
      <c r="KIS40" s="899"/>
      <c r="KIT40" s="899"/>
      <c r="KIU40" s="899"/>
      <c r="KIV40" s="899"/>
      <c r="KIW40" s="899"/>
      <c r="KIX40" s="899"/>
      <c r="KIY40" s="899"/>
      <c r="KIZ40" s="899"/>
      <c r="KJA40" s="899"/>
      <c r="KJB40" s="899"/>
      <c r="KJC40" s="899"/>
      <c r="KJD40" s="899"/>
      <c r="KJE40" s="899"/>
      <c r="KJF40" s="899"/>
      <c r="KJG40" s="899"/>
      <c r="KJH40" s="899"/>
      <c r="KJI40" s="899"/>
      <c r="KJJ40" s="899"/>
      <c r="KJK40" s="899"/>
      <c r="KJL40" s="899"/>
      <c r="KJM40" s="899"/>
      <c r="KJN40" s="899"/>
      <c r="KJO40" s="899"/>
      <c r="KJP40" s="899"/>
      <c r="KJQ40" s="899"/>
      <c r="KJR40" s="899"/>
      <c r="KJS40" s="899"/>
      <c r="KJT40" s="899"/>
      <c r="KJU40" s="899"/>
      <c r="KJV40" s="899"/>
      <c r="KJW40" s="899"/>
      <c r="KJX40" s="899"/>
      <c r="KJY40" s="899"/>
      <c r="KJZ40" s="899"/>
      <c r="KKA40" s="899"/>
      <c r="KKB40" s="899"/>
      <c r="KKC40" s="899"/>
      <c r="KKD40" s="899"/>
      <c r="KKE40" s="899"/>
      <c r="KKF40" s="899"/>
      <c r="KKG40" s="899"/>
      <c r="KKH40" s="899"/>
      <c r="KKI40" s="899"/>
      <c r="KKJ40" s="899"/>
      <c r="KKK40" s="899"/>
      <c r="KKL40" s="899"/>
      <c r="KKM40" s="899"/>
      <c r="KKN40" s="899"/>
      <c r="KKO40" s="899"/>
      <c r="KKP40" s="899"/>
      <c r="KKQ40" s="899"/>
      <c r="KKR40" s="899"/>
      <c r="KKS40" s="899"/>
      <c r="KKT40" s="899"/>
      <c r="KKU40" s="899"/>
      <c r="KKV40" s="899"/>
      <c r="KKW40" s="899"/>
      <c r="KKX40" s="899"/>
      <c r="KKY40" s="899"/>
      <c r="KKZ40" s="899"/>
      <c r="KLA40" s="899"/>
      <c r="KLB40" s="899"/>
      <c r="KLC40" s="899"/>
      <c r="KLD40" s="899"/>
      <c r="KLE40" s="899"/>
      <c r="KLF40" s="899"/>
      <c r="KLG40" s="899"/>
      <c r="KLH40" s="899"/>
      <c r="KLI40" s="899"/>
      <c r="KLJ40" s="899"/>
      <c r="KLK40" s="899"/>
      <c r="KLL40" s="899"/>
      <c r="KLM40" s="899"/>
      <c r="KLN40" s="899"/>
      <c r="KLO40" s="899"/>
      <c r="KLP40" s="899"/>
      <c r="KLQ40" s="899"/>
      <c r="KLR40" s="899"/>
      <c r="KLS40" s="899"/>
      <c r="KLT40" s="899"/>
      <c r="KLU40" s="899"/>
      <c r="KLV40" s="899"/>
      <c r="KLW40" s="899"/>
      <c r="KLX40" s="899"/>
      <c r="KLY40" s="899"/>
      <c r="KLZ40" s="899"/>
      <c r="KMA40" s="899"/>
      <c r="KMB40" s="899"/>
      <c r="KMC40" s="899"/>
      <c r="KMD40" s="899"/>
      <c r="KME40" s="899"/>
      <c r="KMF40" s="899"/>
      <c r="KMG40" s="899"/>
      <c r="KMH40" s="899"/>
      <c r="KMI40" s="899"/>
      <c r="KMJ40" s="899"/>
      <c r="KMK40" s="899"/>
      <c r="KML40" s="899"/>
      <c r="KMM40" s="899"/>
      <c r="KMN40" s="899"/>
      <c r="KMO40" s="899"/>
      <c r="KMP40" s="899"/>
      <c r="KMQ40" s="899"/>
      <c r="KMR40" s="899"/>
      <c r="KMS40" s="899"/>
      <c r="KMT40" s="899"/>
      <c r="KMU40" s="899"/>
      <c r="KMV40" s="899"/>
      <c r="KMW40" s="899"/>
      <c r="KMX40" s="899"/>
      <c r="KMY40" s="899"/>
      <c r="KMZ40" s="899"/>
      <c r="KNA40" s="899"/>
      <c r="KNB40" s="899"/>
      <c r="KNC40" s="899"/>
      <c r="KND40" s="899"/>
      <c r="KNE40" s="899"/>
      <c r="KNF40" s="899"/>
      <c r="KNG40" s="899"/>
      <c r="KNH40" s="899"/>
      <c r="KNI40" s="899"/>
      <c r="KNJ40" s="899"/>
      <c r="KNK40" s="899"/>
      <c r="KNL40" s="899"/>
      <c r="KNM40" s="899"/>
      <c r="KNN40" s="899"/>
      <c r="KNO40" s="899"/>
      <c r="KNP40" s="899"/>
      <c r="KNQ40" s="899"/>
      <c r="KNR40" s="899"/>
      <c r="KNS40" s="899"/>
      <c r="KNT40" s="899"/>
      <c r="KNU40" s="899"/>
      <c r="KNV40" s="899"/>
      <c r="KNW40" s="899"/>
      <c r="KNX40" s="899"/>
      <c r="KNY40" s="899"/>
      <c r="KNZ40" s="899"/>
      <c r="KOA40" s="899"/>
      <c r="KOB40" s="899"/>
      <c r="KOC40" s="899"/>
      <c r="KOD40" s="899"/>
      <c r="KOE40" s="899"/>
      <c r="KOF40" s="899"/>
      <c r="KOG40" s="899"/>
      <c r="KOH40" s="899"/>
      <c r="KOI40" s="899"/>
      <c r="KOJ40" s="899"/>
      <c r="KOK40" s="899"/>
      <c r="KOL40" s="899"/>
      <c r="KOM40" s="899"/>
      <c r="KON40" s="899"/>
      <c r="KOO40" s="899"/>
      <c r="KOP40" s="899"/>
      <c r="KOQ40" s="899"/>
      <c r="KOR40" s="899"/>
      <c r="KOS40" s="899"/>
      <c r="KOT40" s="899"/>
      <c r="KOU40" s="899"/>
      <c r="KOV40" s="899"/>
      <c r="KOW40" s="899"/>
      <c r="KOX40" s="899"/>
      <c r="KOY40" s="899"/>
      <c r="KOZ40" s="899"/>
      <c r="KPA40" s="899"/>
      <c r="KPB40" s="899"/>
      <c r="KPC40" s="899"/>
      <c r="KPD40" s="899"/>
      <c r="KPE40" s="899"/>
      <c r="KPF40" s="899"/>
      <c r="KPG40" s="899"/>
      <c r="KPH40" s="899"/>
      <c r="KPI40" s="899"/>
      <c r="KPJ40" s="899"/>
      <c r="KPK40" s="899"/>
      <c r="KPL40" s="899"/>
      <c r="KPM40" s="899"/>
      <c r="KPN40" s="899"/>
      <c r="KPO40" s="899"/>
      <c r="KPP40" s="899"/>
      <c r="KPQ40" s="899"/>
      <c r="KPR40" s="899"/>
      <c r="KPS40" s="899"/>
      <c r="KPT40" s="899"/>
      <c r="KPU40" s="899"/>
      <c r="KPV40" s="899"/>
      <c r="KPW40" s="899"/>
      <c r="KPX40" s="899"/>
      <c r="KPY40" s="899"/>
      <c r="KPZ40" s="899"/>
      <c r="KQA40" s="899"/>
      <c r="KQB40" s="899"/>
      <c r="KQC40" s="899"/>
      <c r="KQD40" s="899"/>
      <c r="KQE40" s="899"/>
      <c r="KQF40" s="899"/>
      <c r="KQG40" s="899"/>
      <c r="KQH40" s="899"/>
      <c r="KQI40" s="899"/>
      <c r="KQJ40" s="899"/>
      <c r="KQK40" s="899"/>
      <c r="KQL40" s="899"/>
      <c r="KQM40" s="899"/>
      <c r="KQN40" s="899"/>
      <c r="KQO40" s="899"/>
      <c r="KQP40" s="899"/>
      <c r="KQQ40" s="899"/>
      <c r="KQR40" s="899"/>
      <c r="KQS40" s="899"/>
      <c r="KQT40" s="899"/>
      <c r="KQU40" s="899"/>
      <c r="KQV40" s="899"/>
      <c r="KQW40" s="899"/>
      <c r="KQX40" s="899"/>
      <c r="KQY40" s="899"/>
      <c r="KQZ40" s="899"/>
      <c r="KRA40" s="899"/>
      <c r="KRB40" s="899"/>
      <c r="KRC40" s="899"/>
      <c r="KRD40" s="899"/>
      <c r="KRE40" s="899"/>
      <c r="KRF40" s="899"/>
      <c r="KRG40" s="899"/>
      <c r="KRH40" s="899"/>
      <c r="KRI40" s="899"/>
      <c r="KRJ40" s="899"/>
      <c r="KRK40" s="899"/>
      <c r="KRL40" s="899"/>
      <c r="KRM40" s="899"/>
      <c r="KRN40" s="899"/>
      <c r="KRO40" s="899"/>
      <c r="KRP40" s="899"/>
      <c r="KRQ40" s="899"/>
      <c r="KRR40" s="899"/>
      <c r="KRS40" s="899"/>
      <c r="KRT40" s="899"/>
      <c r="KRU40" s="899"/>
      <c r="KRV40" s="899"/>
      <c r="KRW40" s="899"/>
      <c r="KRX40" s="899"/>
      <c r="KRY40" s="899"/>
      <c r="KRZ40" s="899"/>
      <c r="KSA40" s="899"/>
      <c r="KSB40" s="899"/>
      <c r="KSC40" s="899"/>
      <c r="KSD40" s="899"/>
      <c r="KSE40" s="899"/>
      <c r="KSF40" s="899"/>
      <c r="KSG40" s="899"/>
      <c r="KSH40" s="899"/>
      <c r="KSI40" s="899"/>
      <c r="KSJ40" s="899"/>
      <c r="KSK40" s="899"/>
      <c r="KSL40" s="899"/>
      <c r="KSM40" s="899"/>
      <c r="KSN40" s="899"/>
      <c r="KSO40" s="899"/>
      <c r="KSP40" s="899"/>
      <c r="KSQ40" s="899"/>
      <c r="KSR40" s="899"/>
      <c r="KSS40" s="899"/>
      <c r="KST40" s="899"/>
      <c r="KSU40" s="899"/>
      <c r="KSV40" s="899"/>
      <c r="KSW40" s="899"/>
      <c r="KSX40" s="899"/>
      <c r="KSY40" s="899"/>
      <c r="KSZ40" s="899"/>
      <c r="KTA40" s="899"/>
      <c r="KTB40" s="899"/>
      <c r="KTC40" s="899"/>
      <c r="KTD40" s="899"/>
      <c r="KTE40" s="899"/>
      <c r="KTF40" s="899"/>
      <c r="KTG40" s="899"/>
      <c r="KTH40" s="899"/>
      <c r="KTI40" s="899"/>
      <c r="KTJ40" s="899"/>
      <c r="KTK40" s="899"/>
      <c r="KTL40" s="899"/>
      <c r="KTM40" s="899"/>
      <c r="KTN40" s="899"/>
      <c r="KTO40" s="899"/>
      <c r="KTP40" s="899"/>
      <c r="KTQ40" s="899"/>
      <c r="KTR40" s="899"/>
      <c r="KTS40" s="899"/>
      <c r="KTT40" s="899"/>
      <c r="KTU40" s="899"/>
      <c r="KTV40" s="899"/>
      <c r="KTW40" s="899"/>
      <c r="KTX40" s="899"/>
      <c r="KTY40" s="899"/>
      <c r="KTZ40" s="899"/>
      <c r="KUA40" s="899"/>
      <c r="KUB40" s="899"/>
      <c r="KUC40" s="899"/>
      <c r="KUD40" s="899"/>
      <c r="KUE40" s="899"/>
      <c r="KUF40" s="899"/>
      <c r="KUG40" s="899"/>
      <c r="KUH40" s="899"/>
      <c r="KUI40" s="899"/>
      <c r="KUJ40" s="899"/>
      <c r="KUK40" s="899"/>
      <c r="KUL40" s="899"/>
      <c r="KUM40" s="899"/>
      <c r="KUN40" s="899"/>
      <c r="KUO40" s="899"/>
      <c r="KUP40" s="899"/>
      <c r="KUQ40" s="899"/>
      <c r="KUR40" s="899"/>
      <c r="KUS40" s="899"/>
      <c r="KUT40" s="899"/>
      <c r="KUU40" s="899"/>
      <c r="KUV40" s="899"/>
      <c r="KUW40" s="899"/>
      <c r="KUX40" s="899"/>
      <c r="KUY40" s="899"/>
      <c r="KUZ40" s="899"/>
      <c r="KVA40" s="899"/>
      <c r="KVB40" s="899"/>
      <c r="KVC40" s="899"/>
      <c r="KVD40" s="899"/>
      <c r="KVE40" s="899"/>
      <c r="KVF40" s="899"/>
      <c r="KVG40" s="899"/>
      <c r="KVH40" s="899"/>
      <c r="KVI40" s="899"/>
      <c r="KVJ40" s="899"/>
      <c r="KVK40" s="899"/>
      <c r="KVL40" s="899"/>
      <c r="KVM40" s="899"/>
      <c r="KVN40" s="899"/>
      <c r="KVO40" s="899"/>
      <c r="KVP40" s="899"/>
      <c r="KVQ40" s="899"/>
      <c r="KVR40" s="899"/>
      <c r="KVS40" s="899"/>
      <c r="KVT40" s="899"/>
      <c r="KVU40" s="899"/>
      <c r="KVV40" s="899"/>
      <c r="KVW40" s="899"/>
      <c r="KVX40" s="899"/>
      <c r="KVY40" s="899"/>
      <c r="KVZ40" s="899"/>
      <c r="KWA40" s="899"/>
      <c r="KWB40" s="899"/>
      <c r="KWC40" s="899"/>
      <c r="KWD40" s="899"/>
      <c r="KWE40" s="899"/>
      <c r="KWF40" s="899"/>
      <c r="KWG40" s="899"/>
      <c r="KWH40" s="899"/>
      <c r="KWI40" s="899"/>
      <c r="KWJ40" s="899"/>
      <c r="KWK40" s="899"/>
      <c r="KWL40" s="899"/>
      <c r="KWM40" s="899"/>
      <c r="KWN40" s="899"/>
      <c r="KWO40" s="899"/>
      <c r="KWP40" s="899"/>
      <c r="KWQ40" s="899"/>
      <c r="KWR40" s="899"/>
      <c r="KWS40" s="899"/>
      <c r="KWT40" s="899"/>
      <c r="KWU40" s="899"/>
      <c r="KWV40" s="899"/>
      <c r="KWW40" s="899"/>
      <c r="KWX40" s="899"/>
      <c r="KWY40" s="899"/>
      <c r="KWZ40" s="899"/>
      <c r="KXA40" s="899"/>
      <c r="KXB40" s="899"/>
      <c r="KXC40" s="899"/>
      <c r="KXD40" s="899"/>
      <c r="KXE40" s="899"/>
      <c r="KXF40" s="899"/>
      <c r="KXG40" s="899"/>
      <c r="KXH40" s="899"/>
      <c r="KXI40" s="899"/>
      <c r="KXJ40" s="899"/>
      <c r="KXK40" s="899"/>
      <c r="KXL40" s="899"/>
      <c r="KXM40" s="899"/>
      <c r="KXN40" s="899"/>
      <c r="KXO40" s="899"/>
      <c r="KXP40" s="899"/>
      <c r="KXQ40" s="899"/>
      <c r="KXR40" s="899"/>
      <c r="KXS40" s="899"/>
      <c r="KXT40" s="899"/>
      <c r="KXU40" s="899"/>
      <c r="KXV40" s="899"/>
      <c r="KXW40" s="899"/>
      <c r="KXX40" s="899"/>
      <c r="KXY40" s="899"/>
      <c r="KXZ40" s="899"/>
      <c r="KYA40" s="899"/>
      <c r="KYB40" s="899"/>
      <c r="KYC40" s="899"/>
      <c r="KYD40" s="899"/>
      <c r="KYE40" s="899"/>
      <c r="KYF40" s="899"/>
      <c r="KYG40" s="899"/>
      <c r="KYH40" s="899"/>
      <c r="KYI40" s="899"/>
      <c r="KYJ40" s="899"/>
      <c r="KYK40" s="899"/>
      <c r="KYL40" s="899"/>
      <c r="KYM40" s="899"/>
      <c r="KYN40" s="899"/>
      <c r="KYO40" s="899"/>
      <c r="KYP40" s="899"/>
      <c r="KYQ40" s="899"/>
      <c r="KYR40" s="899"/>
      <c r="KYS40" s="899"/>
      <c r="KYT40" s="899"/>
      <c r="KYU40" s="899"/>
      <c r="KYV40" s="899"/>
      <c r="KYW40" s="899"/>
      <c r="KYX40" s="899"/>
      <c r="KYY40" s="899"/>
      <c r="KYZ40" s="899"/>
      <c r="KZA40" s="899"/>
      <c r="KZB40" s="899"/>
      <c r="KZC40" s="899"/>
      <c r="KZD40" s="899"/>
      <c r="KZE40" s="899"/>
      <c r="KZF40" s="899"/>
      <c r="KZG40" s="899"/>
      <c r="KZH40" s="899"/>
      <c r="KZI40" s="899"/>
      <c r="KZJ40" s="899"/>
      <c r="KZK40" s="899"/>
      <c r="KZL40" s="899"/>
      <c r="KZM40" s="899"/>
      <c r="KZN40" s="899"/>
      <c r="KZO40" s="899"/>
      <c r="KZP40" s="899"/>
      <c r="KZQ40" s="899"/>
      <c r="KZR40" s="899"/>
      <c r="KZS40" s="899"/>
      <c r="KZT40" s="899"/>
      <c r="KZU40" s="899"/>
      <c r="KZV40" s="899"/>
      <c r="KZW40" s="899"/>
      <c r="KZX40" s="899"/>
      <c r="KZY40" s="899"/>
      <c r="KZZ40" s="899"/>
      <c r="LAA40" s="899"/>
      <c r="LAB40" s="899"/>
      <c r="LAC40" s="899"/>
      <c r="LAD40" s="899"/>
      <c r="LAE40" s="899"/>
      <c r="LAF40" s="899"/>
      <c r="LAG40" s="899"/>
      <c r="LAH40" s="899"/>
      <c r="LAI40" s="899"/>
      <c r="LAJ40" s="899"/>
      <c r="LAK40" s="899"/>
      <c r="LAL40" s="899"/>
      <c r="LAM40" s="899"/>
      <c r="LAN40" s="899"/>
      <c r="LAO40" s="899"/>
      <c r="LAP40" s="899"/>
      <c r="LAQ40" s="899"/>
      <c r="LAR40" s="899"/>
      <c r="LAS40" s="899"/>
      <c r="LAT40" s="899"/>
      <c r="LAU40" s="899"/>
      <c r="LAV40" s="899"/>
      <c r="LAW40" s="899"/>
      <c r="LAX40" s="899"/>
      <c r="LAY40" s="899"/>
      <c r="LAZ40" s="899"/>
      <c r="LBA40" s="899"/>
      <c r="LBB40" s="899"/>
      <c r="LBC40" s="899"/>
      <c r="LBD40" s="899"/>
      <c r="LBE40" s="899"/>
      <c r="LBF40" s="899"/>
      <c r="LBG40" s="899"/>
      <c r="LBH40" s="899"/>
      <c r="LBI40" s="899"/>
      <c r="LBJ40" s="899"/>
      <c r="LBK40" s="899"/>
      <c r="LBL40" s="899"/>
      <c r="LBM40" s="899"/>
      <c r="LBN40" s="899"/>
      <c r="LBO40" s="899"/>
      <c r="LBP40" s="899"/>
      <c r="LBQ40" s="899"/>
      <c r="LBR40" s="899"/>
      <c r="LBS40" s="899"/>
      <c r="LBT40" s="899"/>
      <c r="LBU40" s="899"/>
      <c r="LBV40" s="899"/>
      <c r="LBW40" s="899"/>
      <c r="LBX40" s="899"/>
      <c r="LBY40" s="899"/>
      <c r="LBZ40" s="899"/>
      <c r="LCA40" s="899"/>
      <c r="LCB40" s="899"/>
      <c r="LCC40" s="899"/>
      <c r="LCD40" s="899"/>
      <c r="LCE40" s="899"/>
      <c r="LCF40" s="899"/>
      <c r="LCG40" s="899"/>
      <c r="LCH40" s="899"/>
      <c r="LCI40" s="899"/>
      <c r="LCJ40" s="899"/>
      <c r="LCK40" s="899"/>
      <c r="LCL40" s="899"/>
      <c r="LCM40" s="899"/>
      <c r="LCN40" s="899"/>
      <c r="LCO40" s="899"/>
      <c r="LCP40" s="899"/>
      <c r="LCQ40" s="899"/>
      <c r="LCR40" s="899"/>
      <c r="LCS40" s="899"/>
      <c r="LCT40" s="899"/>
      <c r="LCU40" s="899"/>
      <c r="LCV40" s="899"/>
      <c r="LCW40" s="899"/>
      <c r="LCX40" s="899"/>
      <c r="LCY40" s="899"/>
      <c r="LCZ40" s="899"/>
      <c r="LDA40" s="899"/>
      <c r="LDB40" s="899"/>
      <c r="LDC40" s="899"/>
      <c r="LDD40" s="899"/>
      <c r="LDE40" s="899"/>
      <c r="LDF40" s="899"/>
      <c r="LDG40" s="899"/>
      <c r="LDH40" s="899"/>
      <c r="LDI40" s="899"/>
      <c r="LDJ40" s="899"/>
      <c r="LDK40" s="899"/>
      <c r="LDL40" s="899"/>
      <c r="LDM40" s="899"/>
      <c r="LDN40" s="899"/>
      <c r="LDO40" s="899"/>
      <c r="LDP40" s="899"/>
      <c r="LDQ40" s="899"/>
      <c r="LDR40" s="899"/>
      <c r="LDS40" s="899"/>
      <c r="LDT40" s="899"/>
      <c r="LDU40" s="899"/>
      <c r="LDV40" s="899"/>
      <c r="LDW40" s="899"/>
      <c r="LDX40" s="899"/>
      <c r="LDY40" s="899"/>
      <c r="LDZ40" s="899"/>
      <c r="LEA40" s="899"/>
      <c r="LEB40" s="899"/>
      <c r="LEC40" s="899"/>
      <c r="LED40" s="899"/>
      <c r="LEE40" s="899"/>
      <c r="LEF40" s="899"/>
      <c r="LEG40" s="899"/>
      <c r="LEH40" s="899"/>
      <c r="LEI40" s="899"/>
      <c r="LEJ40" s="899"/>
      <c r="LEK40" s="899"/>
      <c r="LEL40" s="899"/>
      <c r="LEM40" s="899"/>
      <c r="LEN40" s="899"/>
      <c r="LEO40" s="899"/>
      <c r="LEP40" s="899"/>
      <c r="LEQ40" s="899"/>
      <c r="LER40" s="899"/>
      <c r="LES40" s="899"/>
      <c r="LET40" s="899"/>
      <c r="LEU40" s="899"/>
      <c r="LEV40" s="899"/>
      <c r="LEW40" s="899"/>
      <c r="LEX40" s="899"/>
      <c r="LEY40" s="899"/>
      <c r="LEZ40" s="899"/>
      <c r="LFA40" s="899"/>
      <c r="LFB40" s="899"/>
      <c r="LFC40" s="899"/>
      <c r="LFD40" s="899"/>
      <c r="LFE40" s="899"/>
      <c r="LFF40" s="899"/>
      <c r="LFG40" s="899"/>
      <c r="LFH40" s="899"/>
      <c r="LFI40" s="899"/>
      <c r="LFJ40" s="899"/>
      <c r="LFK40" s="899"/>
      <c r="LFL40" s="899"/>
      <c r="LFM40" s="899"/>
      <c r="LFN40" s="899"/>
      <c r="LFO40" s="899"/>
      <c r="LFP40" s="899"/>
      <c r="LFQ40" s="899"/>
      <c r="LFR40" s="899"/>
      <c r="LFS40" s="899"/>
      <c r="LFT40" s="899"/>
      <c r="LFU40" s="899"/>
      <c r="LFV40" s="899"/>
      <c r="LFW40" s="899"/>
      <c r="LFX40" s="899"/>
      <c r="LFY40" s="899"/>
      <c r="LFZ40" s="899"/>
      <c r="LGA40" s="899"/>
      <c r="LGB40" s="899"/>
      <c r="LGC40" s="899"/>
      <c r="LGD40" s="899"/>
      <c r="LGE40" s="899"/>
      <c r="LGF40" s="899"/>
      <c r="LGG40" s="899"/>
      <c r="LGH40" s="899"/>
      <c r="LGI40" s="899"/>
      <c r="LGJ40" s="899"/>
      <c r="LGK40" s="899"/>
      <c r="LGL40" s="899"/>
      <c r="LGM40" s="899"/>
      <c r="LGN40" s="899"/>
      <c r="LGO40" s="899"/>
      <c r="LGP40" s="899"/>
      <c r="LGQ40" s="899"/>
      <c r="LGR40" s="899"/>
      <c r="LGS40" s="899"/>
      <c r="LGT40" s="899"/>
      <c r="LGU40" s="899"/>
      <c r="LGV40" s="899"/>
      <c r="LGW40" s="899"/>
      <c r="LGX40" s="899"/>
      <c r="LGY40" s="899"/>
      <c r="LGZ40" s="899"/>
      <c r="LHA40" s="899"/>
      <c r="LHB40" s="899"/>
      <c r="LHC40" s="899"/>
      <c r="LHD40" s="899"/>
      <c r="LHE40" s="899"/>
      <c r="LHF40" s="899"/>
      <c r="LHG40" s="899"/>
      <c r="LHH40" s="899"/>
      <c r="LHI40" s="899"/>
      <c r="LHJ40" s="899"/>
      <c r="LHK40" s="899"/>
      <c r="LHL40" s="899"/>
      <c r="LHM40" s="899"/>
      <c r="LHN40" s="899"/>
      <c r="LHO40" s="899"/>
      <c r="LHP40" s="899"/>
      <c r="LHQ40" s="899"/>
      <c r="LHR40" s="899"/>
      <c r="LHS40" s="899"/>
      <c r="LHT40" s="899"/>
      <c r="LHU40" s="899"/>
      <c r="LHV40" s="899"/>
      <c r="LHW40" s="899"/>
      <c r="LHX40" s="899"/>
      <c r="LHY40" s="899"/>
      <c r="LHZ40" s="899"/>
      <c r="LIA40" s="899"/>
      <c r="LIB40" s="899"/>
      <c r="LIC40" s="899"/>
      <c r="LID40" s="899"/>
      <c r="LIE40" s="899"/>
      <c r="LIF40" s="899"/>
      <c r="LIG40" s="899"/>
      <c r="LIH40" s="899"/>
      <c r="LII40" s="899"/>
      <c r="LIJ40" s="899"/>
      <c r="LIK40" s="899"/>
      <c r="LIL40" s="899"/>
      <c r="LIM40" s="899"/>
      <c r="LIN40" s="899"/>
      <c r="LIO40" s="899"/>
      <c r="LIP40" s="899"/>
      <c r="LIQ40" s="899"/>
      <c r="LIR40" s="899"/>
      <c r="LIS40" s="899"/>
      <c r="LIT40" s="899"/>
      <c r="LIU40" s="899"/>
      <c r="LIV40" s="899"/>
      <c r="LIW40" s="899"/>
      <c r="LIX40" s="899"/>
      <c r="LIY40" s="899"/>
      <c r="LIZ40" s="899"/>
      <c r="LJA40" s="899"/>
      <c r="LJB40" s="899"/>
      <c r="LJC40" s="899"/>
      <c r="LJD40" s="899"/>
      <c r="LJE40" s="899"/>
      <c r="LJF40" s="899"/>
      <c r="LJG40" s="899"/>
      <c r="LJH40" s="899"/>
      <c r="LJI40" s="899"/>
      <c r="LJJ40" s="899"/>
      <c r="LJK40" s="899"/>
      <c r="LJL40" s="899"/>
      <c r="LJM40" s="899"/>
      <c r="LJN40" s="899"/>
      <c r="LJO40" s="899"/>
      <c r="LJP40" s="899"/>
      <c r="LJQ40" s="899"/>
      <c r="LJR40" s="899"/>
      <c r="LJS40" s="899"/>
      <c r="LJT40" s="899"/>
      <c r="LJU40" s="899"/>
      <c r="LJV40" s="899"/>
      <c r="LJW40" s="899"/>
      <c r="LJX40" s="899"/>
      <c r="LJY40" s="899"/>
      <c r="LJZ40" s="899"/>
      <c r="LKA40" s="899"/>
      <c r="LKB40" s="899"/>
      <c r="LKC40" s="899"/>
      <c r="LKD40" s="899"/>
      <c r="LKE40" s="899"/>
      <c r="LKF40" s="899"/>
      <c r="LKG40" s="899"/>
      <c r="LKH40" s="899"/>
      <c r="LKI40" s="899"/>
      <c r="LKJ40" s="899"/>
      <c r="LKK40" s="899"/>
      <c r="LKL40" s="899"/>
      <c r="LKM40" s="899"/>
      <c r="LKN40" s="899"/>
      <c r="LKO40" s="899"/>
      <c r="LKP40" s="899"/>
      <c r="LKQ40" s="899"/>
      <c r="LKR40" s="899"/>
      <c r="LKS40" s="899"/>
      <c r="LKT40" s="899"/>
      <c r="LKU40" s="899"/>
      <c r="LKV40" s="899"/>
      <c r="LKW40" s="899"/>
      <c r="LKX40" s="899"/>
      <c r="LKY40" s="899"/>
      <c r="LKZ40" s="899"/>
      <c r="LLA40" s="899"/>
      <c r="LLB40" s="899"/>
      <c r="LLC40" s="899"/>
      <c r="LLD40" s="899"/>
      <c r="LLE40" s="899"/>
      <c r="LLF40" s="899"/>
      <c r="LLG40" s="899"/>
      <c r="LLH40" s="899"/>
      <c r="LLI40" s="899"/>
      <c r="LLJ40" s="899"/>
      <c r="LLK40" s="899"/>
      <c r="LLL40" s="899"/>
      <c r="LLM40" s="899"/>
      <c r="LLN40" s="899"/>
      <c r="LLO40" s="899"/>
      <c r="LLP40" s="899"/>
      <c r="LLQ40" s="899"/>
      <c r="LLR40" s="899"/>
      <c r="LLS40" s="899"/>
      <c r="LLT40" s="899"/>
      <c r="LLU40" s="899"/>
      <c r="LLV40" s="899"/>
      <c r="LLW40" s="899"/>
      <c r="LLX40" s="899"/>
      <c r="LLY40" s="899"/>
      <c r="LLZ40" s="899"/>
      <c r="LMA40" s="899"/>
      <c r="LMB40" s="899"/>
      <c r="LMC40" s="899"/>
      <c r="LMD40" s="899"/>
      <c r="LME40" s="899"/>
      <c r="LMF40" s="899"/>
      <c r="LMG40" s="899"/>
      <c r="LMH40" s="899"/>
      <c r="LMI40" s="899"/>
      <c r="LMJ40" s="899"/>
      <c r="LMK40" s="899"/>
      <c r="LML40" s="899"/>
      <c r="LMM40" s="899"/>
      <c r="LMN40" s="899"/>
      <c r="LMO40" s="899"/>
      <c r="LMP40" s="899"/>
      <c r="LMQ40" s="899"/>
      <c r="LMR40" s="899"/>
      <c r="LMS40" s="899"/>
      <c r="LMT40" s="899"/>
      <c r="LMU40" s="899"/>
      <c r="LMV40" s="899"/>
      <c r="LMW40" s="899"/>
      <c r="LMX40" s="899"/>
      <c r="LMY40" s="899"/>
      <c r="LMZ40" s="899"/>
      <c r="LNA40" s="899"/>
      <c r="LNB40" s="899"/>
      <c r="LNC40" s="899"/>
      <c r="LND40" s="899"/>
      <c r="LNE40" s="899"/>
      <c r="LNF40" s="899"/>
      <c r="LNG40" s="899"/>
      <c r="LNH40" s="899"/>
      <c r="LNI40" s="899"/>
      <c r="LNJ40" s="899"/>
      <c r="LNK40" s="899"/>
      <c r="LNL40" s="899"/>
      <c r="LNM40" s="899"/>
      <c r="LNN40" s="899"/>
      <c r="LNO40" s="899"/>
      <c r="LNP40" s="899"/>
      <c r="LNQ40" s="899"/>
      <c r="LNR40" s="899"/>
      <c r="LNS40" s="899"/>
      <c r="LNT40" s="899"/>
      <c r="LNU40" s="899"/>
      <c r="LNV40" s="899"/>
      <c r="LNW40" s="899"/>
      <c r="LNX40" s="899"/>
      <c r="LNY40" s="899"/>
      <c r="LNZ40" s="899"/>
      <c r="LOA40" s="899"/>
      <c r="LOB40" s="899"/>
      <c r="LOC40" s="899"/>
      <c r="LOD40" s="899"/>
      <c r="LOE40" s="899"/>
      <c r="LOF40" s="899"/>
      <c r="LOG40" s="899"/>
      <c r="LOH40" s="899"/>
      <c r="LOI40" s="899"/>
      <c r="LOJ40" s="899"/>
      <c r="LOK40" s="899"/>
      <c r="LOL40" s="899"/>
      <c r="LOM40" s="899"/>
      <c r="LON40" s="899"/>
      <c r="LOO40" s="899"/>
      <c r="LOP40" s="899"/>
      <c r="LOQ40" s="899"/>
      <c r="LOR40" s="899"/>
      <c r="LOS40" s="899"/>
      <c r="LOT40" s="899"/>
      <c r="LOU40" s="899"/>
      <c r="LOV40" s="899"/>
      <c r="LOW40" s="899"/>
      <c r="LOX40" s="899"/>
      <c r="LOY40" s="899"/>
      <c r="LOZ40" s="899"/>
      <c r="LPA40" s="899"/>
      <c r="LPB40" s="899"/>
      <c r="LPC40" s="899"/>
      <c r="LPD40" s="899"/>
      <c r="LPE40" s="899"/>
      <c r="LPF40" s="899"/>
      <c r="LPG40" s="899"/>
      <c r="LPH40" s="899"/>
      <c r="LPI40" s="899"/>
      <c r="LPJ40" s="899"/>
      <c r="LPK40" s="899"/>
      <c r="LPL40" s="899"/>
      <c r="LPM40" s="899"/>
      <c r="LPN40" s="899"/>
      <c r="LPO40" s="899"/>
      <c r="LPP40" s="899"/>
      <c r="LPQ40" s="899"/>
      <c r="LPR40" s="899"/>
      <c r="LPS40" s="899"/>
      <c r="LPT40" s="899"/>
      <c r="LPU40" s="899"/>
      <c r="LPV40" s="899"/>
      <c r="LPW40" s="899"/>
      <c r="LPX40" s="899"/>
      <c r="LPY40" s="899"/>
      <c r="LPZ40" s="899"/>
      <c r="LQA40" s="899"/>
      <c r="LQB40" s="899"/>
      <c r="LQC40" s="899"/>
      <c r="LQD40" s="899"/>
      <c r="LQE40" s="899"/>
      <c r="LQF40" s="899"/>
      <c r="LQG40" s="899"/>
      <c r="LQH40" s="899"/>
      <c r="LQI40" s="899"/>
      <c r="LQJ40" s="899"/>
      <c r="LQK40" s="899"/>
      <c r="LQL40" s="899"/>
      <c r="LQM40" s="899"/>
      <c r="LQN40" s="899"/>
      <c r="LQO40" s="899"/>
      <c r="LQP40" s="899"/>
      <c r="LQQ40" s="899"/>
      <c r="LQR40" s="899"/>
      <c r="LQS40" s="899"/>
      <c r="LQT40" s="899"/>
      <c r="LQU40" s="899"/>
      <c r="LQV40" s="899"/>
      <c r="LQW40" s="899"/>
      <c r="LQX40" s="899"/>
      <c r="LQY40" s="899"/>
      <c r="LQZ40" s="899"/>
      <c r="LRA40" s="899"/>
      <c r="LRB40" s="899"/>
      <c r="LRC40" s="899"/>
      <c r="LRD40" s="899"/>
      <c r="LRE40" s="899"/>
      <c r="LRF40" s="899"/>
      <c r="LRG40" s="899"/>
      <c r="LRH40" s="899"/>
      <c r="LRI40" s="899"/>
      <c r="LRJ40" s="899"/>
      <c r="LRK40" s="899"/>
      <c r="LRL40" s="899"/>
      <c r="LRM40" s="899"/>
      <c r="LRN40" s="899"/>
      <c r="LRO40" s="899"/>
      <c r="LRP40" s="899"/>
      <c r="LRQ40" s="899"/>
      <c r="LRR40" s="899"/>
      <c r="LRS40" s="899"/>
      <c r="LRT40" s="899"/>
      <c r="LRU40" s="899"/>
      <c r="LRV40" s="899"/>
      <c r="LRW40" s="899"/>
      <c r="LRX40" s="899"/>
      <c r="LRY40" s="899"/>
      <c r="LRZ40" s="899"/>
      <c r="LSA40" s="899"/>
      <c r="LSB40" s="899"/>
      <c r="LSC40" s="899"/>
      <c r="LSD40" s="899"/>
      <c r="LSE40" s="899"/>
      <c r="LSF40" s="899"/>
      <c r="LSG40" s="899"/>
      <c r="LSH40" s="899"/>
      <c r="LSI40" s="899"/>
      <c r="LSJ40" s="899"/>
      <c r="LSK40" s="899"/>
      <c r="LSL40" s="899"/>
      <c r="LSM40" s="899"/>
      <c r="LSN40" s="899"/>
      <c r="LSO40" s="899"/>
      <c r="LSP40" s="899"/>
      <c r="LSQ40" s="899"/>
      <c r="LSR40" s="899"/>
      <c r="LSS40" s="899"/>
      <c r="LST40" s="899"/>
      <c r="LSU40" s="899"/>
      <c r="LSV40" s="899"/>
      <c r="LSW40" s="899"/>
      <c r="LSX40" s="899"/>
      <c r="LSY40" s="899"/>
      <c r="LSZ40" s="899"/>
      <c r="LTA40" s="899"/>
      <c r="LTB40" s="899"/>
      <c r="LTC40" s="899"/>
      <c r="LTD40" s="899"/>
      <c r="LTE40" s="899"/>
      <c r="LTF40" s="899"/>
      <c r="LTG40" s="899"/>
      <c r="LTH40" s="899"/>
      <c r="LTI40" s="899"/>
      <c r="LTJ40" s="899"/>
      <c r="LTK40" s="899"/>
      <c r="LTL40" s="899"/>
      <c r="LTM40" s="899"/>
      <c r="LTN40" s="899"/>
      <c r="LTO40" s="899"/>
      <c r="LTP40" s="899"/>
      <c r="LTQ40" s="899"/>
      <c r="LTR40" s="899"/>
      <c r="LTS40" s="899"/>
      <c r="LTT40" s="899"/>
      <c r="LTU40" s="899"/>
      <c r="LTV40" s="899"/>
      <c r="LTW40" s="899"/>
      <c r="LTX40" s="899"/>
      <c r="LTY40" s="899"/>
      <c r="LTZ40" s="899"/>
      <c r="LUA40" s="899"/>
      <c r="LUB40" s="899"/>
      <c r="LUC40" s="899"/>
      <c r="LUD40" s="899"/>
      <c r="LUE40" s="899"/>
      <c r="LUF40" s="899"/>
      <c r="LUG40" s="899"/>
      <c r="LUH40" s="899"/>
      <c r="LUI40" s="899"/>
      <c r="LUJ40" s="899"/>
      <c r="LUK40" s="899"/>
      <c r="LUL40" s="899"/>
      <c r="LUM40" s="899"/>
      <c r="LUN40" s="899"/>
      <c r="LUO40" s="899"/>
      <c r="LUP40" s="899"/>
      <c r="LUQ40" s="899"/>
      <c r="LUR40" s="899"/>
      <c r="LUS40" s="899"/>
      <c r="LUT40" s="899"/>
      <c r="LUU40" s="899"/>
      <c r="LUV40" s="899"/>
      <c r="LUW40" s="899"/>
      <c r="LUX40" s="899"/>
      <c r="LUY40" s="899"/>
      <c r="LUZ40" s="899"/>
      <c r="LVA40" s="899"/>
      <c r="LVB40" s="899"/>
      <c r="LVC40" s="899"/>
      <c r="LVD40" s="899"/>
      <c r="LVE40" s="899"/>
      <c r="LVF40" s="899"/>
      <c r="LVG40" s="899"/>
      <c r="LVH40" s="899"/>
      <c r="LVI40" s="899"/>
      <c r="LVJ40" s="899"/>
      <c r="LVK40" s="899"/>
      <c r="LVL40" s="899"/>
      <c r="LVM40" s="899"/>
      <c r="LVN40" s="899"/>
      <c r="LVO40" s="899"/>
      <c r="LVP40" s="899"/>
      <c r="LVQ40" s="899"/>
      <c r="LVR40" s="899"/>
      <c r="LVS40" s="899"/>
      <c r="LVT40" s="899"/>
      <c r="LVU40" s="899"/>
      <c r="LVV40" s="899"/>
      <c r="LVW40" s="899"/>
      <c r="LVX40" s="899"/>
      <c r="LVY40" s="899"/>
      <c r="LVZ40" s="899"/>
      <c r="LWA40" s="899"/>
      <c r="LWB40" s="899"/>
      <c r="LWC40" s="899"/>
      <c r="LWD40" s="899"/>
      <c r="LWE40" s="899"/>
      <c r="LWF40" s="899"/>
      <c r="LWG40" s="899"/>
      <c r="LWH40" s="899"/>
      <c r="LWI40" s="899"/>
      <c r="LWJ40" s="899"/>
      <c r="LWK40" s="899"/>
      <c r="LWL40" s="899"/>
      <c r="LWM40" s="899"/>
      <c r="LWN40" s="899"/>
      <c r="LWO40" s="899"/>
      <c r="LWP40" s="899"/>
      <c r="LWQ40" s="899"/>
      <c r="LWR40" s="899"/>
      <c r="LWS40" s="899"/>
      <c r="LWT40" s="899"/>
      <c r="LWU40" s="899"/>
      <c r="LWV40" s="899"/>
      <c r="LWW40" s="899"/>
      <c r="LWX40" s="899"/>
      <c r="LWY40" s="899"/>
      <c r="LWZ40" s="899"/>
      <c r="LXA40" s="899"/>
      <c r="LXB40" s="899"/>
      <c r="LXC40" s="899"/>
      <c r="LXD40" s="899"/>
      <c r="LXE40" s="899"/>
      <c r="LXF40" s="899"/>
      <c r="LXG40" s="899"/>
      <c r="LXH40" s="899"/>
      <c r="LXI40" s="899"/>
      <c r="LXJ40" s="899"/>
      <c r="LXK40" s="899"/>
      <c r="LXL40" s="899"/>
      <c r="LXM40" s="899"/>
      <c r="LXN40" s="899"/>
      <c r="LXO40" s="899"/>
      <c r="LXP40" s="899"/>
      <c r="LXQ40" s="899"/>
      <c r="LXR40" s="899"/>
      <c r="LXS40" s="899"/>
      <c r="LXT40" s="899"/>
      <c r="LXU40" s="899"/>
      <c r="LXV40" s="899"/>
      <c r="LXW40" s="899"/>
      <c r="LXX40" s="899"/>
      <c r="LXY40" s="899"/>
      <c r="LXZ40" s="899"/>
      <c r="LYA40" s="899"/>
      <c r="LYB40" s="899"/>
      <c r="LYC40" s="899"/>
      <c r="LYD40" s="899"/>
      <c r="LYE40" s="899"/>
      <c r="LYF40" s="899"/>
      <c r="LYG40" s="899"/>
      <c r="LYH40" s="899"/>
      <c r="LYI40" s="899"/>
      <c r="LYJ40" s="899"/>
      <c r="LYK40" s="899"/>
      <c r="LYL40" s="899"/>
      <c r="LYM40" s="899"/>
      <c r="LYN40" s="899"/>
      <c r="LYO40" s="899"/>
      <c r="LYP40" s="899"/>
      <c r="LYQ40" s="899"/>
      <c r="LYR40" s="899"/>
      <c r="LYS40" s="899"/>
      <c r="LYT40" s="899"/>
      <c r="LYU40" s="899"/>
      <c r="LYV40" s="899"/>
      <c r="LYW40" s="899"/>
      <c r="LYX40" s="899"/>
      <c r="LYY40" s="899"/>
      <c r="LYZ40" s="899"/>
      <c r="LZA40" s="899"/>
      <c r="LZB40" s="899"/>
      <c r="LZC40" s="899"/>
      <c r="LZD40" s="899"/>
      <c r="LZE40" s="899"/>
      <c r="LZF40" s="899"/>
      <c r="LZG40" s="899"/>
      <c r="LZH40" s="899"/>
      <c r="LZI40" s="899"/>
      <c r="LZJ40" s="899"/>
      <c r="LZK40" s="899"/>
      <c r="LZL40" s="899"/>
      <c r="LZM40" s="899"/>
      <c r="LZN40" s="899"/>
      <c r="LZO40" s="899"/>
      <c r="LZP40" s="899"/>
      <c r="LZQ40" s="899"/>
      <c r="LZR40" s="899"/>
      <c r="LZS40" s="899"/>
      <c r="LZT40" s="899"/>
      <c r="LZU40" s="899"/>
      <c r="LZV40" s="899"/>
      <c r="LZW40" s="899"/>
      <c r="LZX40" s="899"/>
      <c r="LZY40" s="899"/>
      <c r="LZZ40" s="899"/>
      <c r="MAA40" s="899"/>
      <c r="MAB40" s="899"/>
      <c r="MAC40" s="899"/>
      <c r="MAD40" s="899"/>
      <c r="MAE40" s="899"/>
      <c r="MAF40" s="899"/>
      <c r="MAG40" s="899"/>
      <c r="MAH40" s="899"/>
      <c r="MAI40" s="899"/>
      <c r="MAJ40" s="899"/>
      <c r="MAK40" s="899"/>
      <c r="MAL40" s="899"/>
      <c r="MAM40" s="899"/>
      <c r="MAN40" s="899"/>
      <c r="MAO40" s="899"/>
      <c r="MAP40" s="899"/>
      <c r="MAQ40" s="899"/>
      <c r="MAR40" s="899"/>
      <c r="MAS40" s="899"/>
      <c r="MAT40" s="899"/>
      <c r="MAU40" s="899"/>
      <c r="MAV40" s="899"/>
      <c r="MAW40" s="899"/>
      <c r="MAX40" s="899"/>
      <c r="MAY40" s="899"/>
      <c r="MAZ40" s="899"/>
      <c r="MBA40" s="899"/>
      <c r="MBB40" s="899"/>
      <c r="MBC40" s="899"/>
      <c r="MBD40" s="899"/>
      <c r="MBE40" s="899"/>
      <c r="MBF40" s="899"/>
      <c r="MBG40" s="899"/>
      <c r="MBH40" s="899"/>
      <c r="MBI40" s="899"/>
      <c r="MBJ40" s="899"/>
      <c r="MBK40" s="899"/>
      <c r="MBL40" s="899"/>
      <c r="MBM40" s="899"/>
      <c r="MBN40" s="899"/>
      <c r="MBO40" s="899"/>
      <c r="MBP40" s="899"/>
      <c r="MBQ40" s="899"/>
      <c r="MBR40" s="899"/>
      <c r="MBS40" s="899"/>
      <c r="MBT40" s="899"/>
      <c r="MBU40" s="899"/>
      <c r="MBV40" s="899"/>
      <c r="MBW40" s="899"/>
      <c r="MBX40" s="899"/>
      <c r="MBY40" s="899"/>
      <c r="MBZ40" s="899"/>
      <c r="MCA40" s="899"/>
      <c r="MCB40" s="899"/>
      <c r="MCC40" s="899"/>
      <c r="MCD40" s="899"/>
      <c r="MCE40" s="899"/>
      <c r="MCF40" s="899"/>
      <c r="MCG40" s="899"/>
      <c r="MCH40" s="899"/>
      <c r="MCI40" s="899"/>
      <c r="MCJ40" s="899"/>
      <c r="MCK40" s="899"/>
      <c r="MCL40" s="899"/>
      <c r="MCM40" s="899"/>
      <c r="MCN40" s="899"/>
      <c r="MCO40" s="899"/>
      <c r="MCP40" s="899"/>
      <c r="MCQ40" s="899"/>
      <c r="MCR40" s="899"/>
      <c r="MCS40" s="899"/>
      <c r="MCT40" s="899"/>
      <c r="MCU40" s="899"/>
      <c r="MCV40" s="899"/>
      <c r="MCW40" s="899"/>
      <c r="MCX40" s="899"/>
      <c r="MCY40" s="899"/>
      <c r="MCZ40" s="899"/>
      <c r="MDA40" s="899"/>
      <c r="MDB40" s="899"/>
      <c r="MDC40" s="899"/>
      <c r="MDD40" s="899"/>
      <c r="MDE40" s="899"/>
      <c r="MDF40" s="899"/>
      <c r="MDG40" s="899"/>
      <c r="MDH40" s="899"/>
      <c r="MDI40" s="899"/>
      <c r="MDJ40" s="899"/>
      <c r="MDK40" s="899"/>
      <c r="MDL40" s="899"/>
      <c r="MDM40" s="899"/>
      <c r="MDN40" s="899"/>
      <c r="MDO40" s="899"/>
      <c r="MDP40" s="899"/>
      <c r="MDQ40" s="899"/>
      <c r="MDR40" s="899"/>
      <c r="MDS40" s="899"/>
      <c r="MDT40" s="899"/>
      <c r="MDU40" s="899"/>
      <c r="MDV40" s="899"/>
      <c r="MDW40" s="899"/>
      <c r="MDX40" s="899"/>
      <c r="MDY40" s="899"/>
      <c r="MDZ40" s="899"/>
      <c r="MEA40" s="899"/>
      <c r="MEB40" s="899"/>
      <c r="MEC40" s="899"/>
      <c r="MED40" s="899"/>
      <c r="MEE40" s="899"/>
      <c r="MEF40" s="899"/>
      <c r="MEG40" s="899"/>
      <c r="MEH40" s="899"/>
      <c r="MEI40" s="899"/>
      <c r="MEJ40" s="899"/>
      <c r="MEK40" s="899"/>
      <c r="MEL40" s="899"/>
      <c r="MEM40" s="899"/>
      <c r="MEN40" s="899"/>
      <c r="MEO40" s="899"/>
      <c r="MEP40" s="899"/>
      <c r="MEQ40" s="899"/>
      <c r="MER40" s="899"/>
      <c r="MES40" s="899"/>
      <c r="MET40" s="899"/>
      <c r="MEU40" s="899"/>
      <c r="MEV40" s="899"/>
      <c r="MEW40" s="899"/>
      <c r="MEX40" s="899"/>
      <c r="MEY40" s="899"/>
      <c r="MEZ40" s="899"/>
      <c r="MFA40" s="899"/>
      <c r="MFB40" s="899"/>
      <c r="MFC40" s="899"/>
      <c r="MFD40" s="899"/>
      <c r="MFE40" s="899"/>
      <c r="MFF40" s="899"/>
      <c r="MFG40" s="899"/>
      <c r="MFH40" s="899"/>
      <c r="MFI40" s="899"/>
      <c r="MFJ40" s="899"/>
      <c r="MFK40" s="899"/>
      <c r="MFL40" s="899"/>
      <c r="MFM40" s="899"/>
      <c r="MFN40" s="899"/>
      <c r="MFO40" s="899"/>
      <c r="MFP40" s="899"/>
      <c r="MFQ40" s="899"/>
      <c r="MFR40" s="899"/>
      <c r="MFS40" s="899"/>
      <c r="MFT40" s="899"/>
      <c r="MFU40" s="899"/>
      <c r="MFV40" s="899"/>
      <c r="MFW40" s="899"/>
      <c r="MFX40" s="899"/>
      <c r="MFY40" s="899"/>
      <c r="MFZ40" s="899"/>
      <c r="MGA40" s="899"/>
      <c r="MGB40" s="899"/>
      <c r="MGC40" s="899"/>
      <c r="MGD40" s="899"/>
      <c r="MGE40" s="899"/>
      <c r="MGF40" s="899"/>
      <c r="MGG40" s="899"/>
      <c r="MGH40" s="899"/>
      <c r="MGI40" s="899"/>
      <c r="MGJ40" s="899"/>
      <c r="MGK40" s="899"/>
      <c r="MGL40" s="899"/>
      <c r="MGM40" s="899"/>
      <c r="MGN40" s="899"/>
      <c r="MGO40" s="899"/>
      <c r="MGP40" s="899"/>
      <c r="MGQ40" s="899"/>
      <c r="MGR40" s="899"/>
      <c r="MGS40" s="899"/>
      <c r="MGT40" s="899"/>
      <c r="MGU40" s="899"/>
      <c r="MGV40" s="899"/>
      <c r="MGW40" s="899"/>
      <c r="MGX40" s="899"/>
      <c r="MGY40" s="899"/>
      <c r="MGZ40" s="899"/>
      <c r="MHA40" s="899"/>
      <c r="MHB40" s="899"/>
      <c r="MHC40" s="899"/>
      <c r="MHD40" s="899"/>
      <c r="MHE40" s="899"/>
      <c r="MHF40" s="899"/>
      <c r="MHG40" s="899"/>
      <c r="MHH40" s="899"/>
      <c r="MHI40" s="899"/>
      <c r="MHJ40" s="899"/>
      <c r="MHK40" s="899"/>
      <c r="MHL40" s="899"/>
      <c r="MHM40" s="899"/>
      <c r="MHN40" s="899"/>
      <c r="MHO40" s="899"/>
      <c r="MHP40" s="899"/>
      <c r="MHQ40" s="899"/>
      <c r="MHR40" s="899"/>
      <c r="MHS40" s="899"/>
      <c r="MHT40" s="899"/>
      <c r="MHU40" s="899"/>
      <c r="MHV40" s="899"/>
      <c r="MHW40" s="899"/>
      <c r="MHX40" s="899"/>
      <c r="MHY40" s="899"/>
      <c r="MHZ40" s="899"/>
      <c r="MIA40" s="899"/>
      <c r="MIB40" s="899"/>
      <c r="MIC40" s="899"/>
      <c r="MID40" s="899"/>
      <c r="MIE40" s="899"/>
      <c r="MIF40" s="899"/>
      <c r="MIG40" s="899"/>
      <c r="MIH40" s="899"/>
      <c r="MII40" s="899"/>
      <c r="MIJ40" s="899"/>
      <c r="MIK40" s="899"/>
      <c r="MIL40" s="899"/>
      <c r="MIM40" s="899"/>
      <c r="MIN40" s="899"/>
      <c r="MIO40" s="899"/>
      <c r="MIP40" s="899"/>
      <c r="MIQ40" s="899"/>
      <c r="MIR40" s="899"/>
      <c r="MIS40" s="899"/>
      <c r="MIT40" s="899"/>
      <c r="MIU40" s="899"/>
      <c r="MIV40" s="899"/>
      <c r="MIW40" s="899"/>
      <c r="MIX40" s="899"/>
      <c r="MIY40" s="899"/>
      <c r="MIZ40" s="899"/>
      <c r="MJA40" s="899"/>
      <c r="MJB40" s="899"/>
      <c r="MJC40" s="899"/>
      <c r="MJD40" s="899"/>
      <c r="MJE40" s="899"/>
      <c r="MJF40" s="899"/>
      <c r="MJG40" s="899"/>
      <c r="MJH40" s="899"/>
      <c r="MJI40" s="899"/>
      <c r="MJJ40" s="899"/>
      <c r="MJK40" s="899"/>
      <c r="MJL40" s="899"/>
      <c r="MJM40" s="899"/>
      <c r="MJN40" s="899"/>
      <c r="MJO40" s="899"/>
      <c r="MJP40" s="899"/>
      <c r="MJQ40" s="899"/>
      <c r="MJR40" s="899"/>
      <c r="MJS40" s="899"/>
      <c r="MJT40" s="899"/>
      <c r="MJU40" s="899"/>
      <c r="MJV40" s="899"/>
      <c r="MJW40" s="899"/>
      <c r="MJX40" s="899"/>
      <c r="MJY40" s="899"/>
      <c r="MJZ40" s="899"/>
      <c r="MKA40" s="899"/>
      <c r="MKB40" s="899"/>
      <c r="MKC40" s="899"/>
      <c r="MKD40" s="899"/>
      <c r="MKE40" s="899"/>
      <c r="MKF40" s="899"/>
      <c r="MKG40" s="899"/>
      <c r="MKH40" s="899"/>
      <c r="MKI40" s="899"/>
      <c r="MKJ40" s="899"/>
      <c r="MKK40" s="899"/>
      <c r="MKL40" s="899"/>
      <c r="MKM40" s="899"/>
      <c r="MKN40" s="899"/>
      <c r="MKO40" s="899"/>
      <c r="MKP40" s="899"/>
      <c r="MKQ40" s="899"/>
      <c r="MKR40" s="899"/>
      <c r="MKS40" s="899"/>
      <c r="MKT40" s="899"/>
      <c r="MKU40" s="899"/>
      <c r="MKV40" s="899"/>
      <c r="MKW40" s="899"/>
      <c r="MKX40" s="899"/>
      <c r="MKY40" s="899"/>
      <c r="MKZ40" s="899"/>
      <c r="MLA40" s="899"/>
      <c r="MLB40" s="899"/>
      <c r="MLC40" s="899"/>
      <c r="MLD40" s="899"/>
      <c r="MLE40" s="899"/>
      <c r="MLF40" s="899"/>
      <c r="MLG40" s="899"/>
      <c r="MLH40" s="899"/>
      <c r="MLI40" s="899"/>
      <c r="MLJ40" s="899"/>
      <c r="MLK40" s="899"/>
      <c r="MLL40" s="899"/>
      <c r="MLM40" s="899"/>
      <c r="MLN40" s="899"/>
      <c r="MLO40" s="899"/>
      <c r="MLP40" s="899"/>
      <c r="MLQ40" s="899"/>
      <c r="MLR40" s="899"/>
      <c r="MLS40" s="899"/>
      <c r="MLT40" s="899"/>
      <c r="MLU40" s="899"/>
      <c r="MLV40" s="899"/>
      <c r="MLW40" s="899"/>
      <c r="MLX40" s="899"/>
      <c r="MLY40" s="899"/>
      <c r="MLZ40" s="899"/>
      <c r="MMA40" s="899"/>
      <c r="MMB40" s="899"/>
      <c r="MMC40" s="899"/>
      <c r="MMD40" s="899"/>
      <c r="MME40" s="899"/>
      <c r="MMF40" s="899"/>
      <c r="MMG40" s="899"/>
      <c r="MMH40" s="899"/>
      <c r="MMI40" s="899"/>
      <c r="MMJ40" s="899"/>
      <c r="MMK40" s="899"/>
      <c r="MML40" s="899"/>
      <c r="MMM40" s="899"/>
      <c r="MMN40" s="899"/>
      <c r="MMO40" s="899"/>
      <c r="MMP40" s="899"/>
      <c r="MMQ40" s="899"/>
      <c r="MMR40" s="899"/>
      <c r="MMS40" s="899"/>
      <c r="MMT40" s="899"/>
      <c r="MMU40" s="899"/>
      <c r="MMV40" s="899"/>
      <c r="MMW40" s="899"/>
      <c r="MMX40" s="899"/>
      <c r="MMY40" s="899"/>
      <c r="MMZ40" s="899"/>
      <c r="MNA40" s="899"/>
      <c r="MNB40" s="899"/>
      <c r="MNC40" s="899"/>
      <c r="MND40" s="899"/>
      <c r="MNE40" s="899"/>
      <c r="MNF40" s="899"/>
      <c r="MNG40" s="899"/>
      <c r="MNH40" s="899"/>
      <c r="MNI40" s="899"/>
      <c r="MNJ40" s="899"/>
      <c r="MNK40" s="899"/>
      <c r="MNL40" s="899"/>
      <c r="MNM40" s="899"/>
      <c r="MNN40" s="899"/>
      <c r="MNO40" s="899"/>
      <c r="MNP40" s="899"/>
      <c r="MNQ40" s="899"/>
      <c r="MNR40" s="899"/>
      <c r="MNS40" s="899"/>
      <c r="MNT40" s="899"/>
      <c r="MNU40" s="899"/>
      <c r="MNV40" s="899"/>
      <c r="MNW40" s="899"/>
      <c r="MNX40" s="899"/>
      <c r="MNY40" s="899"/>
      <c r="MNZ40" s="899"/>
      <c r="MOA40" s="899"/>
      <c r="MOB40" s="899"/>
      <c r="MOC40" s="899"/>
      <c r="MOD40" s="899"/>
      <c r="MOE40" s="899"/>
      <c r="MOF40" s="899"/>
      <c r="MOG40" s="899"/>
      <c r="MOH40" s="899"/>
      <c r="MOI40" s="899"/>
      <c r="MOJ40" s="899"/>
      <c r="MOK40" s="899"/>
      <c r="MOL40" s="899"/>
      <c r="MOM40" s="899"/>
      <c r="MON40" s="899"/>
      <c r="MOO40" s="899"/>
      <c r="MOP40" s="899"/>
      <c r="MOQ40" s="899"/>
      <c r="MOR40" s="899"/>
      <c r="MOS40" s="899"/>
      <c r="MOT40" s="899"/>
      <c r="MOU40" s="899"/>
      <c r="MOV40" s="899"/>
      <c r="MOW40" s="899"/>
      <c r="MOX40" s="899"/>
      <c r="MOY40" s="899"/>
      <c r="MOZ40" s="899"/>
      <c r="MPA40" s="899"/>
      <c r="MPB40" s="899"/>
      <c r="MPC40" s="899"/>
      <c r="MPD40" s="899"/>
      <c r="MPE40" s="899"/>
      <c r="MPF40" s="899"/>
      <c r="MPG40" s="899"/>
      <c r="MPH40" s="899"/>
      <c r="MPI40" s="899"/>
      <c r="MPJ40" s="899"/>
      <c r="MPK40" s="899"/>
      <c r="MPL40" s="899"/>
      <c r="MPM40" s="899"/>
      <c r="MPN40" s="899"/>
      <c r="MPO40" s="899"/>
      <c r="MPP40" s="899"/>
      <c r="MPQ40" s="899"/>
      <c r="MPR40" s="899"/>
      <c r="MPS40" s="899"/>
      <c r="MPT40" s="899"/>
      <c r="MPU40" s="899"/>
      <c r="MPV40" s="899"/>
      <c r="MPW40" s="899"/>
      <c r="MPX40" s="899"/>
      <c r="MPY40" s="899"/>
      <c r="MPZ40" s="899"/>
      <c r="MQA40" s="899"/>
      <c r="MQB40" s="899"/>
      <c r="MQC40" s="899"/>
      <c r="MQD40" s="899"/>
      <c r="MQE40" s="899"/>
      <c r="MQF40" s="899"/>
      <c r="MQG40" s="899"/>
      <c r="MQH40" s="899"/>
      <c r="MQI40" s="899"/>
      <c r="MQJ40" s="899"/>
      <c r="MQK40" s="899"/>
      <c r="MQL40" s="899"/>
      <c r="MQM40" s="899"/>
      <c r="MQN40" s="899"/>
      <c r="MQO40" s="899"/>
      <c r="MQP40" s="899"/>
      <c r="MQQ40" s="899"/>
      <c r="MQR40" s="899"/>
      <c r="MQS40" s="899"/>
      <c r="MQT40" s="899"/>
      <c r="MQU40" s="899"/>
      <c r="MQV40" s="899"/>
      <c r="MQW40" s="899"/>
      <c r="MQX40" s="899"/>
      <c r="MQY40" s="899"/>
      <c r="MQZ40" s="899"/>
      <c r="MRA40" s="899"/>
      <c r="MRB40" s="899"/>
      <c r="MRC40" s="899"/>
      <c r="MRD40" s="899"/>
      <c r="MRE40" s="899"/>
      <c r="MRF40" s="899"/>
      <c r="MRG40" s="899"/>
      <c r="MRH40" s="899"/>
      <c r="MRI40" s="899"/>
      <c r="MRJ40" s="899"/>
      <c r="MRK40" s="899"/>
      <c r="MRL40" s="899"/>
      <c r="MRM40" s="899"/>
      <c r="MRN40" s="899"/>
      <c r="MRO40" s="899"/>
      <c r="MRP40" s="899"/>
      <c r="MRQ40" s="899"/>
      <c r="MRR40" s="899"/>
      <c r="MRS40" s="899"/>
      <c r="MRT40" s="899"/>
      <c r="MRU40" s="899"/>
      <c r="MRV40" s="899"/>
      <c r="MRW40" s="899"/>
      <c r="MRX40" s="899"/>
      <c r="MRY40" s="899"/>
      <c r="MRZ40" s="899"/>
      <c r="MSA40" s="899"/>
      <c r="MSB40" s="899"/>
      <c r="MSC40" s="899"/>
      <c r="MSD40" s="899"/>
      <c r="MSE40" s="899"/>
      <c r="MSF40" s="899"/>
      <c r="MSG40" s="899"/>
      <c r="MSH40" s="899"/>
      <c r="MSI40" s="899"/>
      <c r="MSJ40" s="899"/>
      <c r="MSK40" s="899"/>
      <c r="MSL40" s="899"/>
      <c r="MSM40" s="899"/>
      <c r="MSN40" s="899"/>
      <c r="MSO40" s="899"/>
      <c r="MSP40" s="899"/>
      <c r="MSQ40" s="899"/>
      <c r="MSR40" s="899"/>
      <c r="MSS40" s="899"/>
      <c r="MST40" s="899"/>
      <c r="MSU40" s="899"/>
      <c r="MSV40" s="899"/>
      <c r="MSW40" s="899"/>
      <c r="MSX40" s="899"/>
      <c r="MSY40" s="899"/>
      <c r="MSZ40" s="899"/>
      <c r="MTA40" s="899"/>
      <c r="MTB40" s="899"/>
      <c r="MTC40" s="899"/>
      <c r="MTD40" s="899"/>
      <c r="MTE40" s="899"/>
      <c r="MTF40" s="899"/>
      <c r="MTG40" s="899"/>
      <c r="MTH40" s="899"/>
      <c r="MTI40" s="899"/>
      <c r="MTJ40" s="899"/>
      <c r="MTK40" s="899"/>
      <c r="MTL40" s="899"/>
      <c r="MTM40" s="899"/>
      <c r="MTN40" s="899"/>
      <c r="MTO40" s="899"/>
      <c r="MTP40" s="899"/>
      <c r="MTQ40" s="899"/>
      <c r="MTR40" s="899"/>
      <c r="MTS40" s="899"/>
      <c r="MTT40" s="899"/>
      <c r="MTU40" s="899"/>
      <c r="MTV40" s="899"/>
      <c r="MTW40" s="899"/>
      <c r="MTX40" s="899"/>
      <c r="MTY40" s="899"/>
      <c r="MTZ40" s="899"/>
      <c r="MUA40" s="899"/>
      <c r="MUB40" s="899"/>
      <c r="MUC40" s="899"/>
      <c r="MUD40" s="899"/>
      <c r="MUE40" s="899"/>
      <c r="MUF40" s="899"/>
      <c r="MUG40" s="899"/>
      <c r="MUH40" s="899"/>
      <c r="MUI40" s="899"/>
      <c r="MUJ40" s="899"/>
      <c r="MUK40" s="899"/>
      <c r="MUL40" s="899"/>
      <c r="MUM40" s="899"/>
      <c r="MUN40" s="899"/>
      <c r="MUO40" s="899"/>
      <c r="MUP40" s="899"/>
      <c r="MUQ40" s="899"/>
      <c r="MUR40" s="899"/>
      <c r="MUS40" s="899"/>
      <c r="MUT40" s="899"/>
      <c r="MUU40" s="899"/>
      <c r="MUV40" s="899"/>
      <c r="MUW40" s="899"/>
      <c r="MUX40" s="899"/>
      <c r="MUY40" s="899"/>
      <c r="MUZ40" s="899"/>
      <c r="MVA40" s="899"/>
      <c r="MVB40" s="899"/>
      <c r="MVC40" s="899"/>
      <c r="MVD40" s="899"/>
      <c r="MVE40" s="899"/>
      <c r="MVF40" s="899"/>
      <c r="MVG40" s="899"/>
      <c r="MVH40" s="899"/>
      <c r="MVI40" s="899"/>
      <c r="MVJ40" s="899"/>
      <c r="MVK40" s="899"/>
      <c r="MVL40" s="899"/>
      <c r="MVM40" s="899"/>
      <c r="MVN40" s="899"/>
      <c r="MVO40" s="899"/>
      <c r="MVP40" s="899"/>
      <c r="MVQ40" s="899"/>
      <c r="MVR40" s="899"/>
      <c r="MVS40" s="899"/>
      <c r="MVT40" s="899"/>
      <c r="MVU40" s="899"/>
      <c r="MVV40" s="899"/>
      <c r="MVW40" s="899"/>
      <c r="MVX40" s="899"/>
      <c r="MVY40" s="899"/>
      <c r="MVZ40" s="899"/>
      <c r="MWA40" s="899"/>
      <c r="MWB40" s="899"/>
      <c r="MWC40" s="899"/>
      <c r="MWD40" s="899"/>
      <c r="MWE40" s="899"/>
      <c r="MWF40" s="899"/>
      <c r="MWG40" s="899"/>
      <c r="MWH40" s="899"/>
      <c r="MWI40" s="899"/>
      <c r="MWJ40" s="899"/>
      <c r="MWK40" s="899"/>
      <c r="MWL40" s="899"/>
      <c r="MWM40" s="899"/>
      <c r="MWN40" s="899"/>
      <c r="MWO40" s="899"/>
      <c r="MWP40" s="899"/>
      <c r="MWQ40" s="899"/>
      <c r="MWR40" s="899"/>
      <c r="MWS40" s="899"/>
      <c r="MWT40" s="899"/>
      <c r="MWU40" s="899"/>
      <c r="MWV40" s="899"/>
      <c r="MWW40" s="899"/>
      <c r="MWX40" s="899"/>
      <c r="MWY40" s="899"/>
      <c r="MWZ40" s="899"/>
      <c r="MXA40" s="899"/>
      <c r="MXB40" s="899"/>
      <c r="MXC40" s="899"/>
      <c r="MXD40" s="899"/>
      <c r="MXE40" s="899"/>
      <c r="MXF40" s="899"/>
      <c r="MXG40" s="899"/>
      <c r="MXH40" s="899"/>
      <c r="MXI40" s="899"/>
      <c r="MXJ40" s="899"/>
      <c r="MXK40" s="899"/>
      <c r="MXL40" s="899"/>
      <c r="MXM40" s="899"/>
      <c r="MXN40" s="899"/>
      <c r="MXO40" s="899"/>
      <c r="MXP40" s="899"/>
      <c r="MXQ40" s="899"/>
      <c r="MXR40" s="899"/>
      <c r="MXS40" s="899"/>
      <c r="MXT40" s="899"/>
      <c r="MXU40" s="899"/>
      <c r="MXV40" s="899"/>
      <c r="MXW40" s="899"/>
      <c r="MXX40" s="899"/>
      <c r="MXY40" s="899"/>
      <c r="MXZ40" s="899"/>
      <c r="MYA40" s="899"/>
      <c r="MYB40" s="899"/>
      <c r="MYC40" s="899"/>
      <c r="MYD40" s="899"/>
      <c r="MYE40" s="899"/>
      <c r="MYF40" s="899"/>
      <c r="MYG40" s="899"/>
      <c r="MYH40" s="899"/>
      <c r="MYI40" s="899"/>
      <c r="MYJ40" s="899"/>
      <c r="MYK40" s="899"/>
      <c r="MYL40" s="899"/>
      <c r="MYM40" s="899"/>
      <c r="MYN40" s="899"/>
      <c r="MYO40" s="899"/>
      <c r="MYP40" s="899"/>
      <c r="MYQ40" s="899"/>
      <c r="MYR40" s="899"/>
      <c r="MYS40" s="899"/>
      <c r="MYT40" s="899"/>
      <c r="MYU40" s="899"/>
      <c r="MYV40" s="899"/>
      <c r="MYW40" s="899"/>
      <c r="MYX40" s="899"/>
      <c r="MYY40" s="899"/>
      <c r="MYZ40" s="899"/>
      <c r="MZA40" s="899"/>
      <c r="MZB40" s="899"/>
      <c r="MZC40" s="899"/>
      <c r="MZD40" s="899"/>
      <c r="MZE40" s="899"/>
      <c r="MZF40" s="899"/>
      <c r="MZG40" s="899"/>
      <c r="MZH40" s="899"/>
      <c r="MZI40" s="899"/>
      <c r="MZJ40" s="899"/>
      <c r="MZK40" s="899"/>
      <c r="MZL40" s="899"/>
      <c r="MZM40" s="899"/>
      <c r="MZN40" s="899"/>
      <c r="MZO40" s="899"/>
      <c r="MZP40" s="899"/>
      <c r="MZQ40" s="899"/>
      <c r="MZR40" s="899"/>
      <c r="MZS40" s="899"/>
      <c r="MZT40" s="899"/>
      <c r="MZU40" s="899"/>
      <c r="MZV40" s="899"/>
      <c r="MZW40" s="899"/>
      <c r="MZX40" s="899"/>
      <c r="MZY40" s="899"/>
      <c r="MZZ40" s="899"/>
      <c r="NAA40" s="899"/>
      <c r="NAB40" s="899"/>
      <c r="NAC40" s="899"/>
      <c r="NAD40" s="899"/>
      <c r="NAE40" s="899"/>
      <c r="NAF40" s="899"/>
      <c r="NAG40" s="899"/>
      <c r="NAH40" s="899"/>
      <c r="NAI40" s="899"/>
      <c r="NAJ40" s="899"/>
      <c r="NAK40" s="899"/>
      <c r="NAL40" s="899"/>
      <c r="NAM40" s="899"/>
      <c r="NAN40" s="899"/>
      <c r="NAO40" s="899"/>
      <c r="NAP40" s="899"/>
      <c r="NAQ40" s="899"/>
      <c r="NAR40" s="899"/>
      <c r="NAS40" s="899"/>
      <c r="NAT40" s="899"/>
      <c r="NAU40" s="899"/>
      <c r="NAV40" s="899"/>
      <c r="NAW40" s="899"/>
      <c r="NAX40" s="899"/>
      <c r="NAY40" s="899"/>
      <c r="NAZ40" s="899"/>
      <c r="NBA40" s="899"/>
      <c r="NBB40" s="899"/>
      <c r="NBC40" s="899"/>
      <c r="NBD40" s="899"/>
      <c r="NBE40" s="899"/>
      <c r="NBF40" s="899"/>
      <c r="NBG40" s="899"/>
      <c r="NBH40" s="899"/>
      <c r="NBI40" s="899"/>
      <c r="NBJ40" s="899"/>
      <c r="NBK40" s="899"/>
      <c r="NBL40" s="899"/>
      <c r="NBM40" s="899"/>
      <c r="NBN40" s="899"/>
      <c r="NBO40" s="899"/>
      <c r="NBP40" s="899"/>
      <c r="NBQ40" s="899"/>
      <c r="NBR40" s="899"/>
      <c r="NBS40" s="899"/>
      <c r="NBT40" s="899"/>
      <c r="NBU40" s="899"/>
      <c r="NBV40" s="899"/>
      <c r="NBW40" s="899"/>
      <c r="NBX40" s="899"/>
      <c r="NBY40" s="899"/>
      <c r="NBZ40" s="899"/>
      <c r="NCA40" s="899"/>
      <c r="NCB40" s="899"/>
      <c r="NCC40" s="899"/>
      <c r="NCD40" s="899"/>
      <c r="NCE40" s="899"/>
      <c r="NCF40" s="899"/>
      <c r="NCG40" s="899"/>
      <c r="NCH40" s="899"/>
      <c r="NCI40" s="899"/>
      <c r="NCJ40" s="899"/>
      <c r="NCK40" s="899"/>
      <c r="NCL40" s="899"/>
      <c r="NCM40" s="899"/>
      <c r="NCN40" s="899"/>
      <c r="NCO40" s="899"/>
      <c r="NCP40" s="899"/>
      <c r="NCQ40" s="899"/>
      <c r="NCR40" s="899"/>
      <c r="NCS40" s="899"/>
      <c r="NCT40" s="899"/>
      <c r="NCU40" s="899"/>
      <c r="NCV40" s="899"/>
      <c r="NCW40" s="899"/>
      <c r="NCX40" s="899"/>
      <c r="NCY40" s="899"/>
      <c r="NCZ40" s="899"/>
      <c r="NDA40" s="899"/>
      <c r="NDB40" s="899"/>
      <c r="NDC40" s="899"/>
      <c r="NDD40" s="899"/>
      <c r="NDE40" s="899"/>
      <c r="NDF40" s="899"/>
      <c r="NDG40" s="899"/>
      <c r="NDH40" s="899"/>
      <c r="NDI40" s="899"/>
      <c r="NDJ40" s="899"/>
      <c r="NDK40" s="899"/>
      <c r="NDL40" s="899"/>
      <c r="NDM40" s="899"/>
      <c r="NDN40" s="899"/>
      <c r="NDO40" s="899"/>
      <c r="NDP40" s="899"/>
      <c r="NDQ40" s="899"/>
      <c r="NDR40" s="899"/>
      <c r="NDS40" s="899"/>
      <c r="NDT40" s="899"/>
      <c r="NDU40" s="899"/>
      <c r="NDV40" s="899"/>
      <c r="NDW40" s="899"/>
      <c r="NDX40" s="899"/>
      <c r="NDY40" s="899"/>
      <c r="NDZ40" s="899"/>
      <c r="NEA40" s="899"/>
      <c r="NEB40" s="899"/>
      <c r="NEC40" s="899"/>
      <c r="NED40" s="899"/>
      <c r="NEE40" s="899"/>
      <c r="NEF40" s="899"/>
      <c r="NEG40" s="899"/>
      <c r="NEH40" s="899"/>
      <c r="NEI40" s="899"/>
      <c r="NEJ40" s="899"/>
      <c r="NEK40" s="899"/>
      <c r="NEL40" s="899"/>
      <c r="NEM40" s="899"/>
      <c r="NEN40" s="899"/>
      <c r="NEO40" s="899"/>
      <c r="NEP40" s="899"/>
      <c r="NEQ40" s="899"/>
      <c r="NER40" s="899"/>
      <c r="NES40" s="899"/>
      <c r="NET40" s="899"/>
      <c r="NEU40" s="899"/>
      <c r="NEV40" s="899"/>
      <c r="NEW40" s="899"/>
      <c r="NEX40" s="899"/>
      <c r="NEY40" s="899"/>
      <c r="NEZ40" s="899"/>
      <c r="NFA40" s="899"/>
      <c r="NFB40" s="899"/>
      <c r="NFC40" s="899"/>
      <c r="NFD40" s="899"/>
      <c r="NFE40" s="899"/>
      <c r="NFF40" s="899"/>
      <c r="NFG40" s="899"/>
      <c r="NFH40" s="899"/>
      <c r="NFI40" s="899"/>
      <c r="NFJ40" s="899"/>
      <c r="NFK40" s="899"/>
      <c r="NFL40" s="899"/>
      <c r="NFM40" s="899"/>
      <c r="NFN40" s="899"/>
      <c r="NFO40" s="899"/>
      <c r="NFP40" s="899"/>
      <c r="NFQ40" s="899"/>
      <c r="NFR40" s="899"/>
      <c r="NFS40" s="899"/>
      <c r="NFT40" s="899"/>
      <c r="NFU40" s="899"/>
      <c r="NFV40" s="899"/>
      <c r="NFW40" s="899"/>
      <c r="NFX40" s="899"/>
      <c r="NFY40" s="899"/>
      <c r="NFZ40" s="899"/>
      <c r="NGA40" s="899"/>
      <c r="NGB40" s="899"/>
      <c r="NGC40" s="899"/>
      <c r="NGD40" s="899"/>
      <c r="NGE40" s="899"/>
      <c r="NGF40" s="899"/>
      <c r="NGG40" s="899"/>
      <c r="NGH40" s="899"/>
      <c r="NGI40" s="899"/>
      <c r="NGJ40" s="899"/>
      <c r="NGK40" s="899"/>
      <c r="NGL40" s="899"/>
      <c r="NGM40" s="899"/>
      <c r="NGN40" s="899"/>
      <c r="NGO40" s="899"/>
      <c r="NGP40" s="899"/>
      <c r="NGQ40" s="899"/>
      <c r="NGR40" s="899"/>
      <c r="NGS40" s="899"/>
      <c r="NGT40" s="899"/>
      <c r="NGU40" s="899"/>
      <c r="NGV40" s="899"/>
      <c r="NGW40" s="899"/>
      <c r="NGX40" s="899"/>
      <c r="NGY40" s="899"/>
      <c r="NGZ40" s="899"/>
      <c r="NHA40" s="899"/>
      <c r="NHB40" s="899"/>
      <c r="NHC40" s="899"/>
      <c r="NHD40" s="899"/>
      <c r="NHE40" s="899"/>
      <c r="NHF40" s="899"/>
      <c r="NHG40" s="899"/>
      <c r="NHH40" s="899"/>
      <c r="NHI40" s="899"/>
      <c r="NHJ40" s="899"/>
      <c r="NHK40" s="899"/>
      <c r="NHL40" s="899"/>
      <c r="NHM40" s="899"/>
      <c r="NHN40" s="899"/>
      <c r="NHO40" s="899"/>
      <c r="NHP40" s="899"/>
      <c r="NHQ40" s="899"/>
      <c r="NHR40" s="899"/>
      <c r="NHS40" s="899"/>
      <c r="NHT40" s="899"/>
      <c r="NHU40" s="899"/>
      <c r="NHV40" s="899"/>
      <c r="NHW40" s="899"/>
      <c r="NHX40" s="899"/>
      <c r="NHY40" s="899"/>
      <c r="NHZ40" s="899"/>
      <c r="NIA40" s="899"/>
      <c r="NIB40" s="899"/>
      <c r="NIC40" s="899"/>
      <c r="NID40" s="899"/>
      <c r="NIE40" s="899"/>
      <c r="NIF40" s="899"/>
      <c r="NIG40" s="899"/>
      <c r="NIH40" s="899"/>
      <c r="NII40" s="899"/>
      <c r="NIJ40" s="899"/>
      <c r="NIK40" s="899"/>
      <c r="NIL40" s="899"/>
      <c r="NIM40" s="899"/>
      <c r="NIN40" s="899"/>
      <c r="NIO40" s="899"/>
      <c r="NIP40" s="899"/>
      <c r="NIQ40" s="899"/>
      <c r="NIR40" s="899"/>
      <c r="NIS40" s="899"/>
      <c r="NIT40" s="899"/>
      <c r="NIU40" s="899"/>
      <c r="NIV40" s="899"/>
      <c r="NIW40" s="899"/>
      <c r="NIX40" s="899"/>
      <c r="NIY40" s="899"/>
      <c r="NIZ40" s="899"/>
      <c r="NJA40" s="899"/>
      <c r="NJB40" s="899"/>
      <c r="NJC40" s="899"/>
      <c r="NJD40" s="899"/>
      <c r="NJE40" s="899"/>
      <c r="NJF40" s="899"/>
      <c r="NJG40" s="899"/>
      <c r="NJH40" s="899"/>
      <c r="NJI40" s="899"/>
      <c r="NJJ40" s="899"/>
      <c r="NJK40" s="899"/>
      <c r="NJL40" s="899"/>
      <c r="NJM40" s="899"/>
      <c r="NJN40" s="899"/>
      <c r="NJO40" s="899"/>
      <c r="NJP40" s="899"/>
      <c r="NJQ40" s="899"/>
      <c r="NJR40" s="899"/>
      <c r="NJS40" s="899"/>
      <c r="NJT40" s="899"/>
      <c r="NJU40" s="899"/>
      <c r="NJV40" s="899"/>
      <c r="NJW40" s="899"/>
      <c r="NJX40" s="899"/>
      <c r="NJY40" s="899"/>
      <c r="NJZ40" s="899"/>
      <c r="NKA40" s="899"/>
      <c r="NKB40" s="899"/>
      <c r="NKC40" s="899"/>
      <c r="NKD40" s="899"/>
      <c r="NKE40" s="899"/>
      <c r="NKF40" s="899"/>
      <c r="NKG40" s="899"/>
      <c r="NKH40" s="899"/>
      <c r="NKI40" s="899"/>
      <c r="NKJ40" s="899"/>
      <c r="NKK40" s="899"/>
      <c r="NKL40" s="899"/>
      <c r="NKM40" s="899"/>
      <c r="NKN40" s="899"/>
      <c r="NKO40" s="899"/>
      <c r="NKP40" s="899"/>
      <c r="NKQ40" s="899"/>
      <c r="NKR40" s="899"/>
      <c r="NKS40" s="899"/>
      <c r="NKT40" s="899"/>
      <c r="NKU40" s="899"/>
      <c r="NKV40" s="899"/>
      <c r="NKW40" s="899"/>
      <c r="NKX40" s="899"/>
      <c r="NKY40" s="899"/>
      <c r="NKZ40" s="899"/>
      <c r="NLA40" s="899"/>
      <c r="NLB40" s="899"/>
      <c r="NLC40" s="899"/>
      <c r="NLD40" s="899"/>
      <c r="NLE40" s="899"/>
      <c r="NLF40" s="899"/>
      <c r="NLG40" s="899"/>
      <c r="NLH40" s="899"/>
      <c r="NLI40" s="899"/>
      <c r="NLJ40" s="899"/>
      <c r="NLK40" s="899"/>
      <c r="NLL40" s="899"/>
      <c r="NLM40" s="899"/>
      <c r="NLN40" s="899"/>
      <c r="NLO40" s="899"/>
      <c r="NLP40" s="899"/>
      <c r="NLQ40" s="899"/>
      <c r="NLR40" s="899"/>
      <c r="NLS40" s="899"/>
      <c r="NLT40" s="899"/>
      <c r="NLU40" s="899"/>
      <c r="NLV40" s="899"/>
      <c r="NLW40" s="899"/>
      <c r="NLX40" s="899"/>
      <c r="NLY40" s="899"/>
      <c r="NLZ40" s="899"/>
      <c r="NMA40" s="899"/>
      <c r="NMB40" s="899"/>
      <c r="NMC40" s="899"/>
      <c r="NMD40" s="899"/>
      <c r="NME40" s="899"/>
      <c r="NMF40" s="899"/>
      <c r="NMG40" s="899"/>
      <c r="NMH40" s="899"/>
      <c r="NMI40" s="899"/>
      <c r="NMJ40" s="899"/>
      <c r="NMK40" s="899"/>
      <c r="NML40" s="899"/>
      <c r="NMM40" s="899"/>
      <c r="NMN40" s="899"/>
      <c r="NMO40" s="899"/>
      <c r="NMP40" s="899"/>
      <c r="NMQ40" s="899"/>
      <c r="NMR40" s="899"/>
      <c r="NMS40" s="899"/>
      <c r="NMT40" s="899"/>
      <c r="NMU40" s="899"/>
      <c r="NMV40" s="899"/>
      <c r="NMW40" s="899"/>
      <c r="NMX40" s="899"/>
      <c r="NMY40" s="899"/>
      <c r="NMZ40" s="899"/>
      <c r="NNA40" s="899"/>
      <c r="NNB40" s="899"/>
      <c r="NNC40" s="899"/>
      <c r="NND40" s="899"/>
      <c r="NNE40" s="899"/>
      <c r="NNF40" s="899"/>
      <c r="NNG40" s="899"/>
      <c r="NNH40" s="899"/>
      <c r="NNI40" s="899"/>
      <c r="NNJ40" s="899"/>
      <c r="NNK40" s="899"/>
      <c r="NNL40" s="899"/>
      <c r="NNM40" s="899"/>
      <c r="NNN40" s="899"/>
      <c r="NNO40" s="899"/>
      <c r="NNP40" s="899"/>
      <c r="NNQ40" s="899"/>
      <c r="NNR40" s="899"/>
      <c r="NNS40" s="899"/>
      <c r="NNT40" s="899"/>
      <c r="NNU40" s="899"/>
      <c r="NNV40" s="899"/>
      <c r="NNW40" s="899"/>
      <c r="NNX40" s="899"/>
      <c r="NNY40" s="899"/>
      <c r="NNZ40" s="899"/>
      <c r="NOA40" s="899"/>
      <c r="NOB40" s="899"/>
      <c r="NOC40" s="899"/>
      <c r="NOD40" s="899"/>
      <c r="NOE40" s="899"/>
      <c r="NOF40" s="899"/>
      <c r="NOG40" s="899"/>
      <c r="NOH40" s="899"/>
      <c r="NOI40" s="899"/>
      <c r="NOJ40" s="899"/>
      <c r="NOK40" s="899"/>
      <c r="NOL40" s="899"/>
      <c r="NOM40" s="899"/>
      <c r="NON40" s="899"/>
      <c r="NOO40" s="899"/>
      <c r="NOP40" s="899"/>
      <c r="NOQ40" s="899"/>
      <c r="NOR40" s="899"/>
      <c r="NOS40" s="899"/>
      <c r="NOT40" s="899"/>
      <c r="NOU40" s="899"/>
      <c r="NOV40" s="899"/>
      <c r="NOW40" s="899"/>
      <c r="NOX40" s="899"/>
      <c r="NOY40" s="899"/>
      <c r="NOZ40" s="899"/>
      <c r="NPA40" s="899"/>
      <c r="NPB40" s="899"/>
      <c r="NPC40" s="899"/>
      <c r="NPD40" s="899"/>
      <c r="NPE40" s="899"/>
      <c r="NPF40" s="899"/>
      <c r="NPG40" s="899"/>
      <c r="NPH40" s="899"/>
      <c r="NPI40" s="899"/>
      <c r="NPJ40" s="899"/>
      <c r="NPK40" s="899"/>
      <c r="NPL40" s="899"/>
      <c r="NPM40" s="899"/>
      <c r="NPN40" s="899"/>
      <c r="NPO40" s="899"/>
      <c r="NPP40" s="899"/>
      <c r="NPQ40" s="899"/>
      <c r="NPR40" s="899"/>
      <c r="NPS40" s="899"/>
      <c r="NPT40" s="899"/>
      <c r="NPU40" s="899"/>
      <c r="NPV40" s="899"/>
      <c r="NPW40" s="899"/>
      <c r="NPX40" s="899"/>
      <c r="NPY40" s="899"/>
      <c r="NPZ40" s="899"/>
      <c r="NQA40" s="899"/>
      <c r="NQB40" s="899"/>
      <c r="NQC40" s="899"/>
      <c r="NQD40" s="899"/>
      <c r="NQE40" s="899"/>
      <c r="NQF40" s="899"/>
      <c r="NQG40" s="899"/>
      <c r="NQH40" s="899"/>
      <c r="NQI40" s="899"/>
      <c r="NQJ40" s="899"/>
      <c r="NQK40" s="899"/>
      <c r="NQL40" s="899"/>
      <c r="NQM40" s="899"/>
      <c r="NQN40" s="899"/>
      <c r="NQO40" s="899"/>
      <c r="NQP40" s="899"/>
      <c r="NQQ40" s="899"/>
      <c r="NQR40" s="899"/>
      <c r="NQS40" s="899"/>
      <c r="NQT40" s="899"/>
      <c r="NQU40" s="899"/>
      <c r="NQV40" s="899"/>
      <c r="NQW40" s="899"/>
      <c r="NQX40" s="899"/>
      <c r="NQY40" s="899"/>
      <c r="NQZ40" s="899"/>
      <c r="NRA40" s="899"/>
      <c r="NRB40" s="899"/>
      <c r="NRC40" s="899"/>
      <c r="NRD40" s="899"/>
      <c r="NRE40" s="899"/>
      <c r="NRF40" s="899"/>
      <c r="NRG40" s="899"/>
      <c r="NRH40" s="899"/>
      <c r="NRI40" s="899"/>
      <c r="NRJ40" s="899"/>
      <c r="NRK40" s="899"/>
      <c r="NRL40" s="899"/>
      <c r="NRM40" s="899"/>
      <c r="NRN40" s="899"/>
      <c r="NRO40" s="899"/>
      <c r="NRP40" s="899"/>
      <c r="NRQ40" s="899"/>
      <c r="NRR40" s="899"/>
      <c r="NRS40" s="899"/>
      <c r="NRT40" s="899"/>
      <c r="NRU40" s="899"/>
      <c r="NRV40" s="899"/>
      <c r="NRW40" s="899"/>
      <c r="NRX40" s="899"/>
      <c r="NRY40" s="899"/>
      <c r="NRZ40" s="899"/>
      <c r="NSA40" s="899"/>
      <c r="NSB40" s="899"/>
      <c r="NSC40" s="899"/>
      <c r="NSD40" s="899"/>
      <c r="NSE40" s="899"/>
      <c r="NSF40" s="899"/>
      <c r="NSG40" s="899"/>
      <c r="NSH40" s="899"/>
      <c r="NSI40" s="899"/>
      <c r="NSJ40" s="899"/>
      <c r="NSK40" s="899"/>
      <c r="NSL40" s="899"/>
      <c r="NSM40" s="899"/>
      <c r="NSN40" s="899"/>
      <c r="NSO40" s="899"/>
      <c r="NSP40" s="899"/>
      <c r="NSQ40" s="899"/>
      <c r="NSR40" s="899"/>
      <c r="NSS40" s="899"/>
      <c r="NST40" s="899"/>
      <c r="NSU40" s="899"/>
      <c r="NSV40" s="899"/>
      <c r="NSW40" s="899"/>
      <c r="NSX40" s="899"/>
      <c r="NSY40" s="899"/>
      <c r="NSZ40" s="899"/>
      <c r="NTA40" s="899"/>
      <c r="NTB40" s="899"/>
      <c r="NTC40" s="899"/>
      <c r="NTD40" s="899"/>
      <c r="NTE40" s="899"/>
      <c r="NTF40" s="899"/>
      <c r="NTG40" s="899"/>
      <c r="NTH40" s="899"/>
      <c r="NTI40" s="899"/>
      <c r="NTJ40" s="899"/>
      <c r="NTK40" s="899"/>
      <c r="NTL40" s="899"/>
      <c r="NTM40" s="899"/>
      <c r="NTN40" s="899"/>
      <c r="NTO40" s="899"/>
      <c r="NTP40" s="899"/>
      <c r="NTQ40" s="899"/>
      <c r="NTR40" s="899"/>
      <c r="NTS40" s="899"/>
      <c r="NTT40" s="899"/>
      <c r="NTU40" s="899"/>
      <c r="NTV40" s="899"/>
      <c r="NTW40" s="899"/>
      <c r="NTX40" s="899"/>
      <c r="NTY40" s="899"/>
      <c r="NTZ40" s="899"/>
      <c r="NUA40" s="899"/>
      <c r="NUB40" s="899"/>
      <c r="NUC40" s="899"/>
      <c r="NUD40" s="899"/>
      <c r="NUE40" s="899"/>
      <c r="NUF40" s="899"/>
      <c r="NUG40" s="899"/>
      <c r="NUH40" s="899"/>
      <c r="NUI40" s="899"/>
      <c r="NUJ40" s="899"/>
      <c r="NUK40" s="899"/>
      <c r="NUL40" s="899"/>
      <c r="NUM40" s="899"/>
      <c r="NUN40" s="899"/>
      <c r="NUO40" s="899"/>
      <c r="NUP40" s="899"/>
      <c r="NUQ40" s="899"/>
      <c r="NUR40" s="899"/>
      <c r="NUS40" s="899"/>
      <c r="NUT40" s="899"/>
      <c r="NUU40" s="899"/>
      <c r="NUV40" s="899"/>
      <c r="NUW40" s="899"/>
      <c r="NUX40" s="899"/>
      <c r="NUY40" s="899"/>
      <c r="NUZ40" s="899"/>
      <c r="NVA40" s="899"/>
      <c r="NVB40" s="899"/>
      <c r="NVC40" s="899"/>
      <c r="NVD40" s="899"/>
      <c r="NVE40" s="899"/>
      <c r="NVF40" s="899"/>
      <c r="NVG40" s="899"/>
      <c r="NVH40" s="899"/>
      <c r="NVI40" s="899"/>
      <c r="NVJ40" s="899"/>
      <c r="NVK40" s="899"/>
      <c r="NVL40" s="899"/>
      <c r="NVM40" s="899"/>
      <c r="NVN40" s="899"/>
      <c r="NVO40" s="899"/>
      <c r="NVP40" s="899"/>
      <c r="NVQ40" s="899"/>
      <c r="NVR40" s="899"/>
      <c r="NVS40" s="899"/>
      <c r="NVT40" s="899"/>
      <c r="NVU40" s="899"/>
      <c r="NVV40" s="899"/>
      <c r="NVW40" s="899"/>
      <c r="NVX40" s="899"/>
      <c r="NVY40" s="899"/>
      <c r="NVZ40" s="899"/>
      <c r="NWA40" s="899"/>
      <c r="NWB40" s="899"/>
      <c r="NWC40" s="899"/>
      <c r="NWD40" s="899"/>
      <c r="NWE40" s="899"/>
      <c r="NWF40" s="899"/>
      <c r="NWG40" s="899"/>
      <c r="NWH40" s="899"/>
      <c r="NWI40" s="899"/>
      <c r="NWJ40" s="899"/>
      <c r="NWK40" s="899"/>
      <c r="NWL40" s="899"/>
      <c r="NWM40" s="899"/>
      <c r="NWN40" s="899"/>
      <c r="NWO40" s="899"/>
      <c r="NWP40" s="899"/>
      <c r="NWQ40" s="899"/>
      <c r="NWR40" s="899"/>
      <c r="NWS40" s="899"/>
      <c r="NWT40" s="899"/>
      <c r="NWU40" s="899"/>
      <c r="NWV40" s="899"/>
      <c r="NWW40" s="899"/>
      <c r="NWX40" s="899"/>
      <c r="NWY40" s="899"/>
      <c r="NWZ40" s="899"/>
      <c r="NXA40" s="899"/>
      <c r="NXB40" s="899"/>
      <c r="NXC40" s="899"/>
      <c r="NXD40" s="899"/>
      <c r="NXE40" s="899"/>
      <c r="NXF40" s="899"/>
      <c r="NXG40" s="899"/>
      <c r="NXH40" s="899"/>
      <c r="NXI40" s="899"/>
      <c r="NXJ40" s="899"/>
      <c r="NXK40" s="899"/>
      <c r="NXL40" s="899"/>
      <c r="NXM40" s="899"/>
      <c r="NXN40" s="899"/>
      <c r="NXO40" s="899"/>
      <c r="NXP40" s="899"/>
      <c r="NXQ40" s="899"/>
      <c r="NXR40" s="899"/>
      <c r="NXS40" s="899"/>
      <c r="NXT40" s="899"/>
      <c r="NXU40" s="899"/>
      <c r="NXV40" s="899"/>
      <c r="NXW40" s="899"/>
      <c r="NXX40" s="899"/>
      <c r="NXY40" s="899"/>
      <c r="NXZ40" s="899"/>
      <c r="NYA40" s="899"/>
      <c r="NYB40" s="899"/>
      <c r="NYC40" s="899"/>
      <c r="NYD40" s="899"/>
      <c r="NYE40" s="899"/>
      <c r="NYF40" s="899"/>
      <c r="NYG40" s="899"/>
      <c r="NYH40" s="899"/>
      <c r="NYI40" s="899"/>
      <c r="NYJ40" s="899"/>
      <c r="NYK40" s="899"/>
      <c r="NYL40" s="899"/>
      <c r="NYM40" s="899"/>
      <c r="NYN40" s="899"/>
      <c r="NYO40" s="899"/>
      <c r="NYP40" s="899"/>
      <c r="NYQ40" s="899"/>
      <c r="NYR40" s="899"/>
      <c r="NYS40" s="899"/>
      <c r="NYT40" s="899"/>
      <c r="NYU40" s="899"/>
      <c r="NYV40" s="899"/>
      <c r="NYW40" s="899"/>
      <c r="NYX40" s="899"/>
      <c r="NYY40" s="899"/>
      <c r="NYZ40" s="899"/>
      <c r="NZA40" s="899"/>
      <c r="NZB40" s="899"/>
      <c r="NZC40" s="899"/>
      <c r="NZD40" s="899"/>
      <c r="NZE40" s="899"/>
      <c r="NZF40" s="899"/>
      <c r="NZG40" s="899"/>
      <c r="NZH40" s="899"/>
      <c r="NZI40" s="899"/>
      <c r="NZJ40" s="899"/>
      <c r="NZK40" s="899"/>
      <c r="NZL40" s="899"/>
      <c r="NZM40" s="899"/>
      <c r="NZN40" s="899"/>
      <c r="NZO40" s="899"/>
      <c r="NZP40" s="899"/>
      <c r="NZQ40" s="899"/>
      <c r="NZR40" s="899"/>
      <c r="NZS40" s="899"/>
      <c r="NZT40" s="899"/>
      <c r="NZU40" s="899"/>
      <c r="NZV40" s="899"/>
      <c r="NZW40" s="899"/>
      <c r="NZX40" s="899"/>
      <c r="NZY40" s="899"/>
      <c r="NZZ40" s="899"/>
      <c r="OAA40" s="899"/>
      <c r="OAB40" s="899"/>
      <c r="OAC40" s="899"/>
      <c r="OAD40" s="899"/>
      <c r="OAE40" s="899"/>
      <c r="OAF40" s="899"/>
      <c r="OAG40" s="899"/>
      <c r="OAH40" s="899"/>
      <c r="OAI40" s="899"/>
      <c r="OAJ40" s="899"/>
      <c r="OAK40" s="899"/>
      <c r="OAL40" s="899"/>
      <c r="OAM40" s="899"/>
      <c r="OAN40" s="899"/>
      <c r="OAO40" s="899"/>
      <c r="OAP40" s="899"/>
      <c r="OAQ40" s="899"/>
      <c r="OAR40" s="899"/>
      <c r="OAS40" s="899"/>
      <c r="OAT40" s="899"/>
      <c r="OAU40" s="899"/>
      <c r="OAV40" s="899"/>
      <c r="OAW40" s="899"/>
      <c r="OAX40" s="899"/>
      <c r="OAY40" s="899"/>
      <c r="OAZ40" s="899"/>
      <c r="OBA40" s="899"/>
      <c r="OBB40" s="899"/>
      <c r="OBC40" s="899"/>
      <c r="OBD40" s="899"/>
      <c r="OBE40" s="899"/>
      <c r="OBF40" s="899"/>
      <c r="OBG40" s="899"/>
      <c r="OBH40" s="899"/>
      <c r="OBI40" s="899"/>
      <c r="OBJ40" s="899"/>
      <c r="OBK40" s="899"/>
      <c r="OBL40" s="899"/>
      <c r="OBM40" s="899"/>
      <c r="OBN40" s="899"/>
      <c r="OBO40" s="899"/>
      <c r="OBP40" s="899"/>
      <c r="OBQ40" s="899"/>
      <c r="OBR40" s="899"/>
      <c r="OBS40" s="899"/>
      <c r="OBT40" s="899"/>
      <c r="OBU40" s="899"/>
      <c r="OBV40" s="899"/>
      <c r="OBW40" s="899"/>
      <c r="OBX40" s="899"/>
      <c r="OBY40" s="899"/>
      <c r="OBZ40" s="899"/>
      <c r="OCA40" s="899"/>
      <c r="OCB40" s="899"/>
      <c r="OCC40" s="899"/>
      <c r="OCD40" s="899"/>
      <c r="OCE40" s="899"/>
      <c r="OCF40" s="899"/>
      <c r="OCG40" s="899"/>
      <c r="OCH40" s="899"/>
      <c r="OCI40" s="899"/>
      <c r="OCJ40" s="899"/>
      <c r="OCK40" s="899"/>
      <c r="OCL40" s="899"/>
      <c r="OCM40" s="899"/>
      <c r="OCN40" s="899"/>
      <c r="OCO40" s="899"/>
      <c r="OCP40" s="899"/>
      <c r="OCQ40" s="899"/>
      <c r="OCR40" s="899"/>
      <c r="OCS40" s="899"/>
      <c r="OCT40" s="899"/>
      <c r="OCU40" s="899"/>
      <c r="OCV40" s="899"/>
      <c r="OCW40" s="899"/>
      <c r="OCX40" s="899"/>
      <c r="OCY40" s="899"/>
      <c r="OCZ40" s="899"/>
      <c r="ODA40" s="899"/>
      <c r="ODB40" s="899"/>
      <c r="ODC40" s="899"/>
      <c r="ODD40" s="899"/>
      <c r="ODE40" s="899"/>
      <c r="ODF40" s="899"/>
      <c r="ODG40" s="899"/>
      <c r="ODH40" s="899"/>
      <c r="ODI40" s="899"/>
      <c r="ODJ40" s="899"/>
      <c r="ODK40" s="899"/>
      <c r="ODL40" s="899"/>
      <c r="ODM40" s="899"/>
      <c r="ODN40" s="899"/>
      <c r="ODO40" s="899"/>
      <c r="ODP40" s="899"/>
      <c r="ODQ40" s="899"/>
      <c r="ODR40" s="899"/>
      <c r="ODS40" s="899"/>
      <c r="ODT40" s="899"/>
      <c r="ODU40" s="899"/>
      <c r="ODV40" s="899"/>
      <c r="ODW40" s="899"/>
      <c r="ODX40" s="899"/>
      <c r="ODY40" s="899"/>
      <c r="ODZ40" s="899"/>
      <c r="OEA40" s="899"/>
      <c r="OEB40" s="899"/>
      <c r="OEC40" s="899"/>
      <c r="OED40" s="899"/>
      <c r="OEE40" s="899"/>
      <c r="OEF40" s="899"/>
      <c r="OEG40" s="899"/>
      <c r="OEH40" s="899"/>
      <c r="OEI40" s="899"/>
      <c r="OEJ40" s="899"/>
      <c r="OEK40" s="899"/>
      <c r="OEL40" s="899"/>
      <c r="OEM40" s="899"/>
      <c r="OEN40" s="899"/>
      <c r="OEO40" s="899"/>
      <c r="OEP40" s="899"/>
      <c r="OEQ40" s="899"/>
      <c r="OER40" s="899"/>
      <c r="OES40" s="899"/>
      <c r="OET40" s="899"/>
      <c r="OEU40" s="899"/>
      <c r="OEV40" s="899"/>
      <c r="OEW40" s="899"/>
      <c r="OEX40" s="899"/>
      <c r="OEY40" s="899"/>
      <c r="OEZ40" s="899"/>
      <c r="OFA40" s="899"/>
      <c r="OFB40" s="899"/>
      <c r="OFC40" s="899"/>
      <c r="OFD40" s="899"/>
      <c r="OFE40" s="899"/>
      <c r="OFF40" s="899"/>
      <c r="OFG40" s="899"/>
      <c r="OFH40" s="899"/>
      <c r="OFI40" s="899"/>
      <c r="OFJ40" s="899"/>
      <c r="OFK40" s="899"/>
      <c r="OFL40" s="899"/>
      <c r="OFM40" s="899"/>
      <c r="OFN40" s="899"/>
      <c r="OFO40" s="899"/>
      <c r="OFP40" s="899"/>
      <c r="OFQ40" s="899"/>
      <c r="OFR40" s="899"/>
      <c r="OFS40" s="899"/>
      <c r="OFT40" s="899"/>
      <c r="OFU40" s="899"/>
      <c r="OFV40" s="899"/>
      <c r="OFW40" s="899"/>
      <c r="OFX40" s="899"/>
      <c r="OFY40" s="899"/>
      <c r="OFZ40" s="899"/>
      <c r="OGA40" s="899"/>
      <c r="OGB40" s="899"/>
      <c r="OGC40" s="899"/>
      <c r="OGD40" s="899"/>
      <c r="OGE40" s="899"/>
      <c r="OGF40" s="899"/>
      <c r="OGG40" s="899"/>
      <c r="OGH40" s="899"/>
      <c r="OGI40" s="899"/>
      <c r="OGJ40" s="899"/>
      <c r="OGK40" s="899"/>
      <c r="OGL40" s="899"/>
      <c r="OGM40" s="899"/>
      <c r="OGN40" s="899"/>
      <c r="OGO40" s="899"/>
      <c r="OGP40" s="899"/>
      <c r="OGQ40" s="899"/>
      <c r="OGR40" s="899"/>
      <c r="OGS40" s="899"/>
      <c r="OGT40" s="899"/>
      <c r="OGU40" s="899"/>
      <c r="OGV40" s="899"/>
      <c r="OGW40" s="899"/>
      <c r="OGX40" s="899"/>
      <c r="OGY40" s="899"/>
      <c r="OGZ40" s="899"/>
      <c r="OHA40" s="899"/>
      <c r="OHB40" s="899"/>
      <c r="OHC40" s="899"/>
      <c r="OHD40" s="899"/>
      <c r="OHE40" s="899"/>
      <c r="OHF40" s="899"/>
      <c r="OHG40" s="899"/>
      <c r="OHH40" s="899"/>
      <c r="OHI40" s="899"/>
      <c r="OHJ40" s="899"/>
      <c r="OHK40" s="899"/>
      <c r="OHL40" s="899"/>
      <c r="OHM40" s="899"/>
      <c r="OHN40" s="899"/>
      <c r="OHO40" s="899"/>
      <c r="OHP40" s="899"/>
      <c r="OHQ40" s="899"/>
      <c r="OHR40" s="899"/>
      <c r="OHS40" s="899"/>
      <c r="OHT40" s="899"/>
      <c r="OHU40" s="899"/>
      <c r="OHV40" s="899"/>
      <c r="OHW40" s="899"/>
      <c r="OHX40" s="899"/>
      <c r="OHY40" s="899"/>
      <c r="OHZ40" s="899"/>
      <c r="OIA40" s="899"/>
      <c r="OIB40" s="899"/>
      <c r="OIC40" s="899"/>
      <c r="OID40" s="899"/>
      <c r="OIE40" s="899"/>
      <c r="OIF40" s="899"/>
      <c r="OIG40" s="899"/>
      <c r="OIH40" s="899"/>
      <c r="OII40" s="899"/>
      <c r="OIJ40" s="899"/>
      <c r="OIK40" s="899"/>
      <c r="OIL40" s="899"/>
      <c r="OIM40" s="899"/>
      <c r="OIN40" s="899"/>
      <c r="OIO40" s="899"/>
      <c r="OIP40" s="899"/>
      <c r="OIQ40" s="899"/>
      <c r="OIR40" s="899"/>
      <c r="OIS40" s="899"/>
      <c r="OIT40" s="899"/>
      <c r="OIU40" s="899"/>
      <c r="OIV40" s="899"/>
      <c r="OIW40" s="899"/>
      <c r="OIX40" s="899"/>
      <c r="OIY40" s="899"/>
      <c r="OIZ40" s="899"/>
      <c r="OJA40" s="899"/>
      <c r="OJB40" s="899"/>
      <c r="OJC40" s="899"/>
      <c r="OJD40" s="899"/>
      <c r="OJE40" s="899"/>
      <c r="OJF40" s="899"/>
      <c r="OJG40" s="899"/>
      <c r="OJH40" s="899"/>
      <c r="OJI40" s="899"/>
      <c r="OJJ40" s="899"/>
      <c r="OJK40" s="899"/>
      <c r="OJL40" s="899"/>
      <c r="OJM40" s="899"/>
      <c r="OJN40" s="899"/>
      <c r="OJO40" s="899"/>
      <c r="OJP40" s="899"/>
      <c r="OJQ40" s="899"/>
      <c r="OJR40" s="899"/>
      <c r="OJS40" s="899"/>
      <c r="OJT40" s="899"/>
      <c r="OJU40" s="899"/>
      <c r="OJV40" s="899"/>
      <c r="OJW40" s="899"/>
      <c r="OJX40" s="899"/>
      <c r="OJY40" s="899"/>
      <c r="OJZ40" s="899"/>
      <c r="OKA40" s="899"/>
      <c r="OKB40" s="899"/>
      <c r="OKC40" s="899"/>
      <c r="OKD40" s="899"/>
      <c r="OKE40" s="899"/>
      <c r="OKF40" s="899"/>
      <c r="OKG40" s="899"/>
      <c r="OKH40" s="899"/>
      <c r="OKI40" s="899"/>
      <c r="OKJ40" s="899"/>
      <c r="OKK40" s="899"/>
      <c r="OKL40" s="899"/>
      <c r="OKM40" s="899"/>
      <c r="OKN40" s="899"/>
      <c r="OKO40" s="899"/>
      <c r="OKP40" s="899"/>
      <c r="OKQ40" s="899"/>
      <c r="OKR40" s="899"/>
      <c r="OKS40" s="899"/>
      <c r="OKT40" s="899"/>
      <c r="OKU40" s="899"/>
      <c r="OKV40" s="899"/>
      <c r="OKW40" s="899"/>
      <c r="OKX40" s="899"/>
      <c r="OKY40" s="899"/>
      <c r="OKZ40" s="899"/>
      <c r="OLA40" s="899"/>
      <c r="OLB40" s="899"/>
      <c r="OLC40" s="899"/>
      <c r="OLD40" s="899"/>
      <c r="OLE40" s="899"/>
      <c r="OLF40" s="899"/>
      <c r="OLG40" s="899"/>
      <c r="OLH40" s="899"/>
      <c r="OLI40" s="899"/>
      <c r="OLJ40" s="899"/>
      <c r="OLK40" s="899"/>
      <c r="OLL40" s="899"/>
      <c r="OLM40" s="899"/>
      <c r="OLN40" s="899"/>
      <c r="OLO40" s="899"/>
      <c r="OLP40" s="899"/>
      <c r="OLQ40" s="899"/>
      <c r="OLR40" s="899"/>
      <c r="OLS40" s="899"/>
      <c r="OLT40" s="899"/>
      <c r="OLU40" s="899"/>
      <c r="OLV40" s="899"/>
      <c r="OLW40" s="899"/>
      <c r="OLX40" s="899"/>
      <c r="OLY40" s="899"/>
      <c r="OLZ40" s="899"/>
      <c r="OMA40" s="899"/>
      <c r="OMB40" s="899"/>
      <c r="OMC40" s="899"/>
      <c r="OMD40" s="899"/>
      <c r="OME40" s="899"/>
      <c r="OMF40" s="899"/>
      <c r="OMG40" s="899"/>
      <c r="OMH40" s="899"/>
      <c r="OMI40" s="899"/>
      <c r="OMJ40" s="899"/>
      <c r="OMK40" s="899"/>
      <c r="OML40" s="899"/>
      <c r="OMM40" s="899"/>
      <c r="OMN40" s="899"/>
      <c r="OMO40" s="899"/>
      <c r="OMP40" s="899"/>
      <c r="OMQ40" s="899"/>
      <c r="OMR40" s="899"/>
      <c r="OMS40" s="899"/>
      <c r="OMT40" s="899"/>
      <c r="OMU40" s="899"/>
      <c r="OMV40" s="899"/>
      <c r="OMW40" s="899"/>
      <c r="OMX40" s="899"/>
      <c r="OMY40" s="899"/>
      <c r="OMZ40" s="899"/>
      <c r="ONA40" s="899"/>
      <c r="ONB40" s="899"/>
      <c r="ONC40" s="899"/>
      <c r="OND40" s="899"/>
      <c r="ONE40" s="899"/>
      <c r="ONF40" s="899"/>
      <c r="ONG40" s="899"/>
      <c r="ONH40" s="899"/>
      <c r="ONI40" s="899"/>
      <c r="ONJ40" s="899"/>
      <c r="ONK40" s="899"/>
      <c r="ONL40" s="899"/>
      <c r="ONM40" s="899"/>
      <c r="ONN40" s="899"/>
      <c r="ONO40" s="899"/>
      <c r="ONP40" s="899"/>
      <c r="ONQ40" s="899"/>
      <c r="ONR40" s="899"/>
      <c r="ONS40" s="899"/>
      <c r="ONT40" s="899"/>
      <c r="ONU40" s="899"/>
      <c r="ONV40" s="899"/>
      <c r="ONW40" s="899"/>
      <c r="ONX40" s="899"/>
      <c r="ONY40" s="899"/>
      <c r="ONZ40" s="899"/>
      <c r="OOA40" s="899"/>
      <c r="OOB40" s="899"/>
      <c r="OOC40" s="899"/>
      <c r="OOD40" s="899"/>
      <c r="OOE40" s="899"/>
      <c r="OOF40" s="899"/>
      <c r="OOG40" s="899"/>
      <c r="OOH40" s="899"/>
      <c r="OOI40" s="899"/>
      <c r="OOJ40" s="899"/>
      <c r="OOK40" s="899"/>
      <c r="OOL40" s="899"/>
      <c r="OOM40" s="899"/>
      <c r="OON40" s="899"/>
      <c r="OOO40" s="899"/>
      <c r="OOP40" s="899"/>
      <c r="OOQ40" s="899"/>
      <c r="OOR40" s="899"/>
      <c r="OOS40" s="899"/>
      <c r="OOT40" s="899"/>
      <c r="OOU40" s="899"/>
      <c r="OOV40" s="899"/>
      <c r="OOW40" s="899"/>
      <c r="OOX40" s="899"/>
      <c r="OOY40" s="899"/>
      <c r="OOZ40" s="899"/>
      <c r="OPA40" s="899"/>
      <c r="OPB40" s="899"/>
      <c r="OPC40" s="899"/>
      <c r="OPD40" s="899"/>
      <c r="OPE40" s="899"/>
      <c r="OPF40" s="899"/>
      <c r="OPG40" s="899"/>
      <c r="OPH40" s="899"/>
      <c r="OPI40" s="899"/>
      <c r="OPJ40" s="899"/>
      <c r="OPK40" s="899"/>
      <c r="OPL40" s="899"/>
      <c r="OPM40" s="899"/>
      <c r="OPN40" s="899"/>
      <c r="OPO40" s="899"/>
      <c r="OPP40" s="899"/>
      <c r="OPQ40" s="899"/>
      <c r="OPR40" s="899"/>
      <c r="OPS40" s="899"/>
      <c r="OPT40" s="899"/>
      <c r="OPU40" s="899"/>
      <c r="OPV40" s="899"/>
      <c r="OPW40" s="899"/>
      <c r="OPX40" s="899"/>
      <c r="OPY40" s="899"/>
      <c r="OPZ40" s="899"/>
      <c r="OQA40" s="899"/>
      <c r="OQB40" s="899"/>
      <c r="OQC40" s="899"/>
      <c r="OQD40" s="899"/>
      <c r="OQE40" s="899"/>
      <c r="OQF40" s="899"/>
      <c r="OQG40" s="899"/>
      <c r="OQH40" s="899"/>
      <c r="OQI40" s="899"/>
      <c r="OQJ40" s="899"/>
      <c r="OQK40" s="899"/>
      <c r="OQL40" s="899"/>
      <c r="OQM40" s="899"/>
      <c r="OQN40" s="899"/>
      <c r="OQO40" s="899"/>
      <c r="OQP40" s="899"/>
      <c r="OQQ40" s="899"/>
      <c r="OQR40" s="899"/>
      <c r="OQS40" s="899"/>
      <c r="OQT40" s="899"/>
      <c r="OQU40" s="899"/>
      <c r="OQV40" s="899"/>
      <c r="OQW40" s="899"/>
      <c r="OQX40" s="899"/>
      <c r="OQY40" s="899"/>
      <c r="OQZ40" s="899"/>
      <c r="ORA40" s="899"/>
      <c r="ORB40" s="899"/>
      <c r="ORC40" s="899"/>
      <c r="ORD40" s="899"/>
      <c r="ORE40" s="899"/>
      <c r="ORF40" s="899"/>
      <c r="ORG40" s="899"/>
      <c r="ORH40" s="899"/>
      <c r="ORI40" s="899"/>
      <c r="ORJ40" s="899"/>
      <c r="ORK40" s="899"/>
      <c r="ORL40" s="899"/>
      <c r="ORM40" s="899"/>
      <c r="ORN40" s="899"/>
      <c r="ORO40" s="899"/>
      <c r="ORP40" s="899"/>
      <c r="ORQ40" s="899"/>
      <c r="ORR40" s="899"/>
      <c r="ORS40" s="899"/>
      <c r="ORT40" s="899"/>
      <c r="ORU40" s="899"/>
      <c r="ORV40" s="899"/>
      <c r="ORW40" s="899"/>
      <c r="ORX40" s="899"/>
      <c r="ORY40" s="899"/>
      <c r="ORZ40" s="899"/>
      <c r="OSA40" s="899"/>
      <c r="OSB40" s="899"/>
      <c r="OSC40" s="899"/>
      <c r="OSD40" s="899"/>
      <c r="OSE40" s="899"/>
      <c r="OSF40" s="899"/>
      <c r="OSG40" s="899"/>
      <c r="OSH40" s="899"/>
      <c r="OSI40" s="899"/>
      <c r="OSJ40" s="899"/>
      <c r="OSK40" s="899"/>
      <c r="OSL40" s="899"/>
      <c r="OSM40" s="899"/>
      <c r="OSN40" s="899"/>
      <c r="OSO40" s="899"/>
      <c r="OSP40" s="899"/>
      <c r="OSQ40" s="899"/>
      <c r="OSR40" s="899"/>
      <c r="OSS40" s="899"/>
      <c r="OST40" s="899"/>
      <c r="OSU40" s="899"/>
      <c r="OSV40" s="899"/>
      <c r="OSW40" s="899"/>
      <c r="OSX40" s="899"/>
      <c r="OSY40" s="899"/>
      <c r="OSZ40" s="899"/>
      <c r="OTA40" s="899"/>
      <c r="OTB40" s="899"/>
      <c r="OTC40" s="899"/>
      <c r="OTD40" s="899"/>
      <c r="OTE40" s="899"/>
      <c r="OTF40" s="899"/>
      <c r="OTG40" s="899"/>
      <c r="OTH40" s="899"/>
      <c r="OTI40" s="899"/>
      <c r="OTJ40" s="899"/>
      <c r="OTK40" s="899"/>
      <c r="OTL40" s="899"/>
      <c r="OTM40" s="899"/>
      <c r="OTN40" s="899"/>
      <c r="OTO40" s="899"/>
      <c r="OTP40" s="899"/>
      <c r="OTQ40" s="899"/>
      <c r="OTR40" s="899"/>
      <c r="OTS40" s="899"/>
      <c r="OTT40" s="899"/>
      <c r="OTU40" s="899"/>
      <c r="OTV40" s="899"/>
      <c r="OTW40" s="899"/>
      <c r="OTX40" s="899"/>
      <c r="OTY40" s="899"/>
      <c r="OTZ40" s="899"/>
      <c r="OUA40" s="899"/>
      <c r="OUB40" s="899"/>
      <c r="OUC40" s="899"/>
      <c r="OUD40" s="899"/>
      <c r="OUE40" s="899"/>
      <c r="OUF40" s="899"/>
      <c r="OUG40" s="899"/>
      <c r="OUH40" s="899"/>
      <c r="OUI40" s="899"/>
      <c r="OUJ40" s="899"/>
      <c r="OUK40" s="899"/>
      <c r="OUL40" s="899"/>
      <c r="OUM40" s="899"/>
      <c r="OUN40" s="899"/>
      <c r="OUO40" s="899"/>
      <c r="OUP40" s="899"/>
      <c r="OUQ40" s="899"/>
      <c r="OUR40" s="899"/>
      <c r="OUS40" s="899"/>
      <c r="OUT40" s="899"/>
      <c r="OUU40" s="899"/>
      <c r="OUV40" s="899"/>
      <c r="OUW40" s="899"/>
      <c r="OUX40" s="899"/>
      <c r="OUY40" s="899"/>
      <c r="OUZ40" s="899"/>
      <c r="OVA40" s="899"/>
      <c r="OVB40" s="899"/>
      <c r="OVC40" s="899"/>
      <c r="OVD40" s="899"/>
      <c r="OVE40" s="899"/>
      <c r="OVF40" s="899"/>
      <c r="OVG40" s="899"/>
      <c r="OVH40" s="899"/>
      <c r="OVI40" s="899"/>
      <c r="OVJ40" s="899"/>
      <c r="OVK40" s="899"/>
      <c r="OVL40" s="899"/>
      <c r="OVM40" s="899"/>
      <c r="OVN40" s="899"/>
      <c r="OVO40" s="899"/>
      <c r="OVP40" s="899"/>
      <c r="OVQ40" s="899"/>
      <c r="OVR40" s="899"/>
      <c r="OVS40" s="899"/>
      <c r="OVT40" s="899"/>
      <c r="OVU40" s="899"/>
      <c r="OVV40" s="899"/>
      <c r="OVW40" s="899"/>
      <c r="OVX40" s="899"/>
      <c r="OVY40" s="899"/>
      <c r="OVZ40" s="899"/>
      <c r="OWA40" s="899"/>
      <c r="OWB40" s="899"/>
      <c r="OWC40" s="899"/>
      <c r="OWD40" s="899"/>
      <c r="OWE40" s="899"/>
      <c r="OWF40" s="899"/>
      <c r="OWG40" s="899"/>
      <c r="OWH40" s="899"/>
      <c r="OWI40" s="899"/>
      <c r="OWJ40" s="899"/>
      <c r="OWK40" s="899"/>
      <c r="OWL40" s="899"/>
      <c r="OWM40" s="899"/>
      <c r="OWN40" s="899"/>
      <c r="OWO40" s="899"/>
      <c r="OWP40" s="899"/>
      <c r="OWQ40" s="899"/>
      <c r="OWR40" s="899"/>
      <c r="OWS40" s="899"/>
      <c r="OWT40" s="899"/>
      <c r="OWU40" s="899"/>
      <c r="OWV40" s="899"/>
      <c r="OWW40" s="899"/>
      <c r="OWX40" s="899"/>
      <c r="OWY40" s="899"/>
      <c r="OWZ40" s="899"/>
      <c r="OXA40" s="899"/>
      <c r="OXB40" s="899"/>
      <c r="OXC40" s="899"/>
      <c r="OXD40" s="899"/>
      <c r="OXE40" s="899"/>
      <c r="OXF40" s="899"/>
      <c r="OXG40" s="899"/>
      <c r="OXH40" s="899"/>
      <c r="OXI40" s="899"/>
      <c r="OXJ40" s="899"/>
      <c r="OXK40" s="899"/>
      <c r="OXL40" s="899"/>
      <c r="OXM40" s="899"/>
      <c r="OXN40" s="899"/>
      <c r="OXO40" s="899"/>
      <c r="OXP40" s="899"/>
      <c r="OXQ40" s="899"/>
      <c r="OXR40" s="899"/>
      <c r="OXS40" s="899"/>
      <c r="OXT40" s="899"/>
      <c r="OXU40" s="899"/>
      <c r="OXV40" s="899"/>
      <c r="OXW40" s="899"/>
      <c r="OXX40" s="899"/>
      <c r="OXY40" s="899"/>
      <c r="OXZ40" s="899"/>
      <c r="OYA40" s="899"/>
      <c r="OYB40" s="899"/>
      <c r="OYC40" s="899"/>
      <c r="OYD40" s="899"/>
      <c r="OYE40" s="899"/>
      <c r="OYF40" s="899"/>
      <c r="OYG40" s="899"/>
      <c r="OYH40" s="899"/>
      <c r="OYI40" s="899"/>
      <c r="OYJ40" s="899"/>
      <c r="OYK40" s="899"/>
      <c r="OYL40" s="899"/>
      <c r="OYM40" s="899"/>
      <c r="OYN40" s="899"/>
      <c r="OYO40" s="899"/>
      <c r="OYP40" s="899"/>
      <c r="OYQ40" s="899"/>
      <c r="OYR40" s="899"/>
      <c r="OYS40" s="899"/>
      <c r="OYT40" s="899"/>
      <c r="OYU40" s="899"/>
      <c r="OYV40" s="899"/>
      <c r="OYW40" s="899"/>
      <c r="OYX40" s="899"/>
      <c r="OYY40" s="899"/>
      <c r="OYZ40" s="899"/>
      <c r="OZA40" s="899"/>
      <c r="OZB40" s="899"/>
      <c r="OZC40" s="899"/>
      <c r="OZD40" s="899"/>
      <c r="OZE40" s="899"/>
      <c r="OZF40" s="899"/>
      <c r="OZG40" s="899"/>
      <c r="OZH40" s="899"/>
      <c r="OZI40" s="899"/>
      <c r="OZJ40" s="899"/>
      <c r="OZK40" s="899"/>
      <c r="OZL40" s="899"/>
      <c r="OZM40" s="899"/>
      <c r="OZN40" s="899"/>
      <c r="OZO40" s="899"/>
      <c r="OZP40" s="899"/>
      <c r="OZQ40" s="899"/>
      <c r="OZR40" s="899"/>
      <c r="OZS40" s="899"/>
      <c r="OZT40" s="899"/>
      <c r="OZU40" s="899"/>
      <c r="OZV40" s="899"/>
      <c r="OZW40" s="899"/>
      <c r="OZX40" s="899"/>
      <c r="OZY40" s="899"/>
      <c r="OZZ40" s="899"/>
      <c r="PAA40" s="899"/>
      <c r="PAB40" s="899"/>
      <c r="PAC40" s="899"/>
      <c r="PAD40" s="899"/>
      <c r="PAE40" s="899"/>
      <c r="PAF40" s="899"/>
      <c r="PAG40" s="899"/>
      <c r="PAH40" s="899"/>
      <c r="PAI40" s="899"/>
      <c r="PAJ40" s="899"/>
      <c r="PAK40" s="899"/>
      <c r="PAL40" s="899"/>
      <c r="PAM40" s="899"/>
      <c r="PAN40" s="899"/>
      <c r="PAO40" s="899"/>
      <c r="PAP40" s="899"/>
      <c r="PAQ40" s="899"/>
      <c r="PAR40" s="899"/>
      <c r="PAS40" s="899"/>
      <c r="PAT40" s="899"/>
      <c r="PAU40" s="899"/>
      <c r="PAV40" s="899"/>
      <c r="PAW40" s="899"/>
      <c r="PAX40" s="899"/>
      <c r="PAY40" s="899"/>
      <c r="PAZ40" s="899"/>
      <c r="PBA40" s="899"/>
      <c r="PBB40" s="899"/>
      <c r="PBC40" s="899"/>
      <c r="PBD40" s="899"/>
      <c r="PBE40" s="899"/>
      <c r="PBF40" s="899"/>
      <c r="PBG40" s="899"/>
      <c r="PBH40" s="899"/>
      <c r="PBI40" s="899"/>
      <c r="PBJ40" s="899"/>
      <c r="PBK40" s="899"/>
      <c r="PBL40" s="899"/>
      <c r="PBM40" s="899"/>
      <c r="PBN40" s="899"/>
      <c r="PBO40" s="899"/>
      <c r="PBP40" s="899"/>
      <c r="PBQ40" s="899"/>
      <c r="PBR40" s="899"/>
      <c r="PBS40" s="899"/>
      <c r="PBT40" s="899"/>
      <c r="PBU40" s="899"/>
      <c r="PBV40" s="899"/>
      <c r="PBW40" s="899"/>
      <c r="PBX40" s="899"/>
      <c r="PBY40" s="899"/>
      <c r="PBZ40" s="899"/>
      <c r="PCA40" s="899"/>
      <c r="PCB40" s="899"/>
      <c r="PCC40" s="899"/>
      <c r="PCD40" s="899"/>
      <c r="PCE40" s="899"/>
      <c r="PCF40" s="899"/>
      <c r="PCG40" s="899"/>
      <c r="PCH40" s="899"/>
      <c r="PCI40" s="899"/>
      <c r="PCJ40" s="899"/>
      <c r="PCK40" s="899"/>
      <c r="PCL40" s="899"/>
      <c r="PCM40" s="899"/>
      <c r="PCN40" s="899"/>
      <c r="PCO40" s="899"/>
      <c r="PCP40" s="899"/>
      <c r="PCQ40" s="899"/>
      <c r="PCR40" s="899"/>
      <c r="PCS40" s="899"/>
      <c r="PCT40" s="899"/>
      <c r="PCU40" s="899"/>
      <c r="PCV40" s="899"/>
      <c r="PCW40" s="899"/>
      <c r="PCX40" s="899"/>
      <c r="PCY40" s="899"/>
      <c r="PCZ40" s="899"/>
      <c r="PDA40" s="899"/>
      <c r="PDB40" s="899"/>
      <c r="PDC40" s="899"/>
      <c r="PDD40" s="899"/>
      <c r="PDE40" s="899"/>
      <c r="PDF40" s="899"/>
      <c r="PDG40" s="899"/>
      <c r="PDH40" s="899"/>
      <c r="PDI40" s="899"/>
      <c r="PDJ40" s="899"/>
      <c r="PDK40" s="899"/>
      <c r="PDL40" s="899"/>
      <c r="PDM40" s="899"/>
      <c r="PDN40" s="899"/>
      <c r="PDO40" s="899"/>
      <c r="PDP40" s="899"/>
      <c r="PDQ40" s="899"/>
      <c r="PDR40" s="899"/>
      <c r="PDS40" s="899"/>
      <c r="PDT40" s="899"/>
      <c r="PDU40" s="899"/>
      <c r="PDV40" s="899"/>
      <c r="PDW40" s="899"/>
      <c r="PDX40" s="899"/>
      <c r="PDY40" s="899"/>
      <c r="PDZ40" s="899"/>
      <c r="PEA40" s="899"/>
      <c r="PEB40" s="899"/>
      <c r="PEC40" s="899"/>
      <c r="PED40" s="899"/>
      <c r="PEE40" s="899"/>
      <c r="PEF40" s="899"/>
      <c r="PEG40" s="899"/>
      <c r="PEH40" s="899"/>
      <c r="PEI40" s="899"/>
      <c r="PEJ40" s="899"/>
      <c r="PEK40" s="899"/>
      <c r="PEL40" s="899"/>
      <c r="PEM40" s="899"/>
      <c r="PEN40" s="899"/>
      <c r="PEO40" s="899"/>
      <c r="PEP40" s="899"/>
      <c r="PEQ40" s="899"/>
      <c r="PER40" s="899"/>
      <c r="PES40" s="899"/>
      <c r="PET40" s="899"/>
      <c r="PEU40" s="899"/>
      <c r="PEV40" s="899"/>
      <c r="PEW40" s="899"/>
      <c r="PEX40" s="899"/>
      <c r="PEY40" s="899"/>
      <c r="PEZ40" s="899"/>
      <c r="PFA40" s="899"/>
      <c r="PFB40" s="899"/>
      <c r="PFC40" s="899"/>
      <c r="PFD40" s="899"/>
      <c r="PFE40" s="899"/>
      <c r="PFF40" s="899"/>
      <c r="PFG40" s="899"/>
      <c r="PFH40" s="899"/>
      <c r="PFI40" s="899"/>
      <c r="PFJ40" s="899"/>
      <c r="PFK40" s="899"/>
      <c r="PFL40" s="899"/>
      <c r="PFM40" s="899"/>
      <c r="PFN40" s="899"/>
      <c r="PFO40" s="899"/>
      <c r="PFP40" s="899"/>
      <c r="PFQ40" s="899"/>
      <c r="PFR40" s="899"/>
      <c r="PFS40" s="899"/>
      <c r="PFT40" s="899"/>
      <c r="PFU40" s="899"/>
      <c r="PFV40" s="899"/>
      <c r="PFW40" s="899"/>
      <c r="PFX40" s="899"/>
      <c r="PFY40" s="899"/>
      <c r="PFZ40" s="899"/>
      <c r="PGA40" s="899"/>
      <c r="PGB40" s="899"/>
      <c r="PGC40" s="899"/>
      <c r="PGD40" s="899"/>
      <c r="PGE40" s="899"/>
      <c r="PGF40" s="899"/>
      <c r="PGG40" s="899"/>
      <c r="PGH40" s="899"/>
      <c r="PGI40" s="899"/>
      <c r="PGJ40" s="899"/>
      <c r="PGK40" s="899"/>
      <c r="PGL40" s="899"/>
      <c r="PGM40" s="899"/>
      <c r="PGN40" s="899"/>
      <c r="PGO40" s="899"/>
      <c r="PGP40" s="899"/>
      <c r="PGQ40" s="899"/>
      <c r="PGR40" s="899"/>
      <c r="PGS40" s="899"/>
      <c r="PGT40" s="899"/>
      <c r="PGU40" s="899"/>
      <c r="PGV40" s="899"/>
      <c r="PGW40" s="899"/>
      <c r="PGX40" s="899"/>
      <c r="PGY40" s="899"/>
      <c r="PGZ40" s="899"/>
      <c r="PHA40" s="899"/>
      <c r="PHB40" s="899"/>
      <c r="PHC40" s="899"/>
      <c r="PHD40" s="899"/>
      <c r="PHE40" s="899"/>
      <c r="PHF40" s="899"/>
      <c r="PHG40" s="899"/>
      <c r="PHH40" s="899"/>
      <c r="PHI40" s="899"/>
      <c r="PHJ40" s="899"/>
      <c r="PHK40" s="899"/>
      <c r="PHL40" s="899"/>
      <c r="PHM40" s="899"/>
      <c r="PHN40" s="899"/>
      <c r="PHO40" s="899"/>
      <c r="PHP40" s="899"/>
      <c r="PHQ40" s="899"/>
      <c r="PHR40" s="899"/>
      <c r="PHS40" s="899"/>
      <c r="PHT40" s="899"/>
      <c r="PHU40" s="899"/>
      <c r="PHV40" s="899"/>
      <c r="PHW40" s="899"/>
      <c r="PHX40" s="899"/>
      <c r="PHY40" s="899"/>
      <c r="PHZ40" s="899"/>
      <c r="PIA40" s="899"/>
      <c r="PIB40" s="899"/>
      <c r="PIC40" s="899"/>
      <c r="PID40" s="899"/>
      <c r="PIE40" s="899"/>
      <c r="PIF40" s="899"/>
      <c r="PIG40" s="899"/>
      <c r="PIH40" s="899"/>
      <c r="PII40" s="899"/>
      <c r="PIJ40" s="899"/>
      <c r="PIK40" s="899"/>
      <c r="PIL40" s="899"/>
      <c r="PIM40" s="899"/>
      <c r="PIN40" s="899"/>
      <c r="PIO40" s="899"/>
      <c r="PIP40" s="899"/>
      <c r="PIQ40" s="899"/>
      <c r="PIR40" s="899"/>
      <c r="PIS40" s="899"/>
      <c r="PIT40" s="899"/>
      <c r="PIU40" s="899"/>
      <c r="PIV40" s="899"/>
      <c r="PIW40" s="899"/>
      <c r="PIX40" s="899"/>
      <c r="PIY40" s="899"/>
      <c r="PIZ40" s="899"/>
      <c r="PJA40" s="899"/>
      <c r="PJB40" s="899"/>
      <c r="PJC40" s="899"/>
      <c r="PJD40" s="899"/>
      <c r="PJE40" s="899"/>
      <c r="PJF40" s="899"/>
      <c r="PJG40" s="899"/>
      <c r="PJH40" s="899"/>
      <c r="PJI40" s="899"/>
      <c r="PJJ40" s="899"/>
      <c r="PJK40" s="899"/>
      <c r="PJL40" s="899"/>
      <c r="PJM40" s="899"/>
      <c r="PJN40" s="899"/>
      <c r="PJO40" s="899"/>
      <c r="PJP40" s="899"/>
      <c r="PJQ40" s="899"/>
      <c r="PJR40" s="899"/>
      <c r="PJS40" s="899"/>
      <c r="PJT40" s="899"/>
      <c r="PJU40" s="899"/>
      <c r="PJV40" s="899"/>
      <c r="PJW40" s="899"/>
      <c r="PJX40" s="899"/>
      <c r="PJY40" s="899"/>
      <c r="PJZ40" s="899"/>
      <c r="PKA40" s="899"/>
      <c r="PKB40" s="899"/>
      <c r="PKC40" s="899"/>
      <c r="PKD40" s="899"/>
      <c r="PKE40" s="899"/>
      <c r="PKF40" s="899"/>
      <c r="PKG40" s="899"/>
      <c r="PKH40" s="899"/>
      <c r="PKI40" s="899"/>
      <c r="PKJ40" s="899"/>
      <c r="PKK40" s="899"/>
      <c r="PKL40" s="899"/>
      <c r="PKM40" s="899"/>
      <c r="PKN40" s="899"/>
      <c r="PKO40" s="899"/>
      <c r="PKP40" s="899"/>
      <c r="PKQ40" s="899"/>
      <c r="PKR40" s="899"/>
      <c r="PKS40" s="899"/>
      <c r="PKT40" s="899"/>
      <c r="PKU40" s="899"/>
      <c r="PKV40" s="899"/>
      <c r="PKW40" s="899"/>
      <c r="PKX40" s="899"/>
      <c r="PKY40" s="899"/>
      <c r="PKZ40" s="899"/>
      <c r="PLA40" s="899"/>
      <c r="PLB40" s="899"/>
      <c r="PLC40" s="899"/>
      <c r="PLD40" s="899"/>
      <c r="PLE40" s="899"/>
      <c r="PLF40" s="899"/>
      <c r="PLG40" s="899"/>
      <c r="PLH40" s="899"/>
      <c r="PLI40" s="899"/>
      <c r="PLJ40" s="899"/>
      <c r="PLK40" s="899"/>
      <c r="PLL40" s="899"/>
      <c r="PLM40" s="899"/>
      <c r="PLN40" s="899"/>
      <c r="PLO40" s="899"/>
      <c r="PLP40" s="899"/>
      <c r="PLQ40" s="899"/>
      <c r="PLR40" s="899"/>
      <c r="PLS40" s="899"/>
      <c r="PLT40" s="899"/>
      <c r="PLU40" s="899"/>
      <c r="PLV40" s="899"/>
      <c r="PLW40" s="899"/>
      <c r="PLX40" s="899"/>
      <c r="PLY40" s="899"/>
      <c r="PLZ40" s="899"/>
      <c r="PMA40" s="899"/>
      <c r="PMB40" s="899"/>
      <c r="PMC40" s="899"/>
      <c r="PMD40" s="899"/>
      <c r="PME40" s="899"/>
      <c r="PMF40" s="899"/>
      <c r="PMG40" s="899"/>
      <c r="PMH40" s="899"/>
      <c r="PMI40" s="899"/>
      <c r="PMJ40" s="899"/>
      <c r="PMK40" s="899"/>
      <c r="PML40" s="899"/>
      <c r="PMM40" s="899"/>
      <c r="PMN40" s="899"/>
      <c r="PMO40" s="899"/>
      <c r="PMP40" s="899"/>
      <c r="PMQ40" s="899"/>
      <c r="PMR40" s="899"/>
      <c r="PMS40" s="899"/>
      <c r="PMT40" s="899"/>
      <c r="PMU40" s="899"/>
      <c r="PMV40" s="899"/>
      <c r="PMW40" s="899"/>
      <c r="PMX40" s="899"/>
      <c r="PMY40" s="899"/>
      <c r="PMZ40" s="899"/>
      <c r="PNA40" s="899"/>
      <c r="PNB40" s="899"/>
      <c r="PNC40" s="899"/>
      <c r="PND40" s="899"/>
      <c r="PNE40" s="899"/>
      <c r="PNF40" s="899"/>
      <c r="PNG40" s="899"/>
      <c r="PNH40" s="899"/>
      <c r="PNI40" s="899"/>
      <c r="PNJ40" s="899"/>
      <c r="PNK40" s="899"/>
      <c r="PNL40" s="899"/>
      <c r="PNM40" s="899"/>
      <c r="PNN40" s="899"/>
      <c r="PNO40" s="899"/>
      <c r="PNP40" s="899"/>
      <c r="PNQ40" s="899"/>
      <c r="PNR40" s="899"/>
      <c r="PNS40" s="899"/>
      <c r="PNT40" s="899"/>
      <c r="PNU40" s="899"/>
      <c r="PNV40" s="899"/>
      <c r="PNW40" s="899"/>
      <c r="PNX40" s="899"/>
      <c r="PNY40" s="899"/>
      <c r="PNZ40" s="899"/>
      <c r="POA40" s="899"/>
      <c r="POB40" s="899"/>
      <c r="POC40" s="899"/>
      <c r="POD40" s="899"/>
      <c r="POE40" s="899"/>
      <c r="POF40" s="899"/>
      <c r="POG40" s="899"/>
      <c r="POH40" s="899"/>
      <c r="POI40" s="899"/>
      <c r="POJ40" s="899"/>
      <c r="POK40" s="899"/>
      <c r="POL40" s="899"/>
      <c r="POM40" s="899"/>
      <c r="PON40" s="899"/>
      <c r="POO40" s="899"/>
      <c r="POP40" s="899"/>
      <c r="POQ40" s="899"/>
      <c r="POR40" s="899"/>
      <c r="POS40" s="899"/>
      <c r="POT40" s="899"/>
      <c r="POU40" s="899"/>
      <c r="POV40" s="899"/>
      <c r="POW40" s="899"/>
      <c r="POX40" s="899"/>
      <c r="POY40" s="899"/>
      <c r="POZ40" s="899"/>
      <c r="PPA40" s="899"/>
      <c r="PPB40" s="899"/>
      <c r="PPC40" s="899"/>
      <c r="PPD40" s="899"/>
      <c r="PPE40" s="899"/>
      <c r="PPF40" s="899"/>
      <c r="PPG40" s="899"/>
      <c r="PPH40" s="899"/>
      <c r="PPI40" s="899"/>
      <c r="PPJ40" s="899"/>
      <c r="PPK40" s="899"/>
      <c r="PPL40" s="899"/>
      <c r="PPM40" s="899"/>
      <c r="PPN40" s="899"/>
      <c r="PPO40" s="899"/>
      <c r="PPP40" s="899"/>
      <c r="PPQ40" s="899"/>
      <c r="PPR40" s="899"/>
      <c r="PPS40" s="899"/>
      <c r="PPT40" s="899"/>
      <c r="PPU40" s="899"/>
      <c r="PPV40" s="899"/>
      <c r="PPW40" s="899"/>
      <c r="PPX40" s="899"/>
      <c r="PPY40" s="899"/>
      <c r="PPZ40" s="899"/>
      <c r="PQA40" s="899"/>
      <c r="PQB40" s="899"/>
      <c r="PQC40" s="899"/>
      <c r="PQD40" s="899"/>
      <c r="PQE40" s="899"/>
      <c r="PQF40" s="899"/>
      <c r="PQG40" s="899"/>
      <c r="PQH40" s="899"/>
      <c r="PQI40" s="899"/>
      <c r="PQJ40" s="899"/>
      <c r="PQK40" s="899"/>
      <c r="PQL40" s="899"/>
      <c r="PQM40" s="899"/>
      <c r="PQN40" s="899"/>
      <c r="PQO40" s="899"/>
      <c r="PQP40" s="899"/>
      <c r="PQQ40" s="899"/>
      <c r="PQR40" s="899"/>
      <c r="PQS40" s="899"/>
      <c r="PQT40" s="899"/>
      <c r="PQU40" s="899"/>
      <c r="PQV40" s="899"/>
      <c r="PQW40" s="899"/>
      <c r="PQX40" s="899"/>
      <c r="PQY40" s="899"/>
      <c r="PQZ40" s="899"/>
      <c r="PRA40" s="899"/>
      <c r="PRB40" s="899"/>
      <c r="PRC40" s="899"/>
      <c r="PRD40" s="899"/>
      <c r="PRE40" s="899"/>
      <c r="PRF40" s="899"/>
      <c r="PRG40" s="899"/>
      <c r="PRH40" s="899"/>
      <c r="PRI40" s="899"/>
      <c r="PRJ40" s="899"/>
      <c r="PRK40" s="899"/>
      <c r="PRL40" s="899"/>
      <c r="PRM40" s="899"/>
      <c r="PRN40" s="899"/>
      <c r="PRO40" s="899"/>
      <c r="PRP40" s="899"/>
      <c r="PRQ40" s="899"/>
      <c r="PRR40" s="899"/>
      <c r="PRS40" s="899"/>
      <c r="PRT40" s="899"/>
      <c r="PRU40" s="899"/>
      <c r="PRV40" s="899"/>
      <c r="PRW40" s="899"/>
      <c r="PRX40" s="899"/>
      <c r="PRY40" s="899"/>
      <c r="PRZ40" s="899"/>
      <c r="PSA40" s="899"/>
      <c r="PSB40" s="899"/>
      <c r="PSC40" s="899"/>
      <c r="PSD40" s="899"/>
      <c r="PSE40" s="899"/>
      <c r="PSF40" s="899"/>
      <c r="PSG40" s="899"/>
      <c r="PSH40" s="899"/>
      <c r="PSI40" s="899"/>
      <c r="PSJ40" s="899"/>
      <c r="PSK40" s="899"/>
      <c r="PSL40" s="899"/>
      <c r="PSM40" s="899"/>
      <c r="PSN40" s="899"/>
      <c r="PSO40" s="899"/>
      <c r="PSP40" s="899"/>
      <c r="PSQ40" s="899"/>
      <c r="PSR40" s="899"/>
      <c r="PSS40" s="899"/>
      <c r="PST40" s="899"/>
      <c r="PSU40" s="899"/>
      <c r="PSV40" s="899"/>
      <c r="PSW40" s="899"/>
      <c r="PSX40" s="899"/>
      <c r="PSY40" s="899"/>
      <c r="PSZ40" s="899"/>
      <c r="PTA40" s="899"/>
      <c r="PTB40" s="899"/>
      <c r="PTC40" s="899"/>
      <c r="PTD40" s="899"/>
      <c r="PTE40" s="899"/>
      <c r="PTF40" s="899"/>
      <c r="PTG40" s="899"/>
      <c r="PTH40" s="899"/>
      <c r="PTI40" s="899"/>
      <c r="PTJ40" s="899"/>
      <c r="PTK40" s="899"/>
      <c r="PTL40" s="899"/>
      <c r="PTM40" s="899"/>
      <c r="PTN40" s="899"/>
      <c r="PTO40" s="899"/>
      <c r="PTP40" s="899"/>
      <c r="PTQ40" s="899"/>
      <c r="PTR40" s="899"/>
      <c r="PTS40" s="899"/>
      <c r="PTT40" s="899"/>
      <c r="PTU40" s="899"/>
      <c r="PTV40" s="899"/>
      <c r="PTW40" s="899"/>
      <c r="PTX40" s="899"/>
      <c r="PTY40" s="899"/>
      <c r="PTZ40" s="899"/>
      <c r="PUA40" s="899"/>
      <c r="PUB40" s="899"/>
      <c r="PUC40" s="899"/>
      <c r="PUD40" s="899"/>
      <c r="PUE40" s="899"/>
      <c r="PUF40" s="899"/>
      <c r="PUG40" s="899"/>
      <c r="PUH40" s="899"/>
      <c r="PUI40" s="899"/>
      <c r="PUJ40" s="899"/>
      <c r="PUK40" s="899"/>
      <c r="PUL40" s="899"/>
      <c r="PUM40" s="899"/>
      <c r="PUN40" s="899"/>
      <c r="PUO40" s="899"/>
      <c r="PUP40" s="899"/>
      <c r="PUQ40" s="899"/>
      <c r="PUR40" s="899"/>
      <c r="PUS40" s="899"/>
      <c r="PUT40" s="899"/>
      <c r="PUU40" s="899"/>
      <c r="PUV40" s="899"/>
      <c r="PUW40" s="899"/>
      <c r="PUX40" s="899"/>
      <c r="PUY40" s="899"/>
      <c r="PUZ40" s="899"/>
      <c r="PVA40" s="899"/>
      <c r="PVB40" s="899"/>
      <c r="PVC40" s="899"/>
      <c r="PVD40" s="899"/>
      <c r="PVE40" s="899"/>
      <c r="PVF40" s="899"/>
      <c r="PVG40" s="899"/>
      <c r="PVH40" s="899"/>
      <c r="PVI40" s="899"/>
      <c r="PVJ40" s="899"/>
      <c r="PVK40" s="899"/>
      <c r="PVL40" s="899"/>
      <c r="PVM40" s="899"/>
      <c r="PVN40" s="899"/>
      <c r="PVO40" s="899"/>
      <c r="PVP40" s="899"/>
      <c r="PVQ40" s="899"/>
      <c r="PVR40" s="899"/>
      <c r="PVS40" s="899"/>
      <c r="PVT40" s="899"/>
      <c r="PVU40" s="899"/>
      <c r="PVV40" s="899"/>
      <c r="PVW40" s="899"/>
      <c r="PVX40" s="899"/>
      <c r="PVY40" s="899"/>
      <c r="PVZ40" s="899"/>
      <c r="PWA40" s="899"/>
      <c r="PWB40" s="899"/>
      <c r="PWC40" s="899"/>
      <c r="PWD40" s="899"/>
      <c r="PWE40" s="899"/>
      <c r="PWF40" s="899"/>
      <c r="PWG40" s="899"/>
      <c r="PWH40" s="899"/>
      <c r="PWI40" s="899"/>
      <c r="PWJ40" s="899"/>
      <c r="PWK40" s="899"/>
      <c r="PWL40" s="899"/>
      <c r="PWM40" s="899"/>
      <c r="PWN40" s="899"/>
      <c r="PWO40" s="899"/>
      <c r="PWP40" s="899"/>
      <c r="PWQ40" s="899"/>
      <c r="PWR40" s="899"/>
      <c r="PWS40" s="899"/>
      <c r="PWT40" s="899"/>
      <c r="PWU40" s="899"/>
      <c r="PWV40" s="899"/>
      <c r="PWW40" s="899"/>
      <c r="PWX40" s="899"/>
      <c r="PWY40" s="899"/>
      <c r="PWZ40" s="899"/>
      <c r="PXA40" s="899"/>
      <c r="PXB40" s="899"/>
      <c r="PXC40" s="899"/>
      <c r="PXD40" s="899"/>
      <c r="PXE40" s="899"/>
      <c r="PXF40" s="899"/>
      <c r="PXG40" s="899"/>
      <c r="PXH40" s="899"/>
      <c r="PXI40" s="899"/>
      <c r="PXJ40" s="899"/>
      <c r="PXK40" s="899"/>
      <c r="PXL40" s="899"/>
      <c r="PXM40" s="899"/>
      <c r="PXN40" s="899"/>
      <c r="PXO40" s="899"/>
      <c r="PXP40" s="899"/>
      <c r="PXQ40" s="899"/>
      <c r="PXR40" s="899"/>
      <c r="PXS40" s="899"/>
      <c r="PXT40" s="899"/>
      <c r="PXU40" s="899"/>
      <c r="PXV40" s="899"/>
      <c r="PXW40" s="899"/>
      <c r="PXX40" s="899"/>
      <c r="PXY40" s="899"/>
      <c r="PXZ40" s="899"/>
      <c r="PYA40" s="899"/>
      <c r="PYB40" s="899"/>
      <c r="PYC40" s="899"/>
      <c r="PYD40" s="899"/>
      <c r="PYE40" s="899"/>
      <c r="PYF40" s="899"/>
      <c r="PYG40" s="899"/>
      <c r="PYH40" s="899"/>
      <c r="PYI40" s="899"/>
      <c r="PYJ40" s="899"/>
      <c r="PYK40" s="899"/>
      <c r="PYL40" s="899"/>
      <c r="PYM40" s="899"/>
      <c r="PYN40" s="899"/>
      <c r="PYO40" s="899"/>
      <c r="PYP40" s="899"/>
      <c r="PYQ40" s="899"/>
      <c r="PYR40" s="899"/>
      <c r="PYS40" s="899"/>
      <c r="PYT40" s="899"/>
      <c r="PYU40" s="899"/>
      <c r="PYV40" s="899"/>
      <c r="PYW40" s="899"/>
      <c r="PYX40" s="899"/>
      <c r="PYY40" s="899"/>
      <c r="PYZ40" s="899"/>
      <c r="PZA40" s="899"/>
      <c r="PZB40" s="899"/>
      <c r="PZC40" s="899"/>
      <c r="PZD40" s="899"/>
      <c r="PZE40" s="899"/>
      <c r="PZF40" s="899"/>
      <c r="PZG40" s="899"/>
      <c r="PZH40" s="899"/>
      <c r="PZI40" s="899"/>
      <c r="PZJ40" s="899"/>
      <c r="PZK40" s="899"/>
      <c r="PZL40" s="899"/>
      <c r="PZM40" s="899"/>
      <c r="PZN40" s="899"/>
      <c r="PZO40" s="899"/>
      <c r="PZP40" s="899"/>
      <c r="PZQ40" s="899"/>
      <c r="PZR40" s="899"/>
      <c r="PZS40" s="899"/>
      <c r="PZT40" s="899"/>
      <c r="PZU40" s="899"/>
      <c r="PZV40" s="899"/>
      <c r="PZW40" s="899"/>
      <c r="PZX40" s="899"/>
      <c r="PZY40" s="899"/>
      <c r="PZZ40" s="899"/>
      <c r="QAA40" s="899"/>
      <c r="QAB40" s="899"/>
      <c r="QAC40" s="899"/>
      <c r="QAD40" s="899"/>
      <c r="QAE40" s="899"/>
      <c r="QAF40" s="899"/>
      <c r="QAG40" s="899"/>
      <c r="QAH40" s="899"/>
      <c r="QAI40" s="899"/>
      <c r="QAJ40" s="899"/>
      <c r="QAK40" s="899"/>
      <c r="QAL40" s="899"/>
      <c r="QAM40" s="899"/>
      <c r="QAN40" s="899"/>
      <c r="QAO40" s="899"/>
      <c r="QAP40" s="899"/>
      <c r="QAQ40" s="899"/>
      <c r="QAR40" s="899"/>
      <c r="QAS40" s="899"/>
      <c r="QAT40" s="899"/>
      <c r="QAU40" s="899"/>
      <c r="QAV40" s="899"/>
      <c r="QAW40" s="899"/>
      <c r="QAX40" s="899"/>
      <c r="QAY40" s="899"/>
      <c r="QAZ40" s="899"/>
      <c r="QBA40" s="899"/>
      <c r="QBB40" s="899"/>
      <c r="QBC40" s="899"/>
      <c r="QBD40" s="899"/>
      <c r="QBE40" s="899"/>
      <c r="QBF40" s="899"/>
      <c r="QBG40" s="899"/>
      <c r="QBH40" s="899"/>
      <c r="QBI40" s="899"/>
      <c r="QBJ40" s="899"/>
      <c r="QBK40" s="899"/>
      <c r="QBL40" s="899"/>
      <c r="QBM40" s="899"/>
      <c r="QBN40" s="899"/>
      <c r="QBO40" s="899"/>
      <c r="QBP40" s="899"/>
      <c r="QBQ40" s="899"/>
      <c r="QBR40" s="899"/>
      <c r="QBS40" s="899"/>
      <c r="QBT40" s="899"/>
      <c r="QBU40" s="899"/>
      <c r="QBV40" s="899"/>
      <c r="QBW40" s="899"/>
      <c r="QBX40" s="899"/>
      <c r="QBY40" s="899"/>
      <c r="QBZ40" s="899"/>
      <c r="QCA40" s="899"/>
      <c r="QCB40" s="899"/>
      <c r="QCC40" s="899"/>
      <c r="QCD40" s="899"/>
      <c r="QCE40" s="899"/>
      <c r="QCF40" s="899"/>
      <c r="QCG40" s="899"/>
      <c r="QCH40" s="899"/>
      <c r="QCI40" s="899"/>
      <c r="QCJ40" s="899"/>
      <c r="QCK40" s="899"/>
      <c r="QCL40" s="899"/>
      <c r="QCM40" s="899"/>
      <c r="QCN40" s="899"/>
      <c r="QCO40" s="899"/>
      <c r="QCP40" s="899"/>
      <c r="QCQ40" s="899"/>
      <c r="QCR40" s="899"/>
      <c r="QCS40" s="899"/>
      <c r="QCT40" s="899"/>
      <c r="QCU40" s="899"/>
      <c r="QCV40" s="899"/>
      <c r="QCW40" s="899"/>
      <c r="QCX40" s="899"/>
      <c r="QCY40" s="899"/>
      <c r="QCZ40" s="899"/>
      <c r="QDA40" s="899"/>
      <c r="QDB40" s="899"/>
      <c r="QDC40" s="899"/>
      <c r="QDD40" s="899"/>
      <c r="QDE40" s="899"/>
      <c r="QDF40" s="899"/>
      <c r="QDG40" s="899"/>
      <c r="QDH40" s="899"/>
      <c r="QDI40" s="899"/>
      <c r="QDJ40" s="899"/>
      <c r="QDK40" s="899"/>
      <c r="QDL40" s="899"/>
      <c r="QDM40" s="899"/>
      <c r="QDN40" s="899"/>
      <c r="QDO40" s="899"/>
      <c r="QDP40" s="899"/>
      <c r="QDQ40" s="899"/>
      <c r="QDR40" s="899"/>
      <c r="QDS40" s="899"/>
      <c r="QDT40" s="899"/>
      <c r="QDU40" s="899"/>
      <c r="QDV40" s="899"/>
      <c r="QDW40" s="899"/>
      <c r="QDX40" s="899"/>
      <c r="QDY40" s="899"/>
      <c r="QDZ40" s="899"/>
      <c r="QEA40" s="899"/>
      <c r="QEB40" s="899"/>
      <c r="QEC40" s="899"/>
      <c r="QED40" s="899"/>
      <c r="QEE40" s="899"/>
      <c r="QEF40" s="899"/>
      <c r="QEG40" s="899"/>
      <c r="QEH40" s="899"/>
      <c r="QEI40" s="899"/>
      <c r="QEJ40" s="899"/>
      <c r="QEK40" s="899"/>
      <c r="QEL40" s="899"/>
      <c r="QEM40" s="899"/>
      <c r="QEN40" s="899"/>
      <c r="QEO40" s="899"/>
      <c r="QEP40" s="899"/>
      <c r="QEQ40" s="899"/>
      <c r="QER40" s="899"/>
      <c r="QES40" s="899"/>
      <c r="QET40" s="899"/>
      <c r="QEU40" s="899"/>
      <c r="QEV40" s="899"/>
      <c r="QEW40" s="899"/>
      <c r="QEX40" s="899"/>
      <c r="QEY40" s="899"/>
      <c r="QEZ40" s="899"/>
      <c r="QFA40" s="899"/>
      <c r="QFB40" s="899"/>
      <c r="QFC40" s="899"/>
      <c r="QFD40" s="899"/>
      <c r="QFE40" s="899"/>
      <c r="QFF40" s="899"/>
      <c r="QFG40" s="899"/>
      <c r="QFH40" s="899"/>
      <c r="QFI40" s="899"/>
      <c r="QFJ40" s="899"/>
      <c r="QFK40" s="899"/>
      <c r="QFL40" s="899"/>
      <c r="QFM40" s="899"/>
      <c r="QFN40" s="899"/>
      <c r="QFO40" s="899"/>
      <c r="QFP40" s="899"/>
      <c r="QFQ40" s="899"/>
      <c r="QFR40" s="899"/>
      <c r="QFS40" s="899"/>
      <c r="QFT40" s="899"/>
      <c r="QFU40" s="899"/>
      <c r="QFV40" s="899"/>
      <c r="QFW40" s="899"/>
      <c r="QFX40" s="899"/>
      <c r="QFY40" s="899"/>
      <c r="QFZ40" s="899"/>
      <c r="QGA40" s="899"/>
      <c r="QGB40" s="899"/>
      <c r="QGC40" s="899"/>
      <c r="QGD40" s="899"/>
      <c r="QGE40" s="899"/>
      <c r="QGF40" s="899"/>
      <c r="QGG40" s="899"/>
      <c r="QGH40" s="899"/>
      <c r="QGI40" s="899"/>
      <c r="QGJ40" s="899"/>
      <c r="QGK40" s="899"/>
      <c r="QGL40" s="899"/>
      <c r="QGM40" s="899"/>
      <c r="QGN40" s="899"/>
      <c r="QGO40" s="899"/>
      <c r="QGP40" s="899"/>
      <c r="QGQ40" s="899"/>
      <c r="QGR40" s="899"/>
      <c r="QGS40" s="899"/>
      <c r="QGT40" s="899"/>
      <c r="QGU40" s="899"/>
      <c r="QGV40" s="899"/>
      <c r="QGW40" s="899"/>
      <c r="QGX40" s="899"/>
      <c r="QGY40" s="899"/>
      <c r="QGZ40" s="899"/>
      <c r="QHA40" s="899"/>
      <c r="QHB40" s="899"/>
      <c r="QHC40" s="899"/>
      <c r="QHD40" s="899"/>
      <c r="QHE40" s="899"/>
      <c r="QHF40" s="899"/>
      <c r="QHG40" s="899"/>
      <c r="QHH40" s="899"/>
      <c r="QHI40" s="899"/>
      <c r="QHJ40" s="899"/>
      <c r="QHK40" s="899"/>
      <c r="QHL40" s="899"/>
      <c r="QHM40" s="899"/>
      <c r="QHN40" s="899"/>
      <c r="QHO40" s="899"/>
      <c r="QHP40" s="899"/>
      <c r="QHQ40" s="899"/>
      <c r="QHR40" s="899"/>
      <c r="QHS40" s="899"/>
      <c r="QHT40" s="899"/>
      <c r="QHU40" s="899"/>
      <c r="QHV40" s="899"/>
      <c r="QHW40" s="899"/>
      <c r="QHX40" s="899"/>
      <c r="QHY40" s="899"/>
      <c r="QHZ40" s="899"/>
      <c r="QIA40" s="899"/>
      <c r="QIB40" s="899"/>
      <c r="QIC40" s="899"/>
      <c r="QID40" s="899"/>
      <c r="QIE40" s="899"/>
      <c r="QIF40" s="899"/>
      <c r="QIG40" s="899"/>
      <c r="QIH40" s="899"/>
      <c r="QII40" s="899"/>
      <c r="QIJ40" s="899"/>
      <c r="QIK40" s="899"/>
      <c r="QIL40" s="899"/>
      <c r="QIM40" s="899"/>
      <c r="QIN40" s="899"/>
      <c r="QIO40" s="899"/>
      <c r="QIP40" s="899"/>
      <c r="QIQ40" s="899"/>
      <c r="QIR40" s="899"/>
      <c r="QIS40" s="899"/>
      <c r="QIT40" s="899"/>
      <c r="QIU40" s="899"/>
      <c r="QIV40" s="899"/>
      <c r="QIW40" s="899"/>
      <c r="QIX40" s="899"/>
      <c r="QIY40" s="899"/>
      <c r="QIZ40" s="899"/>
      <c r="QJA40" s="899"/>
      <c r="QJB40" s="899"/>
      <c r="QJC40" s="899"/>
      <c r="QJD40" s="899"/>
      <c r="QJE40" s="899"/>
      <c r="QJF40" s="899"/>
      <c r="QJG40" s="899"/>
      <c r="QJH40" s="899"/>
      <c r="QJI40" s="899"/>
      <c r="QJJ40" s="899"/>
      <c r="QJK40" s="899"/>
      <c r="QJL40" s="899"/>
      <c r="QJM40" s="899"/>
      <c r="QJN40" s="899"/>
      <c r="QJO40" s="899"/>
      <c r="QJP40" s="899"/>
      <c r="QJQ40" s="899"/>
      <c r="QJR40" s="899"/>
      <c r="QJS40" s="899"/>
      <c r="QJT40" s="899"/>
      <c r="QJU40" s="899"/>
      <c r="QJV40" s="899"/>
      <c r="QJW40" s="899"/>
      <c r="QJX40" s="899"/>
      <c r="QJY40" s="899"/>
      <c r="QJZ40" s="899"/>
      <c r="QKA40" s="899"/>
      <c r="QKB40" s="899"/>
      <c r="QKC40" s="899"/>
      <c r="QKD40" s="899"/>
      <c r="QKE40" s="899"/>
      <c r="QKF40" s="899"/>
      <c r="QKG40" s="899"/>
      <c r="QKH40" s="899"/>
      <c r="QKI40" s="899"/>
      <c r="QKJ40" s="899"/>
      <c r="QKK40" s="899"/>
      <c r="QKL40" s="899"/>
      <c r="QKM40" s="899"/>
      <c r="QKN40" s="899"/>
      <c r="QKO40" s="899"/>
      <c r="QKP40" s="899"/>
      <c r="QKQ40" s="899"/>
      <c r="QKR40" s="899"/>
      <c r="QKS40" s="899"/>
      <c r="QKT40" s="899"/>
      <c r="QKU40" s="899"/>
      <c r="QKV40" s="899"/>
      <c r="QKW40" s="899"/>
      <c r="QKX40" s="899"/>
      <c r="QKY40" s="899"/>
      <c r="QKZ40" s="899"/>
      <c r="QLA40" s="899"/>
      <c r="QLB40" s="899"/>
      <c r="QLC40" s="899"/>
      <c r="QLD40" s="899"/>
      <c r="QLE40" s="899"/>
      <c r="QLF40" s="899"/>
      <c r="QLG40" s="899"/>
      <c r="QLH40" s="899"/>
      <c r="QLI40" s="899"/>
      <c r="QLJ40" s="899"/>
      <c r="QLK40" s="899"/>
      <c r="QLL40" s="899"/>
      <c r="QLM40" s="899"/>
      <c r="QLN40" s="899"/>
      <c r="QLO40" s="899"/>
      <c r="QLP40" s="899"/>
      <c r="QLQ40" s="899"/>
      <c r="QLR40" s="899"/>
      <c r="QLS40" s="899"/>
      <c r="QLT40" s="899"/>
      <c r="QLU40" s="899"/>
      <c r="QLV40" s="899"/>
      <c r="QLW40" s="899"/>
      <c r="QLX40" s="899"/>
      <c r="QLY40" s="899"/>
      <c r="QLZ40" s="899"/>
      <c r="QMA40" s="899"/>
      <c r="QMB40" s="899"/>
      <c r="QMC40" s="899"/>
      <c r="QMD40" s="899"/>
      <c r="QME40" s="899"/>
      <c r="QMF40" s="899"/>
      <c r="QMG40" s="899"/>
      <c r="QMH40" s="899"/>
      <c r="QMI40" s="899"/>
      <c r="QMJ40" s="899"/>
      <c r="QMK40" s="899"/>
      <c r="QML40" s="899"/>
      <c r="QMM40" s="899"/>
      <c r="QMN40" s="899"/>
      <c r="QMO40" s="899"/>
      <c r="QMP40" s="899"/>
      <c r="QMQ40" s="899"/>
      <c r="QMR40" s="899"/>
      <c r="QMS40" s="899"/>
      <c r="QMT40" s="899"/>
      <c r="QMU40" s="899"/>
      <c r="QMV40" s="899"/>
      <c r="QMW40" s="899"/>
      <c r="QMX40" s="899"/>
      <c r="QMY40" s="899"/>
      <c r="QMZ40" s="899"/>
      <c r="QNA40" s="899"/>
      <c r="QNB40" s="899"/>
      <c r="QNC40" s="899"/>
      <c r="QND40" s="899"/>
      <c r="QNE40" s="899"/>
      <c r="QNF40" s="899"/>
      <c r="QNG40" s="899"/>
      <c r="QNH40" s="899"/>
      <c r="QNI40" s="899"/>
      <c r="QNJ40" s="899"/>
      <c r="QNK40" s="899"/>
      <c r="QNL40" s="899"/>
      <c r="QNM40" s="899"/>
      <c r="QNN40" s="899"/>
      <c r="QNO40" s="899"/>
      <c r="QNP40" s="899"/>
      <c r="QNQ40" s="899"/>
      <c r="QNR40" s="899"/>
      <c r="QNS40" s="899"/>
      <c r="QNT40" s="899"/>
      <c r="QNU40" s="899"/>
      <c r="QNV40" s="899"/>
      <c r="QNW40" s="899"/>
      <c r="QNX40" s="899"/>
      <c r="QNY40" s="899"/>
      <c r="QNZ40" s="899"/>
      <c r="QOA40" s="899"/>
      <c r="QOB40" s="899"/>
      <c r="QOC40" s="899"/>
      <c r="QOD40" s="899"/>
      <c r="QOE40" s="899"/>
      <c r="QOF40" s="899"/>
      <c r="QOG40" s="899"/>
      <c r="QOH40" s="899"/>
      <c r="QOI40" s="899"/>
      <c r="QOJ40" s="899"/>
      <c r="QOK40" s="899"/>
      <c r="QOL40" s="899"/>
      <c r="QOM40" s="899"/>
      <c r="QON40" s="899"/>
      <c r="QOO40" s="899"/>
      <c r="QOP40" s="899"/>
      <c r="QOQ40" s="899"/>
      <c r="QOR40" s="899"/>
      <c r="QOS40" s="899"/>
      <c r="QOT40" s="899"/>
      <c r="QOU40" s="899"/>
      <c r="QOV40" s="899"/>
      <c r="QOW40" s="899"/>
      <c r="QOX40" s="899"/>
      <c r="QOY40" s="899"/>
      <c r="QOZ40" s="899"/>
      <c r="QPA40" s="899"/>
      <c r="QPB40" s="899"/>
      <c r="QPC40" s="899"/>
      <c r="QPD40" s="899"/>
      <c r="QPE40" s="899"/>
      <c r="QPF40" s="899"/>
      <c r="QPG40" s="899"/>
      <c r="QPH40" s="899"/>
      <c r="QPI40" s="899"/>
      <c r="QPJ40" s="899"/>
      <c r="QPK40" s="899"/>
      <c r="QPL40" s="899"/>
      <c r="QPM40" s="899"/>
      <c r="QPN40" s="899"/>
      <c r="QPO40" s="899"/>
      <c r="QPP40" s="899"/>
      <c r="QPQ40" s="899"/>
      <c r="QPR40" s="899"/>
      <c r="QPS40" s="899"/>
      <c r="QPT40" s="899"/>
      <c r="QPU40" s="899"/>
      <c r="QPV40" s="899"/>
      <c r="QPW40" s="899"/>
      <c r="QPX40" s="899"/>
      <c r="QPY40" s="899"/>
      <c r="QPZ40" s="899"/>
      <c r="QQA40" s="899"/>
      <c r="QQB40" s="899"/>
      <c r="QQC40" s="899"/>
      <c r="QQD40" s="899"/>
      <c r="QQE40" s="899"/>
      <c r="QQF40" s="899"/>
      <c r="QQG40" s="899"/>
      <c r="QQH40" s="899"/>
      <c r="QQI40" s="899"/>
      <c r="QQJ40" s="899"/>
      <c r="QQK40" s="899"/>
      <c r="QQL40" s="899"/>
      <c r="QQM40" s="899"/>
      <c r="QQN40" s="899"/>
      <c r="QQO40" s="899"/>
      <c r="QQP40" s="899"/>
      <c r="QQQ40" s="899"/>
      <c r="QQR40" s="899"/>
      <c r="QQS40" s="899"/>
      <c r="QQT40" s="899"/>
      <c r="QQU40" s="899"/>
      <c r="QQV40" s="899"/>
      <c r="QQW40" s="899"/>
      <c r="QQX40" s="899"/>
      <c r="QQY40" s="899"/>
      <c r="QQZ40" s="899"/>
      <c r="QRA40" s="899"/>
      <c r="QRB40" s="899"/>
      <c r="QRC40" s="899"/>
      <c r="QRD40" s="899"/>
      <c r="QRE40" s="899"/>
      <c r="QRF40" s="899"/>
      <c r="QRG40" s="899"/>
      <c r="QRH40" s="899"/>
      <c r="QRI40" s="899"/>
      <c r="QRJ40" s="899"/>
      <c r="QRK40" s="899"/>
      <c r="QRL40" s="899"/>
      <c r="QRM40" s="899"/>
      <c r="QRN40" s="899"/>
      <c r="QRO40" s="899"/>
      <c r="QRP40" s="899"/>
      <c r="QRQ40" s="899"/>
      <c r="QRR40" s="899"/>
      <c r="QRS40" s="899"/>
      <c r="QRT40" s="899"/>
      <c r="QRU40" s="899"/>
      <c r="QRV40" s="899"/>
      <c r="QRW40" s="899"/>
      <c r="QRX40" s="899"/>
      <c r="QRY40" s="899"/>
      <c r="QRZ40" s="899"/>
      <c r="QSA40" s="899"/>
      <c r="QSB40" s="899"/>
      <c r="QSC40" s="899"/>
      <c r="QSD40" s="899"/>
      <c r="QSE40" s="899"/>
      <c r="QSF40" s="899"/>
      <c r="QSG40" s="899"/>
      <c r="QSH40" s="899"/>
      <c r="QSI40" s="899"/>
      <c r="QSJ40" s="899"/>
      <c r="QSK40" s="899"/>
      <c r="QSL40" s="899"/>
      <c r="QSM40" s="899"/>
      <c r="QSN40" s="899"/>
      <c r="QSO40" s="899"/>
      <c r="QSP40" s="899"/>
      <c r="QSQ40" s="899"/>
      <c r="QSR40" s="899"/>
      <c r="QSS40" s="899"/>
      <c r="QST40" s="899"/>
      <c r="QSU40" s="899"/>
      <c r="QSV40" s="899"/>
      <c r="QSW40" s="899"/>
      <c r="QSX40" s="899"/>
      <c r="QSY40" s="899"/>
      <c r="QSZ40" s="899"/>
      <c r="QTA40" s="899"/>
      <c r="QTB40" s="899"/>
      <c r="QTC40" s="899"/>
      <c r="QTD40" s="899"/>
      <c r="QTE40" s="899"/>
      <c r="QTF40" s="899"/>
      <c r="QTG40" s="899"/>
      <c r="QTH40" s="899"/>
      <c r="QTI40" s="899"/>
      <c r="QTJ40" s="899"/>
      <c r="QTK40" s="899"/>
      <c r="QTL40" s="899"/>
      <c r="QTM40" s="899"/>
      <c r="QTN40" s="899"/>
      <c r="QTO40" s="899"/>
      <c r="QTP40" s="899"/>
      <c r="QTQ40" s="899"/>
      <c r="QTR40" s="899"/>
      <c r="QTS40" s="899"/>
      <c r="QTT40" s="899"/>
      <c r="QTU40" s="899"/>
      <c r="QTV40" s="899"/>
      <c r="QTW40" s="899"/>
      <c r="QTX40" s="899"/>
      <c r="QTY40" s="899"/>
      <c r="QTZ40" s="899"/>
      <c r="QUA40" s="899"/>
      <c r="QUB40" s="899"/>
      <c r="QUC40" s="899"/>
      <c r="QUD40" s="899"/>
      <c r="QUE40" s="899"/>
      <c r="QUF40" s="899"/>
      <c r="QUG40" s="899"/>
      <c r="QUH40" s="899"/>
      <c r="QUI40" s="899"/>
      <c r="QUJ40" s="899"/>
      <c r="QUK40" s="899"/>
      <c r="QUL40" s="899"/>
      <c r="QUM40" s="899"/>
      <c r="QUN40" s="899"/>
      <c r="QUO40" s="899"/>
      <c r="QUP40" s="899"/>
      <c r="QUQ40" s="899"/>
      <c r="QUR40" s="899"/>
      <c r="QUS40" s="899"/>
      <c r="QUT40" s="899"/>
      <c r="QUU40" s="899"/>
      <c r="QUV40" s="899"/>
      <c r="QUW40" s="899"/>
      <c r="QUX40" s="899"/>
      <c r="QUY40" s="899"/>
      <c r="QUZ40" s="899"/>
      <c r="QVA40" s="899"/>
      <c r="QVB40" s="899"/>
      <c r="QVC40" s="899"/>
      <c r="QVD40" s="899"/>
      <c r="QVE40" s="899"/>
      <c r="QVF40" s="899"/>
      <c r="QVG40" s="899"/>
      <c r="QVH40" s="899"/>
      <c r="QVI40" s="899"/>
      <c r="QVJ40" s="899"/>
      <c r="QVK40" s="899"/>
      <c r="QVL40" s="899"/>
      <c r="QVM40" s="899"/>
      <c r="QVN40" s="899"/>
      <c r="QVO40" s="899"/>
      <c r="QVP40" s="899"/>
      <c r="QVQ40" s="899"/>
      <c r="QVR40" s="899"/>
      <c r="QVS40" s="899"/>
      <c r="QVT40" s="899"/>
      <c r="QVU40" s="899"/>
      <c r="QVV40" s="899"/>
      <c r="QVW40" s="899"/>
      <c r="QVX40" s="899"/>
      <c r="QVY40" s="899"/>
      <c r="QVZ40" s="899"/>
      <c r="QWA40" s="899"/>
      <c r="QWB40" s="899"/>
      <c r="QWC40" s="899"/>
      <c r="QWD40" s="899"/>
      <c r="QWE40" s="899"/>
      <c r="QWF40" s="899"/>
      <c r="QWG40" s="899"/>
      <c r="QWH40" s="899"/>
      <c r="QWI40" s="899"/>
      <c r="QWJ40" s="899"/>
      <c r="QWK40" s="899"/>
      <c r="QWL40" s="899"/>
      <c r="QWM40" s="899"/>
      <c r="QWN40" s="899"/>
      <c r="QWO40" s="899"/>
      <c r="QWP40" s="899"/>
      <c r="QWQ40" s="899"/>
      <c r="QWR40" s="899"/>
      <c r="QWS40" s="899"/>
      <c r="QWT40" s="899"/>
      <c r="QWU40" s="899"/>
      <c r="QWV40" s="899"/>
      <c r="QWW40" s="899"/>
      <c r="QWX40" s="899"/>
      <c r="QWY40" s="899"/>
      <c r="QWZ40" s="899"/>
      <c r="QXA40" s="899"/>
      <c r="QXB40" s="899"/>
      <c r="QXC40" s="899"/>
      <c r="QXD40" s="899"/>
      <c r="QXE40" s="899"/>
      <c r="QXF40" s="899"/>
      <c r="QXG40" s="899"/>
      <c r="QXH40" s="899"/>
      <c r="QXI40" s="899"/>
      <c r="QXJ40" s="899"/>
      <c r="QXK40" s="899"/>
      <c r="QXL40" s="899"/>
      <c r="QXM40" s="899"/>
      <c r="QXN40" s="899"/>
      <c r="QXO40" s="899"/>
      <c r="QXP40" s="899"/>
      <c r="QXQ40" s="899"/>
      <c r="QXR40" s="899"/>
      <c r="QXS40" s="899"/>
      <c r="QXT40" s="899"/>
      <c r="QXU40" s="899"/>
      <c r="QXV40" s="899"/>
      <c r="QXW40" s="899"/>
      <c r="QXX40" s="899"/>
      <c r="QXY40" s="899"/>
      <c r="QXZ40" s="899"/>
      <c r="QYA40" s="899"/>
      <c r="QYB40" s="899"/>
      <c r="QYC40" s="899"/>
      <c r="QYD40" s="899"/>
      <c r="QYE40" s="899"/>
      <c r="QYF40" s="899"/>
      <c r="QYG40" s="899"/>
      <c r="QYH40" s="899"/>
      <c r="QYI40" s="899"/>
      <c r="QYJ40" s="899"/>
      <c r="QYK40" s="899"/>
      <c r="QYL40" s="899"/>
      <c r="QYM40" s="899"/>
      <c r="QYN40" s="899"/>
      <c r="QYO40" s="899"/>
      <c r="QYP40" s="899"/>
      <c r="QYQ40" s="899"/>
      <c r="QYR40" s="899"/>
      <c r="QYS40" s="899"/>
      <c r="QYT40" s="899"/>
      <c r="QYU40" s="899"/>
      <c r="QYV40" s="899"/>
      <c r="QYW40" s="899"/>
      <c r="QYX40" s="899"/>
      <c r="QYY40" s="899"/>
      <c r="QYZ40" s="899"/>
      <c r="QZA40" s="899"/>
      <c r="QZB40" s="899"/>
      <c r="QZC40" s="899"/>
      <c r="QZD40" s="899"/>
      <c r="QZE40" s="899"/>
      <c r="QZF40" s="899"/>
      <c r="QZG40" s="899"/>
      <c r="QZH40" s="899"/>
      <c r="QZI40" s="899"/>
      <c r="QZJ40" s="899"/>
      <c r="QZK40" s="899"/>
      <c r="QZL40" s="899"/>
      <c r="QZM40" s="899"/>
      <c r="QZN40" s="899"/>
      <c r="QZO40" s="899"/>
      <c r="QZP40" s="899"/>
      <c r="QZQ40" s="899"/>
      <c r="QZR40" s="899"/>
      <c r="QZS40" s="899"/>
      <c r="QZT40" s="899"/>
      <c r="QZU40" s="899"/>
      <c r="QZV40" s="899"/>
      <c r="QZW40" s="899"/>
      <c r="QZX40" s="899"/>
      <c r="QZY40" s="899"/>
      <c r="QZZ40" s="899"/>
      <c r="RAA40" s="899"/>
      <c r="RAB40" s="899"/>
      <c r="RAC40" s="899"/>
      <c r="RAD40" s="899"/>
      <c r="RAE40" s="899"/>
      <c r="RAF40" s="899"/>
      <c r="RAG40" s="899"/>
      <c r="RAH40" s="899"/>
      <c r="RAI40" s="899"/>
      <c r="RAJ40" s="899"/>
      <c r="RAK40" s="899"/>
      <c r="RAL40" s="899"/>
      <c r="RAM40" s="899"/>
      <c r="RAN40" s="899"/>
      <c r="RAO40" s="899"/>
      <c r="RAP40" s="899"/>
      <c r="RAQ40" s="899"/>
      <c r="RAR40" s="899"/>
      <c r="RAS40" s="899"/>
      <c r="RAT40" s="899"/>
      <c r="RAU40" s="899"/>
      <c r="RAV40" s="899"/>
      <c r="RAW40" s="899"/>
      <c r="RAX40" s="899"/>
      <c r="RAY40" s="899"/>
      <c r="RAZ40" s="899"/>
      <c r="RBA40" s="899"/>
      <c r="RBB40" s="899"/>
      <c r="RBC40" s="899"/>
      <c r="RBD40" s="899"/>
      <c r="RBE40" s="899"/>
      <c r="RBF40" s="899"/>
      <c r="RBG40" s="899"/>
      <c r="RBH40" s="899"/>
      <c r="RBI40" s="899"/>
      <c r="RBJ40" s="899"/>
      <c r="RBK40" s="899"/>
      <c r="RBL40" s="899"/>
      <c r="RBM40" s="899"/>
      <c r="RBN40" s="899"/>
      <c r="RBO40" s="899"/>
      <c r="RBP40" s="899"/>
      <c r="RBQ40" s="899"/>
      <c r="RBR40" s="899"/>
      <c r="RBS40" s="899"/>
      <c r="RBT40" s="899"/>
      <c r="RBU40" s="899"/>
      <c r="RBV40" s="899"/>
      <c r="RBW40" s="899"/>
      <c r="RBX40" s="899"/>
      <c r="RBY40" s="899"/>
      <c r="RBZ40" s="899"/>
      <c r="RCA40" s="899"/>
      <c r="RCB40" s="899"/>
      <c r="RCC40" s="899"/>
      <c r="RCD40" s="899"/>
      <c r="RCE40" s="899"/>
      <c r="RCF40" s="899"/>
      <c r="RCG40" s="899"/>
      <c r="RCH40" s="899"/>
      <c r="RCI40" s="899"/>
      <c r="RCJ40" s="899"/>
      <c r="RCK40" s="899"/>
      <c r="RCL40" s="899"/>
      <c r="RCM40" s="899"/>
      <c r="RCN40" s="899"/>
      <c r="RCO40" s="899"/>
      <c r="RCP40" s="899"/>
      <c r="RCQ40" s="899"/>
      <c r="RCR40" s="899"/>
      <c r="RCS40" s="899"/>
      <c r="RCT40" s="899"/>
      <c r="RCU40" s="899"/>
      <c r="RCV40" s="899"/>
      <c r="RCW40" s="899"/>
      <c r="RCX40" s="899"/>
      <c r="RCY40" s="899"/>
      <c r="RCZ40" s="899"/>
      <c r="RDA40" s="899"/>
      <c r="RDB40" s="899"/>
      <c r="RDC40" s="899"/>
      <c r="RDD40" s="899"/>
      <c r="RDE40" s="899"/>
      <c r="RDF40" s="899"/>
      <c r="RDG40" s="899"/>
      <c r="RDH40" s="899"/>
      <c r="RDI40" s="899"/>
      <c r="RDJ40" s="899"/>
      <c r="RDK40" s="899"/>
      <c r="RDL40" s="899"/>
      <c r="RDM40" s="899"/>
      <c r="RDN40" s="899"/>
      <c r="RDO40" s="899"/>
      <c r="RDP40" s="899"/>
      <c r="RDQ40" s="899"/>
      <c r="RDR40" s="899"/>
      <c r="RDS40" s="899"/>
      <c r="RDT40" s="899"/>
      <c r="RDU40" s="899"/>
      <c r="RDV40" s="899"/>
      <c r="RDW40" s="899"/>
      <c r="RDX40" s="899"/>
      <c r="RDY40" s="899"/>
      <c r="RDZ40" s="899"/>
      <c r="REA40" s="899"/>
      <c r="REB40" s="899"/>
      <c r="REC40" s="899"/>
      <c r="RED40" s="899"/>
      <c r="REE40" s="899"/>
      <c r="REF40" s="899"/>
      <c r="REG40" s="899"/>
      <c r="REH40" s="899"/>
      <c r="REI40" s="899"/>
      <c r="REJ40" s="899"/>
      <c r="REK40" s="899"/>
      <c r="REL40" s="899"/>
      <c r="REM40" s="899"/>
      <c r="REN40" s="899"/>
      <c r="REO40" s="899"/>
      <c r="REP40" s="899"/>
      <c r="REQ40" s="899"/>
      <c r="RER40" s="899"/>
      <c r="RES40" s="899"/>
      <c r="RET40" s="899"/>
      <c r="REU40" s="899"/>
      <c r="REV40" s="899"/>
      <c r="REW40" s="899"/>
      <c r="REX40" s="899"/>
      <c r="REY40" s="899"/>
      <c r="REZ40" s="899"/>
      <c r="RFA40" s="899"/>
      <c r="RFB40" s="899"/>
      <c r="RFC40" s="899"/>
      <c r="RFD40" s="899"/>
      <c r="RFE40" s="899"/>
      <c r="RFF40" s="899"/>
      <c r="RFG40" s="899"/>
      <c r="RFH40" s="899"/>
      <c r="RFI40" s="899"/>
      <c r="RFJ40" s="899"/>
      <c r="RFK40" s="899"/>
      <c r="RFL40" s="899"/>
      <c r="RFM40" s="899"/>
      <c r="RFN40" s="899"/>
      <c r="RFO40" s="899"/>
      <c r="RFP40" s="899"/>
      <c r="RFQ40" s="899"/>
      <c r="RFR40" s="899"/>
      <c r="RFS40" s="899"/>
      <c r="RFT40" s="899"/>
      <c r="RFU40" s="899"/>
      <c r="RFV40" s="899"/>
      <c r="RFW40" s="899"/>
      <c r="RFX40" s="899"/>
      <c r="RFY40" s="899"/>
      <c r="RFZ40" s="899"/>
      <c r="RGA40" s="899"/>
      <c r="RGB40" s="899"/>
      <c r="RGC40" s="899"/>
      <c r="RGD40" s="899"/>
      <c r="RGE40" s="899"/>
      <c r="RGF40" s="899"/>
      <c r="RGG40" s="899"/>
      <c r="RGH40" s="899"/>
      <c r="RGI40" s="899"/>
      <c r="RGJ40" s="899"/>
      <c r="RGK40" s="899"/>
      <c r="RGL40" s="899"/>
      <c r="RGM40" s="899"/>
      <c r="RGN40" s="899"/>
      <c r="RGO40" s="899"/>
      <c r="RGP40" s="899"/>
      <c r="RGQ40" s="899"/>
      <c r="RGR40" s="899"/>
      <c r="RGS40" s="899"/>
      <c r="RGT40" s="899"/>
      <c r="RGU40" s="899"/>
      <c r="RGV40" s="899"/>
      <c r="RGW40" s="899"/>
      <c r="RGX40" s="899"/>
      <c r="RGY40" s="899"/>
      <c r="RGZ40" s="899"/>
      <c r="RHA40" s="899"/>
      <c r="RHB40" s="899"/>
      <c r="RHC40" s="899"/>
      <c r="RHD40" s="899"/>
      <c r="RHE40" s="899"/>
      <c r="RHF40" s="899"/>
      <c r="RHG40" s="899"/>
      <c r="RHH40" s="899"/>
      <c r="RHI40" s="899"/>
      <c r="RHJ40" s="899"/>
      <c r="RHK40" s="899"/>
      <c r="RHL40" s="899"/>
      <c r="RHM40" s="899"/>
      <c r="RHN40" s="899"/>
      <c r="RHO40" s="899"/>
      <c r="RHP40" s="899"/>
      <c r="RHQ40" s="899"/>
      <c r="RHR40" s="899"/>
      <c r="RHS40" s="899"/>
      <c r="RHT40" s="899"/>
      <c r="RHU40" s="899"/>
      <c r="RHV40" s="899"/>
      <c r="RHW40" s="899"/>
      <c r="RHX40" s="899"/>
      <c r="RHY40" s="899"/>
      <c r="RHZ40" s="899"/>
      <c r="RIA40" s="899"/>
      <c r="RIB40" s="899"/>
      <c r="RIC40" s="899"/>
      <c r="RID40" s="899"/>
      <c r="RIE40" s="899"/>
      <c r="RIF40" s="899"/>
      <c r="RIG40" s="899"/>
      <c r="RIH40" s="899"/>
      <c r="RII40" s="899"/>
      <c r="RIJ40" s="899"/>
      <c r="RIK40" s="899"/>
      <c r="RIL40" s="899"/>
      <c r="RIM40" s="899"/>
      <c r="RIN40" s="899"/>
      <c r="RIO40" s="899"/>
      <c r="RIP40" s="899"/>
      <c r="RIQ40" s="899"/>
      <c r="RIR40" s="899"/>
      <c r="RIS40" s="899"/>
      <c r="RIT40" s="899"/>
      <c r="RIU40" s="899"/>
      <c r="RIV40" s="899"/>
      <c r="RIW40" s="899"/>
      <c r="RIX40" s="899"/>
      <c r="RIY40" s="899"/>
      <c r="RIZ40" s="899"/>
      <c r="RJA40" s="899"/>
      <c r="RJB40" s="899"/>
      <c r="RJC40" s="899"/>
      <c r="RJD40" s="899"/>
      <c r="RJE40" s="899"/>
      <c r="RJF40" s="899"/>
      <c r="RJG40" s="899"/>
      <c r="RJH40" s="899"/>
      <c r="RJI40" s="899"/>
      <c r="RJJ40" s="899"/>
      <c r="RJK40" s="899"/>
      <c r="RJL40" s="899"/>
      <c r="RJM40" s="899"/>
      <c r="RJN40" s="899"/>
      <c r="RJO40" s="899"/>
      <c r="RJP40" s="899"/>
      <c r="RJQ40" s="899"/>
      <c r="RJR40" s="899"/>
      <c r="RJS40" s="899"/>
      <c r="RJT40" s="899"/>
      <c r="RJU40" s="899"/>
      <c r="RJV40" s="899"/>
      <c r="RJW40" s="899"/>
      <c r="RJX40" s="899"/>
      <c r="RJY40" s="899"/>
      <c r="RJZ40" s="899"/>
      <c r="RKA40" s="899"/>
      <c r="RKB40" s="899"/>
      <c r="RKC40" s="899"/>
      <c r="RKD40" s="899"/>
      <c r="RKE40" s="899"/>
      <c r="RKF40" s="899"/>
      <c r="RKG40" s="899"/>
      <c r="RKH40" s="899"/>
      <c r="RKI40" s="899"/>
      <c r="RKJ40" s="899"/>
      <c r="RKK40" s="899"/>
      <c r="RKL40" s="899"/>
      <c r="RKM40" s="899"/>
      <c r="RKN40" s="899"/>
      <c r="RKO40" s="899"/>
      <c r="RKP40" s="899"/>
      <c r="RKQ40" s="899"/>
      <c r="RKR40" s="899"/>
      <c r="RKS40" s="899"/>
      <c r="RKT40" s="899"/>
      <c r="RKU40" s="899"/>
      <c r="RKV40" s="899"/>
      <c r="RKW40" s="899"/>
      <c r="RKX40" s="899"/>
      <c r="RKY40" s="899"/>
      <c r="RKZ40" s="899"/>
      <c r="RLA40" s="899"/>
      <c r="RLB40" s="899"/>
      <c r="RLC40" s="899"/>
      <c r="RLD40" s="899"/>
      <c r="RLE40" s="899"/>
      <c r="RLF40" s="899"/>
      <c r="RLG40" s="899"/>
      <c r="RLH40" s="899"/>
      <c r="RLI40" s="899"/>
      <c r="RLJ40" s="899"/>
      <c r="RLK40" s="899"/>
      <c r="RLL40" s="899"/>
      <c r="RLM40" s="899"/>
      <c r="RLN40" s="899"/>
      <c r="RLO40" s="899"/>
      <c r="RLP40" s="899"/>
      <c r="RLQ40" s="899"/>
      <c r="RLR40" s="899"/>
      <c r="RLS40" s="899"/>
      <c r="RLT40" s="899"/>
      <c r="RLU40" s="899"/>
      <c r="RLV40" s="899"/>
      <c r="RLW40" s="899"/>
      <c r="RLX40" s="899"/>
      <c r="RLY40" s="899"/>
      <c r="RLZ40" s="899"/>
      <c r="RMA40" s="899"/>
      <c r="RMB40" s="899"/>
      <c r="RMC40" s="899"/>
      <c r="RMD40" s="899"/>
      <c r="RME40" s="899"/>
      <c r="RMF40" s="899"/>
      <c r="RMG40" s="899"/>
      <c r="RMH40" s="899"/>
      <c r="RMI40" s="899"/>
      <c r="RMJ40" s="899"/>
      <c r="RMK40" s="899"/>
      <c r="RML40" s="899"/>
      <c r="RMM40" s="899"/>
      <c r="RMN40" s="899"/>
      <c r="RMO40" s="899"/>
      <c r="RMP40" s="899"/>
      <c r="RMQ40" s="899"/>
      <c r="RMR40" s="899"/>
      <c r="RMS40" s="899"/>
      <c r="RMT40" s="899"/>
      <c r="RMU40" s="899"/>
      <c r="RMV40" s="899"/>
      <c r="RMW40" s="899"/>
      <c r="RMX40" s="899"/>
      <c r="RMY40" s="899"/>
      <c r="RMZ40" s="899"/>
      <c r="RNA40" s="899"/>
      <c r="RNB40" s="899"/>
      <c r="RNC40" s="899"/>
      <c r="RND40" s="899"/>
      <c r="RNE40" s="899"/>
      <c r="RNF40" s="899"/>
      <c r="RNG40" s="899"/>
      <c r="RNH40" s="899"/>
      <c r="RNI40" s="899"/>
      <c r="RNJ40" s="899"/>
      <c r="RNK40" s="899"/>
      <c r="RNL40" s="899"/>
      <c r="RNM40" s="899"/>
      <c r="RNN40" s="899"/>
      <c r="RNO40" s="899"/>
      <c r="RNP40" s="899"/>
      <c r="RNQ40" s="899"/>
      <c r="RNR40" s="899"/>
      <c r="RNS40" s="899"/>
      <c r="RNT40" s="899"/>
      <c r="RNU40" s="899"/>
      <c r="RNV40" s="899"/>
      <c r="RNW40" s="899"/>
      <c r="RNX40" s="899"/>
      <c r="RNY40" s="899"/>
      <c r="RNZ40" s="899"/>
      <c r="ROA40" s="899"/>
      <c r="ROB40" s="899"/>
      <c r="ROC40" s="899"/>
      <c r="ROD40" s="899"/>
      <c r="ROE40" s="899"/>
      <c r="ROF40" s="899"/>
      <c r="ROG40" s="899"/>
      <c r="ROH40" s="899"/>
      <c r="ROI40" s="899"/>
      <c r="ROJ40" s="899"/>
      <c r="ROK40" s="899"/>
      <c r="ROL40" s="899"/>
      <c r="ROM40" s="899"/>
      <c r="RON40" s="899"/>
      <c r="ROO40" s="899"/>
      <c r="ROP40" s="899"/>
      <c r="ROQ40" s="899"/>
      <c r="ROR40" s="899"/>
      <c r="ROS40" s="899"/>
      <c r="ROT40" s="899"/>
      <c r="ROU40" s="899"/>
      <c r="ROV40" s="899"/>
      <c r="ROW40" s="899"/>
      <c r="ROX40" s="899"/>
      <c r="ROY40" s="899"/>
      <c r="ROZ40" s="899"/>
      <c r="RPA40" s="899"/>
      <c r="RPB40" s="899"/>
      <c r="RPC40" s="899"/>
      <c r="RPD40" s="899"/>
      <c r="RPE40" s="899"/>
      <c r="RPF40" s="899"/>
      <c r="RPG40" s="899"/>
      <c r="RPH40" s="899"/>
      <c r="RPI40" s="899"/>
      <c r="RPJ40" s="899"/>
      <c r="RPK40" s="899"/>
      <c r="RPL40" s="899"/>
      <c r="RPM40" s="899"/>
      <c r="RPN40" s="899"/>
      <c r="RPO40" s="899"/>
      <c r="RPP40" s="899"/>
      <c r="RPQ40" s="899"/>
      <c r="RPR40" s="899"/>
      <c r="RPS40" s="899"/>
      <c r="RPT40" s="899"/>
      <c r="RPU40" s="899"/>
      <c r="RPV40" s="899"/>
      <c r="RPW40" s="899"/>
      <c r="RPX40" s="899"/>
      <c r="RPY40" s="899"/>
      <c r="RPZ40" s="899"/>
      <c r="RQA40" s="899"/>
      <c r="RQB40" s="899"/>
      <c r="RQC40" s="899"/>
      <c r="RQD40" s="899"/>
      <c r="RQE40" s="899"/>
      <c r="RQF40" s="899"/>
      <c r="RQG40" s="899"/>
      <c r="RQH40" s="899"/>
      <c r="RQI40" s="899"/>
      <c r="RQJ40" s="899"/>
      <c r="RQK40" s="899"/>
      <c r="RQL40" s="899"/>
      <c r="RQM40" s="899"/>
      <c r="RQN40" s="899"/>
      <c r="RQO40" s="899"/>
      <c r="RQP40" s="899"/>
      <c r="RQQ40" s="899"/>
      <c r="RQR40" s="899"/>
      <c r="RQS40" s="899"/>
      <c r="RQT40" s="899"/>
      <c r="RQU40" s="899"/>
      <c r="RQV40" s="899"/>
      <c r="RQW40" s="899"/>
      <c r="RQX40" s="899"/>
      <c r="RQY40" s="899"/>
      <c r="RQZ40" s="899"/>
      <c r="RRA40" s="899"/>
      <c r="RRB40" s="899"/>
      <c r="RRC40" s="899"/>
      <c r="RRD40" s="899"/>
      <c r="RRE40" s="899"/>
      <c r="RRF40" s="899"/>
      <c r="RRG40" s="899"/>
      <c r="RRH40" s="899"/>
      <c r="RRI40" s="899"/>
      <c r="RRJ40" s="899"/>
      <c r="RRK40" s="899"/>
      <c r="RRL40" s="899"/>
      <c r="RRM40" s="899"/>
      <c r="RRN40" s="899"/>
      <c r="RRO40" s="899"/>
      <c r="RRP40" s="899"/>
      <c r="RRQ40" s="899"/>
      <c r="RRR40" s="899"/>
      <c r="RRS40" s="899"/>
      <c r="RRT40" s="899"/>
      <c r="RRU40" s="899"/>
      <c r="RRV40" s="899"/>
      <c r="RRW40" s="899"/>
      <c r="RRX40" s="899"/>
      <c r="RRY40" s="899"/>
      <c r="RRZ40" s="899"/>
      <c r="RSA40" s="899"/>
      <c r="RSB40" s="899"/>
      <c r="RSC40" s="899"/>
      <c r="RSD40" s="899"/>
      <c r="RSE40" s="899"/>
      <c r="RSF40" s="899"/>
      <c r="RSG40" s="899"/>
      <c r="RSH40" s="899"/>
      <c r="RSI40" s="899"/>
      <c r="RSJ40" s="899"/>
      <c r="RSK40" s="899"/>
      <c r="RSL40" s="899"/>
      <c r="RSM40" s="899"/>
      <c r="RSN40" s="899"/>
      <c r="RSO40" s="899"/>
      <c r="RSP40" s="899"/>
      <c r="RSQ40" s="899"/>
      <c r="RSR40" s="899"/>
      <c r="RSS40" s="899"/>
      <c r="RST40" s="899"/>
      <c r="RSU40" s="899"/>
      <c r="RSV40" s="899"/>
      <c r="RSW40" s="899"/>
      <c r="RSX40" s="899"/>
      <c r="RSY40" s="899"/>
      <c r="RSZ40" s="899"/>
      <c r="RTA40" s="899"/>
      <c r="RTB40" s="899"/>
      <c r="RTC40" s="899"/>
      <c r="RTD40" s="899"/>
      <c r="RTE40" s="899"/>
      <c r="RTF40" s="899"/>
      <c r="RTG40" s="899"/>
      <c r="RTH40" s="899"/>
      <c r="RTI40" s="899"/>
      <c r="RTJ40" s="899"/>
      <c r="RTK40" s="899"/>
      <c r="RTL40" s="899"/>
      <c r="RTM40" s="899"/>
      <c r="RTN40" s="899"/>
      <c r="RTO40" s="899"/>
      <c r="RTP40" s="899"/>
      <c r="RTQ40" s="899"/>
      <c r="RTR40" s="899"/>
      <c r="RTS40" s="899"/>
      <c r="RTT40" s="899"/>
      <c r="RTU40" s="899"/>
      <c r="RTV40" s="899"/>
      <c r="RTW40" s="899"/>
      <c r="RTX40" s="899"/>
      <c r="RTY40" s="899"/>
      <c r="RTZ40" s="899"/>
      <c r="RUA40" s="899"/>
      <c r="RUB40" s="899"/>
      <c r="RUC40" s="899"/>
      <c r="RUD40" s="899"/>
      <c r="RUE40" s="899"/>
      <c r="RUF40" s="899"/>
      <c r="RUG40" s="899"/>
      <c r="RUH40" s="899"/>
      <c r="RUI40" s="899"/>
      <c r="RUJ40" s="899"/>
      <c r="RUK40" s="899"/>
      <c r="RUL40" s="899"/>
      <c r="RUM40" s="899"/>
      <c r="RUN40" s="899"/>
      <c r="RUO40" s="899"/>
      <c r="RUP40" s="899"/>
      <c r="RUQ40" s="899"/>
      <c r="RUR40" s="899"/>
      <c r="RUS40" s="899"/>
      <c r="RUT40" s="899"/>
      <c r="RUU40" s="899"/>
      <c r="RUV40" s="899"/>
      <c r="RUW40" s="899"/>
      <c r="RUX40" s="899"/>
      <c r="RUY40" s="899"/>
      <c r="RUZ40" s="899"/>
      <c r="RVA40" s="899"/>
      <c r="RVB40" s="899"/>
      <c r="RVC40" s="899"/>
      <c r="RVD40" s="899"/>
      <c r="RVE40" s="899"/>
      <c r="RVF40" s="899"/>
      <c r="RVG40" s="899"/>
      <c r="RVH40" s="899"/>
      <c r="RVI40" s="899"/>
      <c r="RVJ40" s="899"/>
      <c r="RVK40" s="899"/>
      <c r="RVL40" s="899"/>
      <c r="RVM40" s="899"/>
      <c r="RVN40" s="899"/>
      <c r="RVO40" s="899"/>
      <c r="RVP40" s="899"/>
      <c r="RVQ40" s="899"/>
      <c r="RVR40" s="899"/>
      <c r="RVS40" s="899"/>
      <c r="RVT40" s="899"/>
      <c r="RVU40" s="899"/>
      <c r="RVV40" s="899"/>
      <c r="RVW40" s="899"/>
      <c r="RVX40" s="899"/>
      <c r="RVY40" s="899"/>
      <c r="RVZ40" s="899"/>
      <c r="RWA40" s="899"/>
      <c r="RWB40" s="899"/>
      <c r="RWC40" s="899"/>
      <c r="RWD40" s="899"/>
      <c r="RWE40" s="899"/>
      <c r="RWF40" s="899"/>
      <c r="RWG40" s="899"/>
      <c r="RWH40" s="899"/>
      <c r="RWI40" s="899"/>
      <c r="RWJ40" s="899"/>
      <c r="RWK40" s="899"/>
      <c r="RWL40" s="899"/>
      <c r="RWM40" s="899"/>
      <c r="RWN40" s="899"/>
      <c r="RWO40" s="899"/>
      <c r="RWP40" s="899"/>
      <c r="RWQ40" s="899"/>
      <c r="RWR40" s="899"/>
      <c r="RWS40" s="899"/>
      <c r="RWT40" s="899"/>
      <c r="RWU40" s="899"/>
      <c r="RWV40" s="899"/>
      <c r="RWW40" s="899"/>
      <c r="RWX40" s="899"/>
      <c r="RWY40" s="899"/>
      <c r="RWZ40" s="899"/>
      <c r="RXA40" s="899"/>
      <c r="RXB40" s="899"/>
      <c r="RXC40" s="899"/>
      <c r="RXD40" s="899"/>
      <c r="RXE40" s="899"/>
      <c r="RXF40" s="899"/>
      <c r="RXG40" s="899"/>
      <c r="RXH40" s="899"/>
      <c r="RXI40" s="899"/>
      <c r="RXJ40" s="899"/>
      <c r="RXK40" s="899"/>
      <c r="RXL40" s="899"/>
      <c r="RXM40" s="899"/>
      <c r="RXN40" s="899"/>
      <c r="RXO40" s="899"/>
      <c r="RXP40" s="899"/>
      <c r="RXQ40" s="899"/>
      <c r="RXR40" s="899"/>
      <c r="RXS40" s="899"/>
      <c r="RXT40" s="899"/>
      <c r="RXU40" s="899"/>
      <c r="RXV40" s="899"/>
      <c r="RXW40" s="899"/>
      <c r="RXX40" s="899"/>
      <c r="RXY40" s="899"/>
      <c r="RXZ40" s="899"/>
      <c r="RYA40" s="899"/>
      <c r="RYB40" s="899"/>
      <c r="RYC40" s="899"/>
      <c r="RYD40" s="899"/>
      <c r="RYE40" s="899"/>
      <c r="RYF40" s="899"/>
      <c r="RYG40" s="899"/>
      <c r="RYH40" s="899"/>
      <c r="RYI40" s="899"/>
      <c r="RYJ40" s="899"/>
      <c r="RYK40" s="899"/>
      <c r="RYL40" s="899"/>
      <c r="RYM40" s="899"/>
      <c r="RYN40" s="899"/>
      <c r="RYO40" s="899"/>
      <c r="RYP40" s="899"/>
      <c r="RYQ40" s="899"/>
      <c r="RYR40" s="899"/>
      <c r="RYS40" s="899"/>
      <c r="RYT40" s="899"/>
      <c r="RYU40" s="899"/>
      <c r="RYV40" s="899"/>
      <c r="RYW40" s="899"/>
      <c r="RYX40" s="899"/>
      <c r="RYY40" s="899"/>
      <c r="RYZ40" s="899"/>
      <c r="RZA40" s="899"/>
      <c r="RZB40" s="899"/>
      <c r="RZC40" s="899"/>
      <c r="RZD40" s="899"/>
      <c r="RZE40" s="899"/>
      <c r="RZF40" s="899"/>
      <c r="RZG40" s="899"/>
      <c r="RZH40" s="899"/>
      <c r="RZI40" s="899"/>
      <c r="RZJ40" s="899"/>
      <c r="RZK40" s="899"/>
      <c r="RZL40" s="899"/>
      <c r="RZM40" s="899"/>
      <c r="RZN40" s="899"/>
      <c r="RZO40" s="899"/>
      <c r="RZP40" s="899"/>
      <c r="RZQ40" s="899"/>
      <c r="RZR40" s="899"/>
      <c r="RZS40" s="899"/>
      <c r="RZT40" s="899"/>
      <c r="RZU40" s="899"/>
      <c r="RZV40" s="899"/>
      <c r="RZW40" s="899"/>
      <c r="RZX40" s="899"/>
      <c r="RZY40" s="899"/>
      <c r="RZZ40" s="899"/>
      <c r="SAA40" s="899"/>
      <c r="SAB40" s="899"/>
      <c r="SAC40" s="899"/>
      <c r="SAD40" s="899"/>
      <c r="SAE40" s="899"/>
      <c r="SAF40" s="899"/>
      <c r="SAG40" s="899"/>
      <c r="SAH40" s="899"/>
      <c r="SAI40" s="899"/>
      <c r="SAJ40" s="899"/>
      <c r="SAK40" s="899"/>
      <c r="SAL40" s="899"/>
      <c r="SAM40" s="899"/>
      <c r="SAN40" s="899"/>
      <c r="SAO40" s="899"/>
      <c r="SAP40" s="899"/>
      <c r="SAQ40" s="899"/>
      <c r="SAR40" s="899"/>
      <c r="SAS40" s="899"/>
      <c r="SAT40" s="899"/>
      <c r="SAU40" s="899"/>
      <c r="SAV40" s="899"/>
      <c r="SAW40" s="899"/>
      <c r="SAX40" s="899"/>
      <c r="SAY40" s="899"/>
      <c r="SAZ40" s="899"/>
      <c r="SBA40" s="899"/>
      <c r="SBB40" s="899"/>
      <c r="SBC40" s="899"/>
      <c r="SBD40" s="899"/>
      <c r="SBE40" s="899"/>
      <c r="SBF40" s="899"/>
      <c r="SBG40" s="899"/>
      <c r="SBH40" s="899"/>
      <c r="SBI40" s="899"/>
      <c r="SBJ40" s="899"/>
      <c r="SBK40" s="899"/>
      <c r="SBL40" s="899"/>
      <c r="SBM40" s="899"/>
      <c r="SBN40" s="899"/>
      <c r="SBO40" s="899"/>
      <c r="SBP40" s="899"/>
      <c r="SBQ40" s="899"/>
      <c r="SBR40" s="899"/>
      <c r="SBS40" s="899"/>
      <c r="SBT40" s="899"/>
      <c r="SBU40" s="899"/>
      <c r="SBV40" s="899"/>
      <c r="SBW40" s="899"/>
      <c r="SBX40" s="899"/>
      <c r="SBY40" s="899"/>
      <c r="SBZ40" s="899"/>
      <c r="SCA40" s="899"/>
      <c r="SCB40" s="899"/>
      <c r="SCC40" s="899"/>
      <c r="SCD40" s="899"/>
      <c r="SCE40" s="899"/>
      <c r="SCF40" s="899"/>
      <c r="SCG40" s="899"/>
      <c r="SCH40" s="899"/>
      <c r="SCI40" s="899"/>
      <c r="SCJ40" s="899"/>
      <c r="SCK40" s="899"/>
      <c r="SCL40" s="899"/>
      <c r="SCM40" s="899"/>
      <c r="SCN40" s="899"/>
      <c r="SCO40" s="899"/>
      <c r="SCP40" s="899"/>
      <c r="SCQ40" s="899"/>
      <c r="SCR40" s="899"/>
      <c r="SCS40" s="899"/>
      <c r="SCT40" s="899"/>
      <c r="SCU40" s="899"/>
      <c r="SCV40" s="899"/>
      <c r="SCW40" s="899"/>
      <c r="SCX40" s="899"/>
      <c r="SCY40" s="899"/>
      <c r="SCZ40" s="899"/>
      <c r="SDA40" s="899"/>
      <c r="SDB40" s="899"/>
      <c r="SDC40" s="899"/>
      <c r="SDD40" s="899"/>
      <c r="SDE40" s="899"/>
      <c r="SDF40" s="899"/>
      <c r="SDG40" s="899"/>
      <c r="SDH40" s="899"/>
      <c r="SDI40" s="899"/>
      <c r="SDJ40" s="899"/>
      <c r="SDK40" s="899"/>
      <c r="SDL40" s="899"/>
      <c r="SDM40" s="899"/>
      <c r="SDN40" s="899"/>
      <c r="SDO40" s="899"/>
      <c r="SDP40" s="899"/>
      <c r="SDQ40" s="899"/>
      <c r="SDR40" s="899"/>
      <c r="SDS40" s="899"/>
      <c r="SDT40" s="899"/>
      <c r="SDU40" s="899"/>
      <c r="SDV40" s="899"/>
      <c r="SDW40" s="899"/>
      <c r="SDX40" s="899"/>
      <c r="SDY40" s="899"/>
      <c r="SDZ40" s="899"/>
      <c r="SEA40" s="899"/>
      <c r="SEB40" s="899"/>
      <c r="SEC40" s="899"/>
      <c r="SED40" s="899"/>
      <c r="SEE40" s="899"/>
      <c r="SEF40" s="899"/>
      <c r="SEG40" s="899"/>
      <c r="SEH40" s="899"/>
      <c r="SEI40" s="899"/>
      <c r="SEJ40" s="899"/>
      <c r="SEK40" s="899"/>
      <c r="SEL40" s="899"/>
      <c r="SEM40" s="899"/>
      <c r="SEN40" s="899"/>
      <c r="SEO40" s="899"/>
      <c r="SEP40" s="899"/>
      <c r="SEQ40" s="899"/>
      <c r="SER40" s="899"/>
      <c r="SES40" s="899"/>
      <c r="SET40" s="899"/>
      <c r="SEU40" s="899"/>
      <c r="SEV40" s="899"/>
      <c r="SEW40" s="899"/>
      <c r="SEX40" s="899"/>
      <c r="SEY40" s="899"/>
      <c r="SEZ40" s="899"/>
      <c r="SFA40" s="899"/>
      <c r="SFB40" s="899"/>
      <c r="SFC40" s="899"/>
      <c r="SFD40" s="899"/>
      <c r="SFE40" s="899"/>
      <c r="SFF40" s="899"/>
      <c r="SFG40" s="899"/>
      <c r="SFH40" s="899"/>
      <c r="SFI40" s="899"/>
      <c r="SFJ40" s="899"/>
      <c r="SFK40" s="899"/>
      <c r="SFL40" s="899"/>
      <c r="SFM40" s="899"/>
      <c r="SFN40" s="899"/>
      <c r="SFO40" s="899"/>
      <c r="SFP40" s="899"/>
      <c r="SFQ40" s="899"/>
      <c r="SFR40" s="899"/>
      <c r="SFS40" s="899"/>
      <c r="SFT40" s="899"/>
      <c r="SFU40" s="899"/>
      <c r="SFV40" s="899"/>
      <c r="SFW40" s="899"/>
      <c r="SFX40" s="899"/>
      <c r="SFY40" s="899"/>
      <c r="SFZ40" s="899"/>
      <c r="SGA40" s="899"/>
      <c r="SGB40" s="899"/>
      <c r="SGC40" s="899"/>
      <c r="SGD40" s="899"/>
      <c r="SGE40" s="899"/>
      <c r="SGF40" s="899"/>
      <c r="SGG40" s="899"/>
      <c r="SGH40" s="899"/>
      <c r="SGI40" s="899"/>
      <c r="SGJ40" s="899"/>
      <c r="SGK40" s="899"/>
      <c r="SGL40" s="899"/>
      <c r="SGM40" s="899"/>
      <c r="SGN40" s="899"/>
      <c r="SGO40" s="899"/>
      <c r="SGP40" s="899"/>
      <c r="SGQ40" s="899"/>
      <c r="SGR40" s="899"/>
      <c r="SGS40" s="899"/>
      <c r="SGT40" s="899"/>
      <c r="SGU40" s="899"/>
      <c r="SGV40" s="899"/>
      <c r="SGW40" s="899"/>
      <c r="SGX40" s="899"/>
      <c r="SGY40" s="899"/>
      <c r="SGZ40" s="899"/>
      <c r="SHA40" s="899"/>
      <c r="SHB40" s="899"/>
      <c r="SHC40" s="899"/>
      <c r="SHD40" s="899"/>
      <c r="SHE40" s="899"/>
      <c r="SHF40" s="899"/>
      <c r="SHG40" s="899"/>
      <c r="SHH40" s="899"/>
      <c r="SHI40" s="899"/>
      <c r="SHJ40" s="899"/>
      <c r="SHK40" s="899"/>
      <c r="SHL40" s="899"/>
      <c r="SHM40" s="899"/>
      <c r="SHN40" s="899"/>
      <c r="SHO40" s="899"/>
      <c r="SHP40" s="899"/>
      <c r="SHQ40" s="899"/>
      <c r="SHR40" s="899"/>
      <c r="SHS40" s="899"/>
      <c r="SHT40" s="899"/>
      <c r="SHU40" s="899"/>
      <c r="SHV40" s="899"/>
      <c r="SHW40" s="899"/>
      <c r="SHX40" s="899"/>
      <c r="SHY40" s="899"/>
      <c r="SHZ40" s="899"/>
      <c r="SIA40" s="899"/>
      <c r="SIB40" s="899"/>
      <c r="SIC40" s="899"/>
      <c r="SID40" s="899"/>
      <c r="SIE40" s="899"/>
      <c r="SIF40" s="899"/>
      <c r="SIG40" s="899"/>
      <c r="SIH40" s="899"/>
      <c r="SII40" s="899"/>
      <c r="SIJ40" s="899"/>
      <c r="SIK40" s="899"/>
      <c r="SIL40" s="899"/>
      <c r="SIM40" s="899"/>
      <c r="SIN40" s="899"/>
      <c r="SIO40" s="899"/>
      <c r="SIP40" s="899"/>
      <c r="SIQ40" s="899"/>
      <c r="SIR40" s="899"/>
      <c r="SIS40" s="899"/>
      <c r="SIT40" s="899"/>
      <c r="SIU40" s="899"/>
      <c r="SIV40" s="899"/>
      <c r="SIW40" s="899"/>
      <c r="SIX40" s="899"/>
      <c r="SIY40" s="899"/>
      <c r="SIZ40" s="899"/>
      <c r="SJA40" s="899"/>
      <c r="SJB40" s="899"/>
      <c r="SJC40" s="899"/>
      <c r="SJD40" s="899"/>
      <c r="SJE40" s="899"/>
      <c r="SJF40" s="899"/>
      <c r="SJG40" s="899"/>
      <c r="SJH40" s="899"/>
      <c r="SJI40" s="899"/>
      <c r="SJJ40" s="899"/>
      <c r="SJK40" s="899"/>
      <c r="SJL40" s="899"/>
      <c r="SJM40" s="899"/>
      <c r="SJN40" s="899"/>
      <c r="SJO40" s="899"/>
      <c r="SJP40" s="899"/>
      <c r="SJQ40" s="899"/>
      <c r="SJR40" s="899"/>
      <c r="SJS40" s="899"/>
      <c r="SJT40" s="899"/>
      <c r="SJU40" s="899"/>
      <c r="SJV40" s="899"/>
      <c r="SJW40" s="899"/>
      <c r="SJX40" s="899"/>
      <c r="SJY40" s="899"/>
      <c r="SJZ40" s="899"/>
      <c r="SKA40" s="899"/>
      <c r="SKB40" s="899"/>
      <c r="SKC40" s="899"/>
      <c r="SKD40" s="899"/>
      <c r="SKE40" s="899"/>
      <c r="SKF40" s="899"/>
      <c r="SKG40" s="899"/>
      <c r="SKH40" s="899"/>
      <c r="SKI40" s="899"/>
      <c r="SKJ40" s="899"/>
      <c r="SKK40" s="899"/>
      <c r="SKL40" s="899"/>
      <c r="SKM40" s="899"/>
      <c r="SKN40" s="899"/>
      <c r="SKO40" s="899"/>
      <c r="SKP40" s="899"/>
      <c r="SKQ40" s="899"/>
      <c r="SKR40" s="899"/>
      <c r="SKS40" s="899"/>
      <c r="SKT40" s="899"/>
      <c r="SKU40" s="899"/>
      <c r="SKV40" s="899"/>
      <c r="SKW40" s="899"/>
      <c r="SKX40" s="899"/>
      <c r="SKY40" s="899"/>
      <c r="SKZ40" s="899"/>
      <c r="SLA40" s="899"/>
      <c r="SLB40" s="899"/>
      <c r="SLC40" s="899"/>
      <c r="SLD40" s="899"/>
      <c r="SLE40" s="899"/>
      <c r="SLF40" s="899"/>
      <c r="SLG40" s="899"/>
      <c r="SLH40" s="899"/>
      <c r="SLI40" s="899"/>
      <c r="SLJ40" s="899"/>
      <c r="SLK40" s="899"/>
      <c r="SLL40" s="899"/>
      <c r="SLM40" s="899"/>
      <c r="SLN40" s="899"/>
      <c r="SLO40" s="899"/>
      <c r="SLP40" s="899"/>
      <c r="SLQ40" s="899"/>
      <c r="SLR40" s="899"/>
      <c r="SLS40" s="899"/>
      <c r="SLT40" s="899"/>
      <c r="SLU40" s="899"/>
      <c r="SLV40" s="899"/>
      <c r="SLW40" s="899"/>
      <c r="SLX40" s="899"/>
      <c r="SLY40" s="899"/>
      <c r="SLZ40" s="899"/>
      <c r="SMA40" s="899"/>
      <c r="SMB40" s="899"/>
      <c r="SMC40" s="899"/>
      <c r="SMD40" s="899"/>
      <c r="SME40" s="899"/>
      <c r="SMF40" s="899"/>
      <c r="SMG40" s="899"/>
      <c r="SMH40" s="899"/>
      <c r="SMI40" s="899"/>
      <c r="SMJ40" s="899"/>
      <c r="SMK40" s="899"/>
      <c r="SML40" s="899"/>
      <c r="SMM40" s="899"/>
      <c r="SMN40" s="899"/>
      <c r="SMO40" s="899"/>
      <c r="SMP40" s="899"/>
      <c r="SMQ40" s="899"/>
      <c r="SMR40" s="899"/>
      <c r="SMS40" s="899"/>
      <c r="SMT40" s="899"/>
      <c r="SMU40" s="899"/>
      <c r="SMV40" s="899"/>
      <c r="SMW40" s="899"/>
      <c r="SMX40" s="899"/>
      <c r="SMY40" s="899"/>
      <c r="SMZ40" s="899"/>
      <c r="SNA40" s="899"/>
      <c r="SNB40" s="899"/>
      <c r="SNC40" s="899"/>
      <c r="SND40" s="899"/>
      <c r="SNE40" s="899"/>
      <c r="SNF40" s="899"/>
      <c r="SNG40" s="899"/>
      <c r="SNH40" s="899"/>
      <c r="SNI40" s="899"/>
      <c r="SNJ40" s="899"/>
      <c r="SNK40" s="899"/>
      <c r="SNL40" s="899"/>
      <c r="SNM40" s="899"/>
      <c r="SNN40" s="899"/>
      <c r="SNO40" s="899"/>
      <c r="SNP40" s="899"/>
      <c r="SNQ40" s="899"/>
      <c r="SNR40" s="899"/>
      <c r="SNS40" s="899"/>
      <c r="SNT40" s="899"/>
      <c r="SNU40" s="899"/>
      <c r="SNV40" s="899"/>
      <c r="SNW40" s="899"/>
      <c r="SNX40" s="899"/>
      <c r="SNY40" s="899"/>
      <c r="SNZ40" s="899"/>
      <c r="SOA40" s="899"/>
      <c r="SOB40" s="899"/>
      <c r="SOC40" s="899"/>
      <c r="SOD40" s="899"/>
      <c r="SOE40" s="899"/>
      <c r="SOF40" s="899"/>
      <c r="SOG40" s="899"/>
      <c r="SOH40" s="899"/>
      <c r="SOI40" s="899"/>
      <c r="SOJ40" s="899"/>
      <c r="SOK40" s="899"/>
      <c r="SOL40" s="899"/>
      <c r="SOM40" s="899"/>
      <c r="SON40" s="899"/>
      <c r="SOO40" s="899"/>
      <c r="SOP40" s="899"/>
      <c r="SOQ40" s="899"/>
      <c r="SOR40" s="899"/>
      <c r="SOS40" s="899"/>
      <c r="SOT40" s="899"/>
      <c r="SOU40" s="899"/>
      <c r="SOV40" s="899"/>
      <c r="SOW40" s="899"/>
      <c r="SOX40" s="899"/>
      <c r="SOY40" s="899"/>
      <c r="SOZ40" s="899"/>
      <c r="SPA40" s="899"/>
      <c r="SPB40" s="899"/>
      <c r="SPC40" s="899"/>
      <c r="SPD40" s="899"/>
      <c r="SPE40" s="899"/>
      <c r="SPF40" s="899"/>
      <c r="SPG40" s="899"/>
      <c r="SPH40" s="899"/>
      <c r="SPI40" s="899"/>
      <c r="SPJ40" s="899"/>
      <c r="SPK40" s="899"/>
      <c r="SPL40" s="899"/>
      <c r="SPM40" s="899"/>
      <c r="SPN40" s="899"/>
      <c r="SPO40" s="899"/>
      <c r="SPP40" s="899"/>
      <c r="SPQ40" s="899"/>
      <c r="SPR40" s="899"/>
      <c r="SPS40" s="899"/>
      <c r="SPT40" s="899"/>
      <c r="SPU40" s="899"/>
      <c r="SPV40" s="899"/>
      <c r="SPW40" s="899"/>
      <c r="SPX40" s="899"/>
      <c r="SPY40" s="899"/>
      <c r="SPZ40" s="899"/>
      <c r="SQA40" s="899"/>
      <c r="SQB40" s="899"/>
      <c r="SQC40" s="899"/>
      <c r="SQD40" s="899"/>
      <c r="SQE40" s="899"/>
      <c r="SQF40" s="899"/>
      <c r="SQG40" s="899"/>
      <c r="SQH40" s="899"/>
      <c r="SQI40" s="899"/>
      <c r="SQJ40" s="899"/>
      <c r="SQK40" s="899"/>
      <c r="SQL40" s="899"/>
      <c r="SQM40" s="899"/>
      <c r="SQN40" s="899"/>
      <c r="SQO40" s="899"/>
      <c r="SQP40" s="899"/>
      <c r="SQQ40" s="899"/>
      <c r="SQR40" s="899"/>
      <c r="SQS40" s="899"/>
      <c r="SQT40" s="899"/>
      <c r="SQU40" s="899"/>
      <c r="SQV40" s="899"/>
      <c r="SQW40" s="899"/>
      <c r="SQX40" s="899"/>
      <c r="SQY40" s="899"/>
      <c r="SQZ40" s="899"/>
      <c r="SRA40" s="899"/>
      <c r="SRB40" s="899"/>
      <c r="SRC40" s="899"/>
      <c r="SRD40" s="899"/>
      <c r="SRE40" s="899"/>
      <c r="SRF40" s="899"/>
      <c r="SRG40" s="899"/>
      <c r="SRH40" s="899"/>
      <c r="SRI40" s="899"/>
      <c r="SRJ40" s="899"/>
      <c r="SRK40" s="899"/>
      <c r="SRL40" s="899"/>
      <c r="SRM40" s="899"/>
      <c r="SRN40" s="899"/>
      <c r="SRO40" s="899"/>
      <c r="SRP40" s="899"/>
      <c r="SRQ40" s="899"/>
      <c r="SRR40" s="899"/>
      <c r="SRS40" s="899"/>
      <c r="SRT40" s="899"/>
      <c r="SRU40" s="899"/>
      <c r="SRV40" s="899"/>
      <c r="SRW40" s="899"/>
      <c r="SRX40" s="899"/>
      <c r="SRY40" s="899"/>
      <c r="SRZ40" s="899"/>
      <c r="SSA40" s="899"/>
      <c r="SSB40" s="899"/>
      <c r="SSC40" s="899"/>
      <c r="SSD40" s="899"/>
      <c r="SSE40" s="899"/>
      <c r="SSF40" s="899"/>
      <c r="SSG40" s="899"/>
      <c r="SSH40" s="899"/>
      <c r="SSI40" s="899"/>
      <c r="SSJ40" s="899"/>
      <c r="SSK40" s="899"/>
      <c r="SSL40" s="899"/>
      <c r="SSM40" s="899"/>
      <c r="SSN40" s="899"/>
      <c r="SSO40" s="899"/>
      <c r="SSP40" s="899"/>
      <c r="SSQ40" s="899"/>
      <c r="SSR40" s="899"/>
      <c r="SSS40" s="899"/>
      <c r="SST40" s="899"/>
      <c r="SSU40" s="899"/>
      <c r="SSV40" s="899"/>
      <c r="SSW40" s="899"/>
      <c r="SSX40" s="899"/>
      <c r="SSY40" s="899"/>
      <c r="SSZ40" s="899"/>
      <c r="STA40" s="899"/>
      <c r="STB40" s="899"/>
      <c r="STC40" s="899"/>
      <c r="STD40" s="899"/>
      <c r="STE40" s="899"/>
      <c r="STF40" s="899"/>
      <c r="STG40" s="899"/>
      <c r="STH40" s="899"/>
      <c r="STI40" s="899"/>
      <c r="STJ40" s="899"/>
      <c r="STK40" s="899"/>
      <c r="STL40" s="899"/>
      <c r="STM40" s="899"/>
      <c r="STN40" s="899"/>
      <c r="STO40" s="899"/>
      <c r="STP40" s="899"/>
      <c r="STQ40" s="899"/>
      <c r="STR40" s="899"/>
      <c r="STS40" s="899"/>
      <c r="STT40" s="899"/>
      <c r="STU40" s="899"/>
      <c r="STV40" s="899"/>
      <c r="STW40" s="899"/>
      <c r="STX40" s="899"/>
      <c r="STY40" s="899"/>
      <c r="STZ40" s="899"/>
      <c r="SUA40" s="899"/>
      <c r="SUB40" s="899"/>
      <c r="SUC40" s="899"/>
      <c r="SUD40" s="899"/>
      <c r="SUE40" s="899"/>
      <c r="SUF40" s="899"/>
      <c r="SUG40" s="899"/>
      <c r="SUH40" s="899"/>
      <c r="SUI40" s="899"/>
      <c r="SUJ40" s="899"/>
      <c r="SUK40" s="899"/>
      <c r="SUL40" s="899"/>
      <c r="SUM40" s="899"/>
      <c r="SUN40" s="899"/>
      <c r="SUO40" s="899"/>
      <c r="SUP40" s="899"/>
      <c r="SUQ40" s="899"/>
      <c r="SUR40" s="899"/>
      <c r="SUS40" s="899"/>
      <c r="SUT40" s="899"/>
      <c r="SUU40" s="899"/>
      <c r="SUV40" s="899"/>
      <c r="SUW40" s="899"/>
      <c r="SUX40" s="899"/>
      <c r="SUY40" s="899"/>
      <c r="SUZ40" s="899"/>
      <c r="SVA40" s="899"/>
      <c r="SVB40" s="899"/>
      <c r="SVC40" s="899"/>
      <c r="SVD40" s="899"/>
      <c r="SVE40" s="899"/>
      <c r="SVF40" s="899"/>
      <c r="SVG40" s="899"/>
      <c r="SVH40" s="899"/>
      <c r="SVI40" s="899"/>
      <c r="SVJ40" s="899"/>
      <c r="SVK40" s="899"/>
      <c r="SVL40" s="899"/>
      <c r="SVM40" s="899"/>
      <c r="SVN40" s="899"/>
      <c r="SVO40" s="899"/>
      <c r="SVP40" s="899"/>
      <c r="SVQ40" s="899"/>
      <c r="SVR40" s="899"/>
      <c r="SVS40" s="899"/>
      <c r="SVT40" s="899"/>
      <c r="SVU40" s="899"/>
      <c r="SVV40" s="899"/>
      <c r="SVW40" s="899"/>
      <c r="SVX40" s="899"/>
      <c r="SVY40" s="899"/>
      <c r="SVZ40" s="899"/>
      <c r="SWA40" s="899"/>
      <c r="SWB40" s="899"/>
      <c r="SWC40" s="899"/>
      <c r="SWD40" s="899"/>
      <c r="SWE40" s="899"/>
      <c r="SWF40" s="899"/>
      <c r="SWG40" s="899"/>
      <c r="SWH40" s="899"/>
      <c r="SWI40" s="899"/>
      <c r="SWJ40" s="899"/>
      <c r="SWK40" s="899"/>
      <c r="SWL40" s="899"/>
      <c r="SWM40" s="899"/>
      <c r="SWN40" s="899"/>
      <c r="SWO40" s="899"/>
      <c r="SWP40" s="899"/>
      <c r="SWQ40" s="899"/>
      <c r="SWR40" s="899"/>
      <c r="SWS40" s="899"/>
      <c r="SWT40" s="899"/>
      <c r="SWU40" s="899"/>
      <c r="SWV40" s="899"/>
      <c r="SWW40" s="899"/>
      <c r="SWX40" s="899"/>
      <c r="SWY40" s="899"/>
      <c r="SWZ40" s="899"/>
      <c r="SXA40" s="899"/>
      <c r="SXB40" s="899"/>
      <c r="SXC40" s="899"/>
      <c r="SXD40" s="899"/>
      <c r="SXE40" s="899"/>
      <c r="SXF40" s="899"/>
      <c r="SXG40" s="899"/>
      <c r="SXH40" s="899"/>
      <c r="SXI40" s="899"/>
      <c r="SXJ40" s="899"/>
      <c r="SXK40" s="899"/>
      <c r="SXL40" s="899"/>
      <c r="SXM40" s="899"/>
      <c r="SXN40" s="899"/>
      <c r="SXO40" s="899"/>
      <c r="SXP40" s="899"/>
      <c r="SXQ40" s="899"/>
      <c r="SXR40" s="899"/>
      <c r="SXS40" s="899"/>
      <c r="SXT40" s="899"/>
      <c r="SXU40" s="899"/>
      <c r="SXV40" s="899"/>
      <c r="SXW40" s="899"/>
      <c r="SXX40" s="899"/>
      <c r="SXY40" s="899"/>
      <c r="SXZ40" s="899"/>
      <c r="SYA40" s="899"/>
      <c r="SYB40" s="899"/>
      <c r="SYC40" s="899"/>
      <c r="SYD40" s="899"/>
      <c r="SYE40" s="899"/>
      <c r="SYF40" s="899"/>
      <c r="SYG40" s="899"/>
      <c r="SYH40" s="899"/>
      <c r="SYI40" s="899"/>
      <c r="SYJ40" s="899"/>
      <c r="SYK40" s="899"/>
      <c r="SYL40" s="899"/>
      <c r="SYM40" s="899"/>
      <c r="SYN40" s="899"/>
      <c r="SYO40" s="899"/>
      <c r="SYP40" s="899"/>
      <c r="SYQ40" s="899"/>
      <c r="SYR40" s="899"/>
      <c r="SYS40" s="899"/>
      <c r="SYT40" s="899"/>
      <c r="SYU40" s="899"/>
      <c r="SYV40" s="899"/>
      <c r="SYW40" s="899"/>
      <c r="SYX40" s="899"/>
      <c r="SYY40" s="899"/>
      <c r="SYZ40" s="899"/>
      <c r="SZA40" s="899"/>
      <c r="SZB40" s="899"/>
      <c r="SZC40" s="899"/>
      <c r="SZD40" s="899"/>
      <c r="SZE40" s="899"/>
      <c r="SZF40" s="899"/>
      <c r="SZG40" s="899"/>
      <c r="SZH40" s="899"/>
      <c r="SZI40" s="899"/>
      <c r="SZJ40" s="899"/>
      <c r="SZK40" s="899"/>
      <c r="SZL40" s="899"/>
      <c r="SZM40" s="899"/>
      <c r="SZN40" s="899"/>
      <c r="SZO40" s="899"/>
      <c r="SZP40" s="899"/>
      <c r="SZQ40" s="899"/>
      <c r="SZR40" s="899"/>
      <c r="SZS40" s="899"/>
      <c r="SZT40" s="899"/>
      <c r="SZU40" s="899"/>
      <c r="SZV40" s="899"/>
      <c r="SZW40" s="899"/>
      <c r="SZX40" s="899"/>
      <c r="SZY40" s="899"/>
      <c r="SZZ40" s="899"/>
      <c r="TAA40" s="899"/>
      <c r="TAB40" s="899"/>
      <c r="TAC40" s="899"/>
      <c r="TAD40" s="899"/>
      <c r="TAE40" s="899"/>
      <c r="TAF40" s="899"/>
      <c r="TAG40" s="899"/>
      <c r="TAH40" s="899"/>
      <c r="TAI40" s="899"/>
      <c r="TAJ40" s="899"/>
      <c r="TAK40" s="899"/>
      <c r="TAL40" s="899"/>
      <c r="TAM40" s="899"/>
      <c r="TAN40" s="899"/>
      <c r="TAO40" s="899"/>
      <c r="TAP40" s="899"/>
      <c r="TAQ40" s="899"/>
      <c r="TAR40" s="899"/>
      <c r="TAS40" s="899"/>
      <c r="TAT40" s="899"/>
      <c r="TAU40" s="899"/>
      <c r="TAV40" s="899"/>
      <c r="TAW40" s="899"/>
      <c r="TAX40" s="899"/>
      <c r="TAY40" s="899"/>
      <c r="TAZ40" s="899"/>
      <c r="TBA40" s="899"/>
      <c r="TBB40" s="899"/>
      <c r="TBC40" s="899"/>
      <c r="TBD40" s="899"/>
      <c r="TBE40" s="899"/>
      <c r="TBF40" s="899"/>
      <c r="TBG40" s="899"/>
      <c r="TBH40" s="899"/>
      <c r="TBI40" s="899"/>
      <c r="TBJ40" s="899"/>
      <c r="TBK40" s="899"/>
      <c r="TBL40" s="899"/>
      <c r="TBM40" s="899"/>
      <c r="TBN40" s="899"/>
      <c r="TBO40" s="899"/>
      <c r="TBP40" s="899"/>
      <c r="TBQ40" s="899"/>
      <c r="TBR40" s="899"/>
      <c r="TBS40" s="899"/>
      <c r="TBT40" s="899"/>
      <c r="TBU40" s="899"/>
      <c r="TBV40" s="899"/>
      <c r="TBW40" s="899"/>
      <c r="TBX40" s="899"/>
      <c r="TBY40" s="899"/>
      <c r="TBZ40" s="899"/>
      <c r="TCA40" s="899"/>
      <c r="TCB40" s="899"/>
      <c r="TCC40" s="899"/>
      <c r="TCD40" s="899"/>
      <c r="TCE40" s="899"/>
      <c r="TCF40" s="899"/>
      <c r="TCG40" s="899"/>
      <c r="TCH40" s="899"/>
      <c r="TCI40" s="899"/>
      <c r="TCJ40" s="899"/>
      <c r="TCK40" s="899"/>
      <c r="TCL40" s="899"/>
      <c r="TCM40" s="899"/>
      <c r="TCN40" s="899"/>
      <c r="TCO40" s="899"/>
      <c r="TCP40" s="899"/>
      <c r="TCQ40" s="899"/>
      <c r="TCR40" s="899"/>
      <c r="TCS40" s="899"/>
      <c r="TCT40" s="899"/>
      <c r="TCU40" s="899"/>
      <c r="TCV40" s="899"/>
      <c r="TCW40" s="899"/>
      <c r="TCX40" s="899"/>
      <c r="TCY40" s="899"/>
      <c r="TCZ40" s="899"/>
      <c r="TDA40" s="899"/>
      <c r="TDB40" s="899"/>
      <c r="TDC40" s="899"/>
      <c r="TDD40" s="899"/>
      <c r="TDE40" s="899"/>
      <c r="TDF40" s="899"/>
      <c r="TDG40" s="899"/>
      <c r="TDH40" s="899"/>
      <c r="TDI40" s="899"/>
      <c r="TDJ40" s="899"/>
      <c r="TDK40" s="899"/>
      <c r="TDL40" s="899"/>
      <c r="TDM40" s="899"/>
      <c r="TDN40" s="899"/>
      <c r="TDO40" s="899"/>
      <c r="TDP40" s="899"/>
      <c r="TDQ40" s="899"/>
      <c r="TDR40" s="899"/>
      <c r="TDS40" s="899"/>
      <c r="TDT40" s="899"/>
      <c r="TDU40" s="899"/>
      <c r="TDV40" s="899"/>
      <c r="TDW40" s="899"/>
      <c r="TDX40" s="899"/>
      <c r="TDY40" s="899"/>
      <c r="TDZ40" s="899"/>
      <c r="TEA40" s="899"/>
      <c r="TEB40" s="899"/>
      <c r="TEC40" s="899"/>
      <c r="TED40" s="899"/>
      <c r="TEE40" s="899"/>
      <c r="TEF40" s="899"/>
      <c r="TEG40" s="899"/>
      <c r="TEH40" s="899"/>
      <c r="TEI40" s="899"/>
      <c r="TEJ40" s="899"/>
      <c r="TEK40" s="899"/>
      <c r="TEL40" s="899"/>
      <c r="TEM40" s="899"/>
      <c r="TEN40" s="899"/>
      <c r="TEO40" s="899"/>
      <c r="TEP40" s="899"/>
      <c r="TEQ40" s="899"/>
      <c r="TER40" s="899"/>
      <c r="TES40" s="899"/>
      <c r="TET40" s="899"/>
      <c r="TEU40" s="899"/>
      <c r="TEV40" s="899"/>
      <c r="TEW40" s="899"/>
      <c r="TEX40" s="899"/>
      <c r="TEY40" s="899"/>
      <c r="TEZ40" s="899"/>
      <c r="TFA40" s="899"/>
      <c r="TFB40" s="899"/>
      <c r="TFC40" s="899"/>
      <c r="TFD40" s="899"/>
      <c r="TFE40" s="899"/>
      <c r="TFF40" s="899"/>
      <c r="TFG40" s="899"/>
      <c r="TFH40" s="899"/>
      <c r="TFI40" s="899"/>
      <c r="TFJ40" s="899"/>
      <c r="TFK40" s="899"/>
      <c r="TFL40" s="899"/>
      <c r="TFM40" s="899"/>
      <c r="TFN40" s="899"/>
      <c r="TFO40" s="899"/>
      <c r="TFP40" s="899"/>
      <c r="TFQ40" s="899"/>
      <c r="TFR40" s="899"/>
      <c r="TFS40" s="899"/>
      <c r="TFT40" s="899"/>
      <c r="TFU40" s="899"/>
      <c r="TFV40" s="899"/>
      <c r="TFW40" s="899"/>
      <c r="TFX40" s="899"/>
      <c r="TFY40" s="899"/>
      <c r="TFZ40" s="899"/>
      <c r="TGA40" s="899"/>
      <c r="TGB40" s="899"/>
      <c r="TGC40" s="899"/>
      <c r="TGD40" s="899"/>
      <c r="TGE40" s="899"/>
      <c r="TGF40" s="899"/>
      <c r="TGG40" s="899"/>
      <c r="TGH40" s="899"/>
      <c r="TGI40" s="899"/>
      <c r="TGJ40" s="899"/>
      <c r="TGK40" s="899"/>
      <c r="TGL40" s="899"/>
      <c r="TGM40" s="899"/>
      <c r="TGN40" s="899"/>
      <c r="TGO40" s="899"/>
      <c r="TGP40" s="899"/>
      <c r="TGQ40" s="899"/>
      <c r="TGR40" s="899"/>
      <c r="TGS40" s="899"/>
      <c r="TGT40" s="899"/>
      <c r="TGU40" s="899"/>
      <c r="TGV40" s="899"/>
      <c r="TGW40" s="899"/>
      <c r="TGX40" s="899"/>
      <c r="TGY40" s="899"/>
      <c r="TGZ40" s="899"/>
      <c r="THA40" s="899"/>
      <c r="THB40" s="899"/>
      <c r="THC40" s="899"/>
      <c r="THD40" s="899"/>
      <c r="THE40" s="899"/>
      <c r="THF40" s="899"/>
      <c r="THG40" s="899"/>
      <c r="THH40" s="899"/>
      <c r="THI40" s="899"/>
      <c r="THJ40" s="899"/>
      <c r="THK40" s="899"/>
      <c r="THL40" s="899"/>
      <c r="THM40" s="899"/>
      <c r="THN40" s="899"/>
      <c r="THO40" s="899"/>
      <c r="THP40" s="899"/>
      <c r="THQ40" s="899"/>
      <c r="THR40" s="899"/>
      <c r="THS40" s="899"/>
      <c r="THT40" s="899"/>
      <c r="THU40" s="899"/>
      <c r="THV40" s="899"/>
      <c r="THW40" s="899"/>
      <c r="THX40" s="899"/>
      <c r="THY40" s="899"/>
      <c r="THZ40" s="899"/>
      <c r="TIA40" s="899"/>
      <c r="TIB40" s="899"/>
      <c r="TIC40" s="899"/>
      <c r="TID40" s="899"/>
      <c r="TIE40" s="899"/>
      <c r="TIF40" s="899"/>
      <c r="TIG40" s="899"/>
      <c r="TIH40" s="899"/>
      <c r="TII40" s="899"/>
      <c r="TIJ40" s="899"/>
      <c r="TIK40" s="899"/>
      <c r="TIL40" s="899"/>
      <c r="TIM40" s="899"/>
      <c r="TIN40" s="899"/>
      <c r="TIO40" s="899"/>
      <c r="TIP40" s="899"/>
      <c r="TIQ40" s="899"/>
      <c r="TIR40" s="899"/>
      <c r="TIS40" s="899"/>
      <c r="TIT40" s="899"/>
      <c r="TIU40" s="899"/>
      <c r="TIV40" s="899"/>
      <c r="TIW40" s="899"/>
      <c r="TIX40" s="899"/>
      <c r="TIY40" s="899"/>
      <c r="TIZ40" s="899"/>
      <c r="TJA40" s="899"/>
      <c r="TJB40" s="899"/>
      <c r="TJC40" s="899"/>
      <c r="TJD40" s="899"/>
      <c r="TJE40" s="899"/>
      <c r="TJF40" s="899"/>
      <c r="TJG40" s="899"/>
      <c r="TJH40" s="899"/>
      <c r="TJI40" s="899"/>
      <c r="TJJ40" s="899"/>
      <c r="TJK40" s="899"/>
      <c r="TJL40" s="899"/>
      <c r="TJM40" s="899"/>
      <c r="TJN40" s="899"/>
      <c r="TJO40" s="899"/>
      <c r="TJP40" s="899"/>
      <c r="TJQ40" s="899"/>
      <c r="TJR40" s="899"/>
      <c r="TJS40" s="899"/>
      <c r="TJT40" s="899"/>
      <c r="TJU40" s="899"/>
      <c r="TJV40" s="899"/>
      <c r="TJW40" s="899"/>
      <c r="TJX40" s="899"/>
      <c r="TJY40" s="899"/>
      <c r="TJZ40" s="899"/>
      <c r="TKA40" s="899"/>
      <c r="TKB40" s="899"/>
      <c r="TKC40" s="899"/>
      <c r="TKD40" s="899"/>
      <c r="TKE40" s="899"/>
      <c r="TKF40" s="899"/>
      <c r="TKG40" s="899"/>
      <c r="TKH40" s="899"/>
      <c r="TKI40" s="899"/>
      <c r="TKJ40" s="899"/>
      <c r="TKK40" s="899"/>
      <c r="TKL40" s="899"/>
      <c r="TKM40" s="899"/>
      <c r="TKN40" s="899"/>
      <c r="TKO40" s="899"/>
      <c r="TKP40" s="899"/>
      <c r="TKQ40" s="899"/>
      <c r="TKR40" s="899"/>
      <c r="TKS40" s="899"/>
      <c r="TKT40" s="899"/>
      <c r="TKU40" s="899"/>
      <c r="TKV40" s="899"/>
      <c r="TKW40" s="899"/>
      <c r="TKX40" s="899"/>
      <c r="TKY40" s="899"/>
      <c r="TKZ40" s="899"/>
      <c r="TLA40" s="899"/>
      <c r="TLB40" s="899"/>
      <c r="TLC40" s="899"/>
      <c r="TLD40" s="899"/>
      <c r="TLE40" s="899"/>
      <c r="TLF40" s="899"/>
      <c r="TLG40" s="899"/>
      <c r="TLH40" s="899"/>
      <c r="TLI40" s="899"/>
      <c r="TLJ40" s="899"/>
      <c r="TLK40" s="899"/>
      <c r="TLL40" s="899"/>
      <c r="TLM40" s="899"/>
      <c r="TLN40" s="899"/>
      <c r="TLO40" s="899"/>
      <c r="TLP40" s="899"/>
      <c r="TLQ40" s="899"/>
      <c r="TLR40" s="899"/>
      <c r="TLS40" s="899"/>
      <c r="TLT40" s="899"/>
      <c r="TLU40" s="899"/>
      <c r="TLV40" s="899"/>
      <c r="TLW40" s="899"/>
      <c r="TLX40" s="899"/>
      <c r="TLY40" s="899"/>
      <c r="TLZ40" s="899"/>
      <c r="TMA40" s="899"/>
      <c r="TMB40" s="899"/>
      <c r="TMC40" s="899"/>
      <c r="TMD40" s="899"/>
      <c r="TME40" s="899"/>
      <c r="TMF40" s="899"/>
      <c r="TMG40" s="899"/>
      <c r="TMH40" s="899"/>
      <c r="TMI40" s="899"/>
      <c r="TMJ40" s="899"/>
      <c r="TMK40" s="899"/>
      <c r="TML40" s="899"/>
      <c r="TMM40" s="899"/>
      <c r="TMN40" s="899"/>
      <c r="TMO40" s="899"/>
      <c r="TMP40" s="899"/>
      <c r="TMQ40" s="899"/>
      <c r="TMR40" s="899"/>
      <c r="TMS40" s="899"/>
      <c r="TMT40" s="899"/>
      <c r="TMU40" s="899"/>
      <c r="TMV40" s="899"/>
      <c r="TMW40" s="899"/>
      <c r="TMX40" s="899"/>
      <c r="TMY40" s="899"/>
      <c r="TMZ40" s="899"/>
      <c r="TNA40" s="899"/>
      <c r="TNB40" s="899"/>
      <c r="TNC40" s="899"/>
      <c r="TND40" s="899"/>
      <c r="TNE40" s="899"/>
      <c r="TNF40" s="899"/>
      <c r="TNG40" s="899"/>
      <c r="TNH40" s="899"/>
      <c r="TNI40" s="899"/>
      <c r="TNJ40" s="899"/>
      <c r="TNK40" s="899"/>
      <c r="TNL40" s="899"/>
      <c r="TNM40" s="899"/>
      <c r="TNN40" s="899"/>
      <c r="TNO40" s="899"/>
      <c r="TNP40" s="899"/>
      <c r="TNQ40" s="899"/>
      <c r="TNR40" s="899"/>
      <c r="TNS40" s="899"/>
      <c r="TNT40" s="899"/>
      <c r="TNU40" s="899"/>
      <c r="TNV40" s="899"/>
      <c r="TNW40" s="899"/>
      <c r="TNX40" s="899"/>
      <c r="TNY40" s="899"/>
      <c r="TNZ40" s="899"/>
      <c r="TOA40" s="899"/>
      <c r="TOB40" s="899"/>
      <c r="TOC40" s="899"/>
      <c r="TOD40" s="899"/>
      <c r="TOE40" s="899"/>
      <c r="TOF40" s="899"/>
      <c r="TOG40" s="899"/>
      <c r="TOH40" s="899"/>
      <c r="TOI40" s="899"/>
      <c r="TOJ40" s="899"/>
      <c r="TOK40" s="899"/>
      <c r="TOL40" s="899"/>
      <c r="TOM40" s="899"/>
      <c r="TON40" s="899"/>
      <c r="TOO40" s="899"/>
      <c r="TOP40" s="899"/>
      <c r="TOQ40" s="899"/>
      <c r="TOR40" s="899"/>
      <c r="TOS40" s="899"/>
      <c r="TOT40" s="899"/>
      <c r="TOU40" s="899"/>
      <c r="TOV40" s="899"/>
      <c r="TOW40" s="899"/>
      <c r="TOX40" s="899"/>
      <c r="TOY40" s="899"/>
      <c r="TOZ40" s="899"/>
      <c r="TPA40" s="899"/>
      <c r="TPB40" s="899"/>
      <c r="TPC40" s="899"/>
      <c r="TPD40" s="899"/>
      <c r="TPE40" s="899"/>
      <c r="TPF40" s="899"/>
      <c r="TPG40" s="899"/>
      <c r="TPH40" s="899"/>
      <c r="TPI40" s="899"/>
      <c r="TPJ40" s="899"/>
      <c r="TPK40" s="899"/>
      <c r="TPL40" s="899"/>
      <c r="TPM40" s="899"/>
      <c r="TPN40" s="899"/>
      <c r="TPO40" s="899"/>
      <c r="TPP40" s="899"/>
      <c r="TPQ40" s="899"/>
      <c r="TPR40" s="899"/>
      <c r="TPS40" s="899"/>
      <c r="TPT40" s="899"/>
      <c r="TPU40" s="899"/>
      <c r="TPV40" s="899"/>
      <c r="TPW40" s="899"/>
      <c r="TPX40" s="899"/>
      <c r="TPY40" s="899"/>
      <c r="TPZ40" s="899"/>
      <c r="TQA40" s="899"/>
      <c r="TQB40" s="899"/>
      <c r="TQC40" s="899"/>
      <c r="TQD40" s="899"/>
      <c r="TQE40" s="899"/>
      <c r="TQF40" s="899"/>
      <c r="TQG40" s="899"/>
      <c r="TQH40" s="899"/>
      <c r="TQI40" s="899"/>
      <c r="TQJ40" s="899"/>
      <c r="TQK40" s="899"/>
      <c r="TQL40" s="899"/>
      <c r="TQM40" s="899"/>
      <c r="TQN40" s="899"/>
      <c r="TQO40" s="899"/>
      <c r="TQP40" s="899"/>
      <c r="TQQ40" s="899"/>
      <c r="TQR40" s="899"/>
      <c r="TQS40" s="899"/>
      <c r="TQT40" s="899"/>
      <c r="TQU40" s="899"/>
      <c r="TQV40" s="899"/>
      <c r="TQW40" s="899"/>
      <c r="TQX40" s="899"/>
      <c r="TQY40" s="899"/>
      <c r="TQZ40" s="899"/>
      <c r="TRA40" s="899"/>
      <c r="TRB40" s="899"/>
      <c r="TRC40" s="899"/>
      <c r="TRD40" s="899"/>
      <c r="TRE40" s="899"/>
      <c r="TRF40" s="899"/>
      <c r="TRG40" s="899"/>
      <c r="TRH40" s="899"/>
      <c r="TRI40" s="899"/>
      <c r="TRJ40" s="899"/>
      <c r="TRK40" s="899"/>
      <c r="TRL40" s="899"/>
      <c r="TRM40" s="899"/>
      <c r="TRN40" s="899"/>
      <c r="TRO40" s="899"/>
      <c r="TRP40" s="899"/>
      <c r="TRQ40" s="899"/>
      <c r="TRR40" s="899"/>
      <c r="TRS40" s="899"/>
      <c r="TRT40" s="899"/>
      <c r="TRU40" s="899"/>
      <c r="TRV40" s="899"/>
      <c r="TRW40" s="899"/>
      <c r="TRX40" s="899"/>
      <c r="TRY40" s="899"/>
      <c r="TRZ40" s="899"/>
      <c r="TSA40" s="899"/>
      <c r="TSB40" s="899"/>
      <c r="TSC40" s="899"/>
      <c r="TSD40" s="899"/>
      <c r="TSE40" s="899"/>
      <c r="TSF40" s="899"/>
      <c r="TSG40" s="899"/>
      <c r="TSH40" s="899"/>
      <c r="TSI40" s="899"/>
      <c r="TSJ40" s="899"/>
      <c r="TSK40" s="899"/>
      <c r="TSL40" s="899"/>
      <c r="TSM40" s="899"/>
      <c r="TSN40" s="899"/>
      <c r="TSO40" s="899"/>
      <c r="TSP40" s="899"/>
      <c r="TSQ40" s="899"/>
      <c r="TSR40" s="899"/>
      <c r="TSS40" s="899"/>
      <c r="TST40" s="899"/>
      <c r="TSU40" s="899"/>
      <c r="TSV40" s="899"/>
      <c r="TSW40" s="899"/>
      <c r="TSX40" s="899"/>
      <c r="TSY40" s="899"/>
      <c r="TSZ40" s="899"/>
      <c r="TTA40" s="899"/>
      <c r="TTB40" s="899"/>
      <c r="TTC40" s="899"/>
      <c r="TTD40" s="899"/>
      <c r="TTE40" s="899"/>
      <c r="TTF40" s="899"/>
      <c r="TTG40" s="899"/>
      <c r="TTH40" s="899"/>
      <c r="TTI40" s="899"/>
      <c r="TTJ40" s="899"/>
      <c r="TTK40" s="899"/>
      <c r="TTL40" s="899"/>
      <c r="TTM40" s="899"/>
      <c r="TTN40" s="899"/>
      <c r="TTO40" s="899"/>
      <c r="TTP40" s="899"/>
      <c r="TTQ40" s="899"/>
      <c r="TTR40" s="899"/>
      <c r="TTS40" s="899"/>
      <c r="TTT40" s="899"/>
      <c r="TTU40" s="899"/>
      <c r="TTV40" s="899"/>
      <c r="TTW40" s="899"/>
      <c r="TTX40" s="899"/>
      <c r="TTY40" s="899"/>
      <c r="TTZ40" s="899"/>
      <c r="TUA40" s="899"/>
      <c r="TUB40" s="899"/>
      <c r="TUC40" s="899"/>
      <c r="TUD40" s="899"/>
      <c r="TUE40" s="899"/>
      <c r="TUF40" s="899"/>
      <c r="TUG40" s="899"/>
      <c r="TUH40" s="899"/>
      <c r="TUI40" s="899"/>
      <c r="TUJ40" s="899"/>
      <c r="TUK40" s="899"/>
      <c r="TUL40" s="899"/>
      <c r="TUM40" s="899"/>
      <c r="TUN40" s="899"/>
      <c r="TUO40" s="899"/>
      <c r="TUP40" s="899"/>
      <c r="TUQ40" s="899"/>
      <c r="TUR40" s="899"/>
      <c r="TUS40" s="899"/>
      <c r="TUT40" s="899"/>
      <c r="TUU40" s="899"/>
      <c r="TUV40" s="899"/>
      <c r="TUW40" s="899"/>
      <c r="TUX40" s="899"/>
      <c r="TUY40" s="899"/>
      <c r="TUZ40" s="899"/>
      <c r="TVA40" s="899"/>
      <c r="TVB40" s="899"/>
      <c r="TVC40" s="899"/>
      <c r="TVD40" s="899"/>
      <c r="TVE40" s="899"/>
      <c r="TVF40" s="899"/>
      <c r="TVG40" s="899"/>
      <c r="TVH40" s="899"/>
      <c r="TVI40" s="899"/>
      <c r="TVJ40" s="899"/>
      <c r="TVK40" s="899"/>
      <c r="TVL40" s="899"/>
      <c r="TVM40" s="899"/>
      <c r="TVN40" s="899"/>
      <c r="TVO40" s="899"/>
      <c r="TVP40" s="899"/>
      <c r="TVQ40" s="899"/>
      <c r="TVR40" s="899"/>
      <c r="TVS40" s="899"/>
      <c r="TVT40" s="899"/>
      <c r="TVU40" s="899"/>
      <c r="TVV40" s="899"/>
      <c r="TVW40" s="899"/>
      <c r="TVX40" s="899"/>
      <c r="TVY40" s="899"/>
      <c r="TVZ40" s="899"/>
      <c r="TWA40" s="899"/>
      <c r="TWB40" s="899"/>
      <c r="TWC40" s="899"/>
      <c r="TWD40" s="899"/>
      <c r="TWE40" s="899"/>
      <c r="TWF40" s="899"/>
      <c r="TWG40" s="899"/>
      <c r="TWH40" s="899"/>
      <c r="TWI40" s="899"/>
      <c r="TWJ40" s="899"/>
      <c r="TWK40" s="899"/>
      <c r="TWL40" s="899"/>
      <c r="TWM40" s="899"/>
      <c r="TWN40" s="899"/>
      <c r="TWO40" s="899"/>
      <c r="TWP40" s="899"/>
      <c r="TWQ40" s="899"/>
      <c r="TWR40" s="899"/>
      <c r="TWS40" s="899"/>
      <c r="TWT40" s="899"/>
      <c r="TWU40" s="899"/>
      <c r="TWV40" s="899"/>
      <c r="TWW40" s="899"/>
      <c r="TWX40" s="899"/>
      <c r="TWY40" s="899"/>
      <c r="TWZ40" s="899"/>
      <c r="TXA40" s="899"/>
      <c r="TXB40" s="899"/>
      <c r="TXC40" s="899"/>
      <c r="TXD40" s="899"/>
      <c r="TXE40" s="899"/>
      <c r="TXF40" s="899"/>
      <c r="TXG40" s="899"/>
      <c r="TXH40" s="899"/>
      <c r="TXI40" s="899"/>
      <c r="TXJ40" s="899"/>
      <c r="TXK40" s="899"/>
      <c r="TXL40" s="899"/>
      <c r="TXM40" s="899"/>
      <c r="TXN40" s="899"/>
      <c r="TXO40" s="899"/>
      <c r="TXP40" s="899"/>
      <c r="TXQ40" s="899"/>
      <c r="TXR40" s="899"/>
      <c r="TXS40" s="899"/>
      <c r="TXT40" s="899"/>
      <c r="TXU40" s="899"/>
      <c r="TXV40" s="899"/>
      <c r="TXW40" s="899"/>
      <c r="TXX40" s="899"/>
      <c r="TXY40" s="899"/>
      <c r="TXZ40" s="899"/>
      <c r="TYA40" s="899"/>
      <c r="TYB40" s="899"/>
      <c r="TYC40" s="899"/>
      <c r="TYD40" s="899"/>
      <c r="TYE40" s="899"/>
      <c r="TYF40" s="899"/>
      <c r="TYG40" s="899"/>
      <c r="TYH40" s="899"/>
      <c r="TYI40" s="899"/>
      <c r="TYJ40" s="899"/>
      <c r="TYK40" s="899"/>
      <c r="TYL40" s="899"/>
      <c r="TYM40" s="899"/>
      <c r="TYN40" s="899"/>
      <c r="TYO40" s="899"/>
      <c r="TYP40" s="899"/>
      <c r="TYQ40" s="899"/>
      <c r="TYR40" s="899"/>
      <c r="TYS40" s="899"/>
      <c r="TYT40" s="899"/>
      <c r="TYU40" s="899"/>
      <c r="TYV40" s="899"/>
      <c r="TYW40" s="899"/>
      <c r="TYX40" s="899"/>
      <c r="TYY40" s="899"/>
      <c r="TYZ40" s="899"/>
      <c r="TZA40" s="899"/>
      <c r="TZB40" s="899"/>
      <c r="TZC40" s="899"/>
      <c r="TZD40" s="899"/>
      <c r="TZE40" s="899"/>
      <c r="TZF40" s="899"/>
      <c r="TZG40" s="899"/>
      <c r="TZH40" s="899"/>
      <c r="TZI40" s="899"/>
      <c r="TZJ40" s="899"/>
      <c r="TZK40" s="899"/>
      <c r="TZL40" s="899"/>
      <c r="TZM40" s="899"/>
      <c r="TZN40" s="899"/>
      <c r="TZO40" s="899"/>
      <c r="TZP40" s="899"/>
      <c r="TZQ40" s="899"/>
      <c r="TZR40" s="899"/>
      <c r="TZS40" s="899"/>
      <c r="TZT40" s="899"/>
      <c r="TZU40" s="899"/>
      <c r="TZV40" s="899"/>
      <c r="TZW40" s="899"/>
      <c r="TZX40" s="899"/>
      <c r="TZY40" s="899"/>
      <c r="TZZ40" s="899"/>
      <c r="UAA40" s="899"/>
      <c r="UAB40" s="899"/>
      <c r="UAC40" s="899"/>
      <c r="UAD40" s="899"/>
      <c r="UAE40" s="899"/>
      <c r="UAF40" s="899"/>
      <c r="UAG40" s="899"/>
      <c r="UAH40" s="899"/>
      <c r="UAI40" s="899"/>
      <c r="UAJ40" s="899"/>
      <c r="UAK40" s="899"/>
      <c r="UAL40" s="899"/>
      <c r="UAM40" s="899"/>
      <c r="UAN40" s="899"/>
      <c r="UAO40" s="899"/>
      <c r="UAP40" s="899"/>
      <c r="UAQ40" s="899"/>
      <c r="UAR40" s="899"/>
      <c r="UAS40" s="899"/>
      <c r="UAT40" s="899"/>
      <c r="UAU40" s="899"/>
      <c r="UAV40" s="899"/>
      <c r="UAW40" s="899"/>
      <c r="UAX40" s="899"/>
      <c r="UAY40" s="899"/>
      <c r="UAZ40" s="899"/>
      <c r="UBA40" s="899"/>
      <c r="UBB40" s="899"/>
      <c r="UBC40" s="899"/>
      <c r="UBD40" s="899"/>
      <c r="UBE40" s="899"/>
      <c r="UBF40" s="899"/>
      <c r="UBG40" s="899"/>
      <c r="UBH40" s="899"/>
      <c r="UBI40" s="899"/>
      <c r="UBJ40" s="899"/>
      <c r="UBK40" s="899"/>
      <c r="UBL40" s="899"/>
      <c r="UBM40" s="899"/>
      <c r="UBN40" s="899"/>
      <c r="UBO40" s="899"/>
      <c r="UBP40" s="899"/>
      <c r="UBQ40" s="899"/>
      <c r="UBR40" s="899"/>
      <c r="UBS40" s="899"/>
      <c r="UBT40" s="899"/>
      <c r="UBU40" s="899"/>
      <c r="UBV40" s="899"/>
      <c r="UBW40" s="899"/>
      <c r="UBX40" s="899"/>
      <c r="UBY40" s="899"/>
      <c r="UBZ40" s="899"/>
      <c r="UCA40" s="899"/>
      <c r="UCB40" s="899"/>
      <c r="UCC40" s="899"/>
      <c r="UCD40" s="899"/>
      <c r="UCE40" s="899"/>
      <c r="UCF40" s="899"/>
      <c r="UCG40" s="899"/>
      <c r="UCH40" s="899"/>
      <c r="UCI40" s="899"/>
      <c r="UCJ40" s="899"/>
      <c r="UCK40" s="899"/>
      <c r="UCL40" s="899"/>
      <c r="UCM40" s="899"/>
      <c r="UCN40" s="899"/>
      <c r="UCO40" s="899"/>
      <c r="UCP40" s="899"/>
      <c r="UCQ40" s="899"/>
      <c r="UCR40" s="899"/>
      <c r="UCS40" s="899"/>
      <c r="UCT40" s="899"/>
      <c r="UCU40" s="899"/>
      <c r="UCV40" s="899"/>
      <c r="UCW40" s="899"/>
      <c r="UCX40" s="899"/>
      <c r="UCY40" s="899"/>
      <c r="UCZ40" s="899"/>
      <c r="UDA40" s="899"/>
      <c r="UDB40" s="899"/>
      <c r="UDC40" s="899"/>
      <c r="UDD40" s="899"/>
      <c r="UDE40" s="899"/>
      <c r="UDF40" s="899"/>
      <c r="UDG40" s="899"/>
      <c r="UDH40" s="899"/>
      <c r="UDI40" s="899"/>
      <c r="UDJ40" s="899"/>
      <c r="UDK40" s="899"/>
      <c r="UDL40" s="899"/>
      <c r="UDM40" s="899"/>
      <c r="UDN40" s="899"/>
      <c r="UDO40" s="899"/>
      <c r="UDP40" s="899"/>
      <c r="UDQ40" s="899"/>
      <c r="UDR40" s="899"/>
      <c r="UDS40" s="899"/>
      <c r="UDT40" s="899"/>
      <c r="UDU40" s="899"/>
      <c r="UDV40" s="899"/>
      <c r="UDW40" s="899"/>
      <c r="UDX40" s="899"/>
      <c r="UDY40" s="899"/>
      <c r="UDZ40" s="899"/>
      <c r="UEA40" s="899"/>
      <c r="UEB40" s="899"/>
      <c r="UEC40" s="899"/>
      <c r="UED40" s="899"/>
      <c r="UEE40" s="899"/>
      <c r="UEF40" s="899"/>
      <c r="UEG40" s="899"/>
      <c r="UEH40" s="899"/>
      <c r="UEI40" s="899"/>
      <c r="UEJ40" s="899"/>
      <c r="UEK40" s="899"/>
      <c r="UEL40" s="899"/>
      <c r="UEM40" s="899"/>
      <c r="UEN40" s="899"/>
      <c r="UEO40" s="899"/>
      <c r="UEP40" s="899"/>
      <c r="UEQ40" s="899"/>
      <c r="UER40" s="899"/>
      <c r="UES40" s="899"/>
      <c r="UET40" s="899"/>
      <c r="UEU40" s="899"/>
      <c r="UEV40" s="899"/>
      <c r="UEW40" s="899"/>
      <c r="UEX40" s="899"/>
      <c r="UEY40" s="899"/>
      <c r="UEZ40" s="899"/>
      <c r="UFA40" s="899"/>
      <c r="UFB40" s="899"/>
      <c r="UFC40" s="899"/>
      <c r="UFD40" s="899"/>
      <c r="UFE40" s="899"/>
      <c r="UFF40" s="899"/>
      <c r="UFG40" s="899"/>
      <c r="UFH40" s="899"/>
      <c r="UFI40" s="899"/>
      <c r="UFJ40" s="899"/>
      <c r="UFK40" s="899"/>
      <c r="UFL40" s="899"/>
      <c r="UFM40" s="899"/>
      <c r="UFN40" s="899"/>
      <c r="UFO40" s="899"/>
      <c r="UFP40" s="899"/>
      <c r="UFQ40" s="899"/>
      <c r="UFR40" s="899"/>
      <c r="UFS40" s="899"/>
      <c r="UFT40" s="899"/>
      <c r="UFU40" s="899"/>
      <c r="UFV40" s="899"/>
      <c r="UFW40" s="899"/>
      <c r="UFX40" s="899"/>
      <c r="UFY40" s="899"/>
      <c r="UFZ40" s="899"/>
      <c r="UGA40" s="899"/>
      <c r="UGB40" s="899"/>
      <c r="UGC40" s="899"/>
      <c r="UGD40" s="899"/>
      <c r="UGE40" s="899"/>
      <c r="UGF40" s="899"/>
      <c r="UGG40" s="899"/>
      <c r="UGH40" s="899"/>
      <c r="UGI40" s="899"/>
      <c r="UGJ40" s="899"/>
      <c r="UGK40" s="899"/>
      <c r="UGL40" s="899"/>
      <c r="UGM40" s="899"/>
      <c r="UGN40" s="899"/>
      <c r="UGO40" s="899"/>
      <c r="UGP40" s="899"/>
      <c r="UGQ40" s="899"/>
      <c r="UGR40" s="899"/>
      <c r="UGS40" s="899"/>
      <c r="UGT40" s="899"/>
      <c r="UGU40" s="899"/>
      <c r="UGV40" s="899"/>
      <c r="UGW40" s="899"/>
      <c r="UGX40" s="899"/>
      <c r="UGY40" s="899"/>
      <c r="UGZ40" s="899"/>
      <c r="UHA40" s="899"/>
      <c r="UHB40" s="899"/>
      <c r="UHC40" s="899"/>
      <c r="UHD40" s="899"/>
      <c r="UHE40" s="899"/>
      <c r="UHF40" s="899"/>
      <c r="UHG40" s="899"/>
      <c r="UHH40" s="899"/>
      <c r="UHI40" s="899"/>
      <c r="UHJ40" s="899"/>
      <c r="UHK40" s="899"/>
      <c r="UHL40" s="899"/>
      <c r="UHM40" s="899"/>
      <c r="UHN40" s="899"/>
      <c r="UHO40" s="899"/>
      <c r="UHP40" s="899"/>
      <c r="UHQ40" s="899"/>
      <c r="UHR40" s="899"/>
      <c r="UHS40" s="899"/>
      <c r="UHT40" s="899"/>
      <c r="UHU40" s="899"/>
      <c r="UHV40" s="899"/>
      <c r="UHW40" s="899"/>
      <c r="UHX40" s="899"/>
      <c r="UHY40" s="899"/>
      <c r="UHZ40" s="899"/>
      <c r="UIA40" s="899"/>
      <c r="UIB40" s="899"/>
      <c r="UIC40" s="899"/>
      <c r="UID40" s="899"/>
      <c r="UIE40" s="899"/>
      <c r="UIF40" s="899"/>
      <c r="UIG40" s="899"/>
      <c r="UIH40" s="899"/>
      <c r="UII40" s="899"/>
      <c r="UIJ40" s="899"/>
      <c r="UIK40" s="899"/>
      <c r="UIL40" s="899"/>
      <c r="UIM40" s="899"/>
      <c r="UIN40" s="899"/>
      <c r="UIO40" s="899"/>
      <c r="UIP40" s="899"/>
      <c r="UIQ40" s="899"/>
      <c r="UIR40" s="899"/>
      <c r="UIS40" s="899"/>
      <c r="UIT40" s="899"/>
      <c r="UIU40" s="899"/>
      <c r="UIV40" s="899"/>
      <c r="UIW40" s="899"/>
      <c r="UIX40" s="899"/>
      <c r="UIY40" s="899"/>
      <c r="UIZ40" s="899"/>
      <c r="UJA40" s="899"/>
      <c r="UJB40" s="899"/>
      <c r="UJC40" s="899"/>
      <c r="UJD40" s="899"/>
      <c r="UJE40" s="899"/>
      <c r="UJF40" s="899"/>
      <c r="UJG40" s="899"/>
      <c r="UJH40" s="899"/>
      <c r="UJI40" s="899"/>
      <c r="UJJ40" s="899"/>
      <c r="UJK40" s="899"/>
      <c r="UJL40" s="899"/>
      <c r="UJM40" s="899"/>
      <c r="UJN40" s="899"/>
      <c r="UJO40" s="899"/>
      <c r="UJP40" s="899"/>
      <c r="UJQ40" s="899"/>
      <c r="UJR40" s="899"/>
      <c r="UJS40" s="899"/>
      <c r="UJT40" s="899"/>
      <c r="UJU40" s="899"/>
      <c r="UJV40" s="899"/>
      <c r="UJW40" s="899"/>
      <c r="UJX40" s="899"/>
      <c r="UJY40" s="899"/>
      <c r="UJZ40" s="899"/>
      <c r="UKA40" s="899"/>
      <c r="UKB40" s="899"/>
      <c r="UKC40" s="899"/>
      <c r="UKD40" s="899"/>
      <c r="UKE40" s="899"/>
      <c r="UKF40" s="899"/>
      <c r="UKG40" s="899"/>
      <c r="UKH40" s="899"/>
      <c r="UKI40" s="899"/>
      <c r="UKJ40" s="899"/>
      <c r="UKK40" s="899"/>
      <c r="UKL40" s="899"/>
      <c r="UKM40" s="899"/>
      <c r="UKN40" s="899"/>
      <c r="UKO40" s="899"/>
      <c r="UKP40" s="899"/>
      <c r="UKQ40" s="899"/>
      <c r="UKR40" s="899"/>
      <c r="UKS40" s="899"/>
      <c r="UKT40" s="899"/>
      <c r="UKU40" s="899"/>
      <c r="UKV40" s="899"/>
      <c r="UKW40" s="899"/>
      <c r="UKX40" s="899"/>
      <c r="UKY40" s="899"/>
      <c r="UKZ40" s="899"/>
      <c r="ULA40" s="899"/>
      <c r="ULB40" s="899"/>
      <c r="ULC40" s="899"/>
      <c r="ULD40" s="899"/>
      <c r="ULE40" s="899"/>
      <c r="ULF40" s="899"/>
      <c r="ULG40" s="899"/>
      <c r="ULH40" s="899"/>
      <c r="ULI40" s="899"/>
      <c r="ULJ40" s="899"/>
      <c r="ULK40" s="899"/>
      <c r="ULL40" s="899"/>
      <c r="ULM40" s="899"/>
      <c r="ULN40" s="899"/>
      <c r="ULO40" s="899"/>
      <c r="ULP40" s="899"/>
      <c r="ULQ40" s="899"/>
      <c r="ULR40" s="899"/>
      <c r="ULS40" s="899"/>
      <c r="ULT40" s="899"/>
      <c r="ULU40" s="899"/>
      <c r="ULV40" s="899"/>
      <c r="ULW40" s="899"/>
      <c r="ULX40" s="899"/>
      <c r="ULY40" s="899"/>
      <c r="ULZ40" s="899"/>
      <c r="UMA40" s="899"/>
      <c r="UMB40" s="899"/>
      <c r="UMC40" s="899"/>
      <c r="UMD40" s="899"/>
      <c r="UME40" s="899"/>
      <c r="UMF40" s="899"/>
      <c r="UMG40" s="899"/>
      <c r="UMH40" s="899"/>
      <c r="UMI40" s="899"/>
      <c r="UMJ40" s="899"/>
      <c r="UMK40" s="899"/>
      <c r="UML40" s="899"/>
      <c r="UMM40" s="899"/>
      <c r="UMN40" s="899"/>
      <c r="UMO40" s="899"/>
      <c r="UMP40" s="899"/>
      <c r="UMQ40" s="899"/>
      <c r="UMR40" s="899"/>
      <c r="UMS40" s="899"/>
      <c r="UMT40" s="899"/>
      <c r="UMU40" s="899"/>
      <c r="UMV40" s="899"/>
      <c r="UMW40" s="899"/>
      <c r="UMX40" s="899"/>
      <c r="UMY40" s="899"/>
      <c r="UMZ40" s="899"/>
      <c r="UNA40" s="899"/>
      <c r="UNB40" s="899"/>
      <c r="UNC40" s="899"/>
      <c r="UND40" s="899"/>
      <c r="UNE40" s="899"/>
      <c r="UNF40" s="899"/>
      <c r="UNG40" s="899"/>
      <c r="UNH40" s="899"/>
      <c r="UNI40" s="899"/>
      <c r="UNJ40" s="899"/>
      <c r="UNK40" s="899"/>
      <c r="UNL40" s="899"/>
      <c r="UNM40" s="899"/>
      <c r="UNN40" s="899"/>
      <c r="UNO40" s="899"/>
      <c r="UNP40" s="899"/>
      <c r="UNQ40" s="899"/>
      <c r="UNR40" s="899"/>
      <c r="UNS40" s="899"/>
      <c r="UNT40" s="899"/>
      <c r="UNU40" s="899"/>
      <c r="UNV40" s="899"/>
      <c r="UNW40" s="899"/>
      <c r="UNX40" s="899"/>
      <c r="UNY40" s="899"/>
      <c r="UNZ40" s="899"/>
      <c r="UOA40" s="899"/>
      <c r="UOB40" s="899"/>
      <c r="UOC40" s="899"/>
      <c r="UOD40" s="899"/>
      <c r="UOE40" s="899"/>
      <c r="UOF40" s="899"/>
      <c r="UOG40" s="899"/>
      <c r="UOH40" s="899"/>
      <c r="UOI40" s="899"/>
      <c r="UOJ40" s="899"/>
      <c r="UOK40" s="899"/>
      <c r="UOL40" s="899"/>
      <c r="UOM40" s="899"/>
      <c r="UON40" s="899"/>
      <c r="UOO40" s="899"/>
      <c r="UOP40" s="899"/>
      <c r="UOQ40" s="899"/>
      <c r="UOR40" s="899"/>
      <c r="UOS40" s="899"/>
      <c r="UOT40" s="899"/>
      <c r="UOU40" s="899"/>
      <c r="UOV40" s="899"/>
      <c r="UOW40" s="899"/>
      <c r="UOX40" s="899"/>
      <c r="UOY40" s="899"/>
      <c r="UOZ40" s="899"/>
      <c r="UPA40" s="899"/>
      <c r="UPB40" s="899"/>
      <c r="UPC40" s="899"/>
      <c r="UPD40" s="899"/>
      <c r="UPE40" s="899"/>
      <c r="UPF40" s="899"/>
      <c r="UPG40" s="899"/>
      <c r="UPH40" s="899"/>
      <c r="UPI40" s="899"/>
      <c r="UPJ40" s="899"/>
      <c r="UPK40" s="899"/>
      <c r="UPL40" s="899"/>
      <c r="UPM40" s="899"/>
      <c r="UPN40" s="899"/>
      <c r="UPO40" s="899"/>
      <c r="UPP40" s="899"/>
      <c r="UPQ40" s="899"/>
      <c r="UPR40" s="899"/>
      <c r="UPS40" s="899"/>
      <c r="UPT40" s="899"/>
      <c r="UPU40" s="899"/>
      <c r="UPV40" s="899"/>
      <c r="UPW40" s="899"/>
      <c r="UPX40" s="899"/>
      <c r="UPY40" s="899"/>
      <c r="UPZ40" s="899"/>
      <c r="UQA40" s="899"/>
      <c r="UQB40" s="899"/>
      <c r="UQC40" s="899"/>
      <c r="UQD40" s="899"/>
      <c r="UQE40" s="899"/>
      <c r="UQF40" s="899"/>
      <c r="UQG40" s="899"/>
      <c r="UQH40" s="899"/>
      <c r="UQI40" s="899"/>
      <c r="UQJ40" s="899"/>
      <c r="UQK40" s="899"/>
      <c r="UQL40" s="899"/>
      <c r="UQM40" s="899"/>
      <c r="UQN40" s="899"/>
      <c r="UQO40" s="899"/>
      <c r="UQP40" s="899"/>
      <c r="UQQ40" s="899"/>
      <c r="UQR40" s="899"/>
      <c r="UQS40" s="899"/>
      <c r="UQT40" s="899"/>
      <c r="UQU40" s="899"/>
      <c r="UQV40" s="899"/>
      <c r="UQW40" s="899"/>
      <c r="UQX40" s="899"/>
      <c r="UQY40" s="899"/>
      <c r="UQZ40" s="899"/>
      <c r="URA40" s="899"/>
      <c r="URB40" s="899"/>
      <c r="URC40" s="899"/>
      <c r="URD40" s="899"/>
      <c r="URE40" s="899"/>
      <c r="URF40" s="899"/>
      <c r="URG40" s="899"/>
      <c r="URH40" s="899"/>
      <c r="URI40" s="899"/>
      <c r="URJ40" s="899"/>
      <c r="URK40" s="899"/>
      <c r="URL40" s="899"/>
      <c r="URM40" s="899"/>
      <c r="URN40" s="899"/>
      <c r="URO40" s="899"/>
      <c r="URP40" s="899"/>
      <c r="URQ40" s="899"/>
      <c r="URR40" s="899"/>
      <c r="URS40" s="899"/>
      <c r="URT40" s="899"/>
      <c r="URU40" s="899"/>
      <c r="URV40" s="899"/>
      <c r="URW40" s="899"/>
      <c r="URX40" s="899"/>
      <c r="URY40" s="899"/>
      <c r="URZ40" s="899"/>
      <c r="USA40" s="899"/>
      <c r="USB40" s="899"/>
      <c r="USC40" s="899"/>
      <c r="USD40" s="899"/>
      <c r="USE40" s="899"/>
      <c r="USF40" s="899"/>
      <c r="USG40" s="899"/>
      <c r="USH40" s="899"/>
      <c r="USI40" s="899"/>
      <c r="USJ40" s="899"/>
      <c r="USK40" s="899"/>
      <c r="USL40" s="899"/>
      <c r="USM40" s="899"/>
      <c r="USN40" s="899"/>
      <c r="USO40" s="899"/>
      <c r="USP40" s="899"/>
      <c r="USQ40" s="899"/>
      <c r="USR40" s="899"/>
      <c r="USS40" s="899"/>
      <c r="UST40" s="899"/>
      <c r="USU40" s="899"/>
      <c r="USV40" s="899"/>
      <c r="USW40" s="899"/>
      <c r="USX40" s="899"/>
      <c r="USY40" s="899"/>
      <c r="USZ40" s="899"/>
      <c r="UTA40" s="899"/>
      <c r="UTB40" s="899"/>
      <c r="UTC40" s="899"/>
      <c r="UTD40" s="899"/>
      <c r="UTE40" s="899"/>
      <c r="UTF40" s="899"/>
      <c r="UTG40" s="899"/>
      <c r="UTH40" s="899"/>
      <c r="UTI40" s="899"/>
      <c r="UTJ40" s="899"/>
      <c r="UTK40" s="899"/>
      <c r="UTL40" s="899"/>
      <c r="UTM40" s="899"/>
      <c r="UTN40" s="899"/>
      <c r="UTO40" s="899"/>
      <c r="UTP40" s="899"/>
      <c r="UTQ40" s="899"/>
      <c r="UTR40" s="899"/>
      <c r="UTS40" s="899"/>
      <c r="UTT40" s="899"/>
      <c r="UTU40" s="899"/>
      <c r="UTV40" s="899"/>
      <c r="UTW40" s="899"/>
      <c r="UTX40" s="899"/>
      <c r="UTY40" s="899"/>
      <c r="UTZ40" s="899"/>
      <c r="UUA40" s="899"/>
      <c r="UUB40" s="899"/>
      <c r="UUC40" s="899"/>
      <c r="UUD40" s="899"/>
      <c r="UUE40" s="899"/>
      <c r="UUF40" s="899"/>
      <c r="UUG40" s="899"/>
      <c r="UUH40" s="899"/>
      <c r="UUI40" s="899"/>
      <c r="UUJ40" s="899"/>
      <c r="UUK40" s="899"/>
      <c r="UUL40" s="899"/>
      <c r="UUM40" s="899"/>
      <c r="UUN40" s="899"/>
      <c r="UUO40" s="899"/>
      <c r="UUP40" s="899"/>
      <c r="UUQ40" s="899"/>
      <c r="UUR40" s="899"/>
      <c r="UUS40" s="899"/>
      <c r="UUT40" s="899"/>
      <c r="UUU40" s="899"/>
      <c r="UUV40" s="899"/>
      <c r="UUW40" s="899"/>
      <c r="UUX40" s="899"/>
      <c r="UUY40" s="899"/>
      <c r="UUZ40" s="899"/>
      <c r="UVA40" s="899"/>
      <c r="UVB40" s="899"/>
      <c r="UVC40" s="899"/>
      <c r="UVD40" s="899"/>
      <c r="UVE40" s="899"/>
      <c r="UVF40" s="899"/>
      <c r="UVG40" s="899"/>
      <c r="UVH40" s="899"/>
      <c r="UVI40" s="899"/>
      <c r="UVJ40" s="899"/>
      <c r="UVK40" s="899"/>
      <c r="UVL40" s="899"/>
      <c r="UVM40" s="899"/>
      <c r="UVN40" s="899"/>
      <c r="UVO40" s="899"/>
      <c r="UVP40" s="899"/>
      <c r="UVQ40" s="899"/>
      <c r="UVR40" s="899"/>
      <c r="UVS40" s="899"/>
      <c r="UVT40" s="899"/>
      <c r="UVU40" s="899"/>
      <c r="UVV40" s="899"/>
      <c r="UVW40" s="899"/>
      <c r="UVX40" s="899"/>
      <c r="UVY40" s="899"/>
      <c r="UVZ40" s="899"/>
      <c r="UWA40" s="899"/>
      <c r="UWB40" s="899"/>
      <c r="UWC40" s="899"/>
      <c r="UWD40" s="899"/>
      <c r="UWE40" s="899"/>
      <c r="UWF40" s="899"/>
      <c r="UWG40" s="899"/>
      <c r="UWH40" s="899"/>
      <c r="UWI40" s="899"/>
      <c r="UWJ40" s="899"/>
      <c r="UWK40" s="899"/>
      <c r="UWL40" s="899"/>
      <c r="UWM40" s="899"/>
      <c r="UWN40" s="899"/>
      <c r="UWO40" s="899"/>
      <c r="UWP40" s="899"/>
      <c r="UWQ40" s="899"/>
      <c r="UWR40" s="899"/>
      <c r="UWS40" s="899"/>
      <c r="UWT40" s="899"/>
      <c r="UWU40" s="899"/>
      <c r="UWV40" s="899"/>
      <c r="UWW40" s="899"/>
      <c r="UWX40" s="899"/>
      <c r="UWY40" s="899"/>
      <c r="UWZ40" s="899"/>
      <c r="UXA40" s="899"/>
      <c r="UXB40" s="899"/>
      <c r="UXC40" s="899"/>
      <c r="UXD40" s="899"/>
      <c r="UXE40" s="899"/>
      <c r="UXF40" s="899"/>
      <c r="UXG40" s="899"/>
      <c r="UXH40" s="899"/>
      <c r="UXI40" s="899"/>
      <c r="UXJ40" s="899"/>
      <c r="UXK40" s="899"/>
      <c r="UXL40" s="899"/>
      <c r="UXM40" s="899"/>
      <c r="UXN40" s="899"/>
      <c r="UXO40" s="899"/>
      <c r="UXP40" s="899"/>
      <c r="UXQ40" s="899"/>
      <c r="UXR40" s="899"/>
      <c r="UXS40" s="899"/>
      <c r="UXT40" s="899"/>
      <c r="UXU40" s="899"/>
      <c r="UXV40" s="899"/>
      <c r="UXW40" s="899"/>
      <c r="UXX40" s="899"/>
      <c r="UXY40" s="899"/>
      <c r="UXZ40" s="899"/>
      <c r="UYA40" s="899"/>
      <c r="UYB40" s="899"/>
      <c r="UYC40" s="899"/>
      <c r="UYD40" s="899"/>
      <c r="UYE40" s="899"/>
      <c r="UYF40" s="899"/>
      <c r="UYG40" s="899"/>
      <c r="UYH40" s="899"/>
      <c r="UYI40" s="899"/>
      <c r="UYJ40" s="899"/>
      <c r="UYK40" s="899"/>
      <c r="UYL40" s="899"/>
      <c r="UYM40" s="899"/>
      <c r="UYN40" s="899"/>
      <c r="UYO40" s="899"/>
      <c r="UYP40" s="899"/>
      <c r="UYQ40" s="899"/>
      <c r="UYR40" s="899"/>
      <c r="UYS40" s="899"/>
      <c r="UYT40" s="899"/>
      <c r="UYU40" s="899"/>
      <c r="UYV40" s="899"/>
      <c r="UYW40" s="899"/>
      <c r="UYX40" s="899"/>
      <c r="UYY40" s="899"/>
      <c r="UYZ40" s="899"/>
      <c r="UZA40" s="899"/>
      <c r="UZB40" s="899"/>
      <c r="UZC40" s="899"/>
      <c r="UZD40" s="899"/>
      <c r="UZE40" s="899"/>
      <c r="UZF40" s="899"/>
      <c r="UZG40" s="899"/>
      <c r="UZH40" s="899"/>
      <c r="UZI40" s="899"/>
      <c r="UZJ40" s="899"/>
      <c r="UZK40" s="899"/>
      <c r="UZL40" s="899"/>
      <c r="UZM40" s="899"/>
      <c r="UZN40" s="899"/>
      <c r="UZO40" s="899"/>
      <c r="UZP40" s="899"/>
      <c r="UZQ40" s="899"/>
      <c r="UZR40" s="899"/>
      <c r="UZS40" s="899"/>
      <c r="UZT40" s="899"/>
      <c r="UZU40" s="899"/>
      <c r="UZV40" s="899"/>
      <c r="UZW40" s="899"/>
      <c r="UZX40" s="899"/>
      <c r="UZY40" s="899"/>
      <c r="UZZ40" s="899"/>
      <c r="VAA40" s="899"/>
      <c r="VAB40" s="899"/>
      <c r="VAC40" s="899"/>
      <c r="VAD40" s="899"/>
      <c r="VAE40" s="899"/>
      <c r="VAF40" s="899"/>
      <c r="VAG40" s="899"/>
      <c r="VAH40" s="899"/>
      <c r="VAI40" s="899"/>
      <c r="VAJ40" s="899"/>
      <c r="VAK40" s="899"/>
      <c r="VAL40" s="899"/>
      <c r="VAM40" s="899"/>
      <c r="VAN40" s="899"/>
      <c r="VAO40" s="899"/>
      <c r="VAP40" s="899"/>
      <c r="VAQ40" s="899"/>
      <c r="VAR40" s="899"/>
      <c r="VAS40" s="899"/>
      <c r="VAT40" s="899"/>
      <c r="VAU40" s="899"/>
      <c r="VAV40" s="899"/>
      <c r="VAW40" s="899"/>
      <c r="VAX40" s="899"/>
      <c r="VAY40" s="899"/>
      <c r="VAZ40" s="899"/>
      <c r="VBA40" s="899"/>
      <c r="VBB40" s="899"/>
      <c r="VBC40" s="899"/>
      <c r="VBD40" s="899"/>
      <c r="VBE40" s="899"/>
      <c r="VBF40" s="899"/>
      <c r="VBG40" s="899"/>
      <c r="VBH40" s="899"/>
      <c r="VBI40" s="899"/>
      <c r="VBJ40" s="899"/>
      <c r="VBK40" s="899"/>
      <c r="VBL40" s="899"/>
      <c r="VBM40" s="899"/>
      <c r="VBN40" s="899"/>
      <c r="VBO40" s="899"/>
      <c r="VBP40" s="899"/>
      <c r="VBQ40" s="899"/>
      <c r="VBR40" s="899"/>
      <c r="VBS40" s="899"/>
      <c r="VBT40" s="899"/>
      <c r="VBU40" s="899"/>
      <c r="VBV40" s="899"/>
      <c r="VBW40" s="899"/>
      <c r="VBX40" s="899"/>
      <c r="VBY40" s="899"/>
      <c r="VBZ40" s="899"/>
      <c r="VCA40" s="899"/>
      <c r="VCB40" s="899"/>
      <c r="VCC40" s="899"/>
      <c r="VCD40" s="899"/>
      <c r="VCE40" s="899"/>
      <c r="VCF40" s="899"/>
      <c r="VCG40" s="899"/>
      <c r="VCH40" s="899"/>
      <c r="VCI40" s="899"/>
      <c r="VCJ40" s="899"/>
      <c r="VCK40" s="899"/>
      <c r="VCL40" s="899"/>
      <c r="VCM40" s="899"/>
      <c r="VCN40" s="899"/>
      <c r="VCO40" s="899"/>
      <c r="VCP40" s="899"/>
      <c r="VCQ40" s="899"/>
      <c r="VCR40" s="899"/>
      <c r="VCS40" s="899"/>
      <c r="VCT40" s="899"/>
      <c r="VCU40" s="899"/>
      <c r="VCV40" s="899"/>
      <c r="VCW40" s="899"/>
      <c r="VCX40" s="899"/>
      <c r="VCY40" s="899"/>
      <c r="VCZ40" s="899"/>
      <c r="VDA40" s="899"/>
      <c r="VDB40" s="899"/>
      <c r="VDC40" s="899"/>
      <c r="VDD40" s="899"/>
      <c r="VDE40" s="899"/>
      <c r="VDF40" s="899"/>
      <c r="VDG40" s="899"/>
      <c r="VDH40" s="899"/>
      <c r="VDI40" s="899"/>
      <c r="VDJ40" s="899"/>
      <c r="VDK40" s="899"/>
      <c r="VDL40" s="899"/>
      <c r="VDM40" s="899"/>
      <c r="VDN40" s="899"/>
      <c r="VDO40" s="899"/>
      <c r="VDP40" s="899"/>
      <c r="VDQ40" s="899"/>
      <c r="VDR40" s="899"/>
      <c r="VDS40" s="899"/>
      <c r="VDT40" s="899"/>
      <c r="VDU40" s="899"/>
      <c r="VDV40" s="899"/>
      <c r="VDW40" s="899"/>
      <c r="VDX40" s="899"/>
      <c r="VDY40" s="899"/>
      <c r="VDZ40" s="899"/>
      <c r="VEA40" s="899"/>
      <c r="VEB40" s="899"/>
      <c r="VEC40" s="899"/>
      <c r="VED40" s="899"/>
      <c r="VEE40" s="899"/>
      <c r="VEF40" s="899"/>
      <c r="VEG40" s="899"/>
      <c r="VEH40" s="899"/>
      <c r="VEI40" s="899"/>
      <c r="VEJ40" s="899"/>
      <c r="VEK40" s="899"/>
      <c r="VEL40" s="899"/>
      <c r="VEM40" s="899"/>
      <c r="VEN40" s="899"/>
      <c r="VEO40" s="899"/>
      <c r="VEP40" s="899"/>
      <c r="VEQ40" s="899"/>
      <c r="VER40" s="899"/>
      <c r="VES40" s="899"/>
      <c r="VET40" s="899"/>
      <c r="VEU40" s="899"/>
      <c r="VEV40" s="899"/>
      <c r="VEW40" s="899"/>
      <c r="VEX40" s="899"/>
      <c r="VEY40" s="899"/>
      <c r="VEZ40" s="899"/>
      <c r="VFA40" s="899"/>
      <c r="VFB40" s="899"/>
      <c r="VFC40" s="899"/>
      <c r="VFD40" s="899"/>
      <c r="VFE40" s="899"/>
      <c r="VFF40" s="899"/>
      <c r="VFG40" s="899"/>
      <c r="VFH40" s="899"/>
      <c r="VFI40" s="899"/>
      <c r="VFJ40" s="899"/>
      <c r="VFK40" s="899"/>
      <c r="VFL40" s="899"/>
      <c r="VFM40" s="899"/>
      <c r="VFN40" s="899"/>
      <c r="VFO40" s="899"/>
      <c r="VFP40" s="899"/>
      <c r="VFQ40" s="899"/>
      <c r="VFR40" s="899"/>
      <c r="VFS40" s="899"/>
      <c r="VFT40" s="899"/>
      <c r="VFU40" s="899"/>
      <c r="VFV40" s="899"/>
      <c r="VFW40" s="899"/>
      <c r="VFX40" s="899"/>
      <c r="VFY40" s="899"/>
      <c r="VFZ40" s="899"/>
      <c r="VGA40" s="899"/>
      <c r="VGB40" s="899"/>
      <c r="VGC40" s="899"/>
      <c r="VGD40" s="899"/>
      <c r="VGE40" s="899"/>
      <c r="VGF40" s="899"/>
      <c r="VGG40" s="899"/>
      <c r="VGH40" s="899"/>
      <c r="VGI40" s="899"/>
      <c r="VGJ40" s="899"/>
      <c r="VGK40" s="899"/>
      <c r="VGL40" s="899"/>
      <c r="VGM40" s="899"/>
      <c r="VGN40" s="899"/>
      <c r="VGO40" s="899"/>
      <c r="VGP40" s="899"/>
      <c r="VGQ40" s="899"/>
      <c r="VGR40" s="899"/>
      <c r="VGS40" s="899"/>
      <c r="VGT40" s="899"/>
      <c r="VGU40" s="899"/>
      <c r="VGV40" s="899"/>
      <c r="VGW40" s="899"/>
      <c r="VGX40" s="899"/>
      <c r="VGY40" s="899"/>
      <c r="VGZ40" s="899"/>
      <c r="VHA40" s="899"/>
      <c r="VHB40" s="899"/>
      <c r="VHC40" s="899"/>
      <c r="VHD40" s="899"/>
      <c r="VHE40" s="899"/>
      <c r="VHF40" s="899"/>
      <c r="VHG40" s="899"/>
      <c r="VHH40" s="899"/>
      <c r="VHI40" s="899"/>
      <c r="VHJ40" s="899"/>
      <c r="VHK40" s="899"/>
      <c r="VHL40" s="899"/>
      <c r="VHM40" s="899"/>
      <c r="VHN40" s="899"/>
      <c r="VHO40" s="899"/>
      <c r="VHP40" s="899"/>
      <c r="VHQ40" s="899"/>
      <c r="VHR40" s="899"/>
      <c r="VHS40" s="899"/>
      <c r="VHT40" s="899"/>
      <c r="VHU40" s="899"/>
      <c r="VHV40" s="899"/>
      <c r="VHW40" s="899"/>
      <c r="VHX40" s="899"/>
      <c r="VHY40" s="899"/>
      <c r="VHZ40" s="899"/>
      <c r="VIA40" s="899"/>
      <c r="VIB40" s="899"/>
      <c r="VIC40" s="899"/>
      <c r="VID40" s="899"/>
      <c r="VIE40" s="899"/>
      <c r="VIF40" s="899"/>
      <c r="VIG40" s="899"/>
      <c r="VIH40" s="899"/>
      <c r="VII40" s="899"/>
      <c r="VIJ40" s="899"/>
      <c r="VIK40" s="899"/>
      <c r="VIL40" s="899"/>
      <c r="VIM40" s="899"/>
      <c r="VIN40" s="899"/>
      <c r="VIO40" s="899"/>
      <c r="VIP40" s="899"/>
      <c r="VIQ40" s="899"/>
      <c r="VIR40" s="899"/>
      <c r="VIS40" s="899"/>
      <c r="VIT40" s="899"/>
      <c r="VIU40" s="899"/>
      <c r="VIV40" s="899"/>
      <c r="VIW40" s="899"/>
      <c r="VIX40" s="899"/>
      <c r="VIY40" s="899"/>
      <c r="VIZ40" s="899"/>
      <c r="VJA40" s="899"/>
      <c r="VJB40" s="899"/>
      <c r="VJC40" s="899"/>
      <c r="VJD40" s="899"/>
      <c r="VJE40" s="899"/>
      <c r="VJF40" s="899"/>
      <c r="VJG40" s="899"/>
      <c r="VJH40" s="899"/>
      <c r="VJI40" s="899"/>
      <c r="VJJ40" s="899"/>
      <c r="VJK40" s="899"/>
      <c r="VJL40" s="899"/>
      <c r="VJM40" s="899"/>
      <c r="VJN40" s="899"/>
      <c r="VJO40" s="899"/>
      <c r="VJP40" s="899"/>
      <c r="VJQ40" s="899"/>
      <c r="VJR40" s="899"/>
      <c r="VJS40" s="899"/>
      <c r="VJT40" s="899"/>
      <c r="VJU40" s="899"/>
      <c r="VJV40" s="899"/>
      <c r="VJW40" s="899"/>
      <c r="VJX40" s="899"/>
      <c r="VJY40" s="899"/>
      <c r="VJZ40" s="899"/>
      <c r="VKA40" s="899"/>
      <c r="VKB40" s="899"/>
      <c r="VKC40" s="899"/>
      <c r="VKD40" s="899"/>
      <c r="VKE40" s="899"/>
      <c r="VKF40" s="899"/>
      <c r="VKG40" s="899"/>
      <c r="VKH40" s="899"/>
      <c r="VKI40" s="899"/>
      <c r="VKJ40" s="899"/>
      <c r="VKK40" s="899"/>
      <c r="VKL40" s="899"/>
      <c r="VKM40" s="899"/>
      <c r="VKN40" s="899"/>
      <c r="VKO40" s="899"/>
      <c r="VKP40" s="899"/>
      <c r="VKQ40" s="899"/>
      <c r="VKR40" s="899"/>
      <c r="VKS40" s="899"/>
      <c r="VKT40" s="899"/>
      <c r="VKU40" s="899"/>
      <c r="VKV40" s="899"/>
      <c r="VKW40" s="899"/>
      <c r="VKX40" s="899"/>
      <c r="VKY40" s="899"/>
      <c r="VKZ40" s="899"/>
      <c r="VLA40" s="899"/>
      <c r="VLB40" s="899"/>
      <c r="VLC40" s="899"/>
      <c r="VLD40" s="899"/>
      <c r="VLE40" s="899"/>
      <c r="VLF40" s="899"/>
      <c r="VLG40" s="899"/>
      <c r="VLH40" s="899"/>
      <c r="VLI40" s="899"/>
      <c r="VLJ40" s="899"/>
      <c r="VLK40" s="899"/>
      <c r="VLL40" s="899"/>
      <c r="VLM40" s="899"/>
      <c r="VLN40" s="899"/>
      <c r="VLO40" s="899"/>
      <c r="VLP40" s="899"/>
      <c r="VLQ40" s="899"/>
      <c r="VLR40" s="899"/>
      <c r="VLS40" s="899"/>
      <c r="VLT40" s="899"/>
      <c r="VLU40" s="899"/>
      <c r="VLV40" s="899"/>
      <c r="VLW40" s="899"/>
      <c r="VLX40" s="899"/>
      <c r="VLY40" s="899"/>
      <c r="VLZ40" s="899"/>
      <c r="VMA40" s="899"/>
      <c r="VMB40" s="899"/>
      <c r="VMC40" s="899"/>
      <c r="VMD40" s="899"/>
      <c r="VME40" s="899"/>
      <c r="VMF40" s="899"/>
      <c r="VMG40" s="899"/>
      <c r="VMH40" s="899"/>
      <c r="VMI40" s="899"/>
      <c r="VMJ40" s="899"/>
      <c r="VMK40" s="899"/>
      <c r="VML40" s="899"/>
      <c r="VMM40" s="899"/>
      <c r="VMN40" s="899"/>
      <c r="VMO40" s="899"/>
      <c r="VMP40" s="899"/>
      <c r="VMQ40" s="899"/>
      <c r="VMR40" s="899"/>
      <c r="VMS40" s="899"/>
      <c r="VMT40" s="899"/>
      <c r="VMU40" s="899"/>
      <c r="VMV40" s="899"/>
      <c r="VMW40" s="899"/>
      <c r="VMX40" s="899"/>
      <c r="VMY40" s="899"/>
      <c r="VMZ40" s="899"/>
      <c r="VNA40" s="899"/>
      <c r="VNB40" s="899"/>
      <c r="VNC40" s="899"/>
      <c r="VND40" s="899"/>
      <c r="VNE40" s="899"/>
      <c r="VNF40" s="899"/>
      <c r="VNG40" s="899"/>
      <c r="VNH40" s="899"/>
      <c r="VNI40" s="899"/>
      <c r="VNJ40" s="899"/>
      <c r="VNK40" s="899"/>
      <c r="VNL40" s="899"/>
      <c r="VNM40" s="899"/>
      <c r="VNN40" s="899"/>
      <c r="VNO40" s="899"/>
      <c r="VNP40" s="899"/>
      <c r="VNQ40" s="899"/>
      <c r="VNR40" s="899"/>
      <c r="VNS40" s="899"/>
      <c r="VNT40" s="899"/>
      <c r="VNU40" s="899"/>
      <c r="VNV40" s="899"/>
      <c r="VNW40" s="899"/>
      <c r="VNX40" s="899"/>
      <c r="VNY40" s="899"/>
      <c r="VNZ40" s="899"/>
      <c r="VOA40" s="899"/>
      <c r="VOB40" s="899"/>
      <c r="VOC40" s="899"/>
      <c r="VOD40" s="899"/>
      <c r="VOE40" s="899"/>
      <c r="VOF40" s="899"/>
      <c r="VOG40" s="899"/>
      <c r="VOH40" s="899"/>
      <c r="VOI40" s="899"/>
      <c r="VOJ40" s="899"/>
      <c r="VOK40" s="899"/>
      <c r="VOL40" s="899"/>
      <c r="VOM40" s="899"/>
      <c r="VON40" s="899"/>
      <c r="VOO40" s="899"/>
      <c r="VOP40" s="899"/>
      <c r="VOQ40" s="899"/>
      <c r="VOR40" s="899"/>
      <c r="VOS40" s="899"/>
      <c r="VOT40" s="899"/>
      <c r="VOU40" s="899"/>
      <c r="VOV40" s="899"/>
      <c r="VOW40" s="899"/>
      <c r="VOX40" s="899"/>
      <c r="VOY40" s="899"/>
      <c r="VOZ40" s="899"/>
      <c r="VPA40" s="899"/>
      <c r="VPB40" s="899"/>
      <c r="VPC40" s="899"/>
      <c r="VPD40" s="899"/>
      <c r="VPE40" s="899"/>
      <c r="VPF40" s="899"/>
      <c r="VPG40" s="899"/>
      <c r="VPH40" s="899"/>
      <c r="VPI40" s="899"/>
      <c r="VPJ40" s="899"/>
      <c r="VPK40" s="899"/>
      <c r="VPL40" s="899"/>
      <c r="VPM40" s="899"/>
      <c r="VPN40" s="899"/>
      <c r="VPO40" s="899"/>
      <c r="VPP40" s="899"/>
      <c r="VPQ40" s="899"/>
      <c r="VPR40" s="899"/>
      <c r="VPS40" s="899"/>
      <c r="VPT40" s="899"/>
      <c r="VPU40" s="899"/>
      <c r="VPV40" s="899"/>
      <c r="VPW40" s="899"/>
      <c r="VPX40" s="899"/>
      <c r="VPY40" s="899"/>
      <c r="VPZ40" s="899"/>
      <c r="VQA40" s="899"/>
      <c r="VQB40" s="899"/>
      <c r="VQC40" s="899"/>
      <c r="VQD40" s="899"/>
      <c r="VQE40" s="899"/>
      <c r="VQF40" s="899"/>
      <c r="VQG40" s="899"/>
      <c r="VQH40" s="899"/>
      <c r="VQI40" s="899"/>
      <c r="VQJ40" s="899"/>
      <c r="VQK40" s="899"/>
      <c r="VQL40" s="899"/>
      <c r="VQM40" s="899"/>
      <c r="VQN40" s="899"/>
      <c r="VQO40" s="899"/>
      <c r="VQP40" s="899"/>
      <c r="VQQ40" s="899"/>
      <c r="VQR40" s="899"/>
      <c r="VQS40" s="899"/>
      <c r="VQT40" s="899"/>
      <c r="VQU40" s="899"/>
      <c r="VQV40" s="899"/>
      <c r="VQW40" s="899"/>
      <c r="VQX40" s="899"/>
      <c r="VQY40" s="899"/>
      <c r="VQZ40" s="899"/>
      <c r="VRA40" s="899"/>
      <c r="VRB40" s="899"/>
      <c r="VRC40" s="899"/>
      <c r="VRD40" s="899"/>
      <c r="VRE40" s="899"/>
      <c r="VRF40" s="899"/>
      <c r="VRG40" s="899"/>
      <c r="VRH40" s="899"/>
      <c r="VRI40" s="899"/>
      <c r="VRJ40" s="899"/>
      <c r="VRK40" s="899"/>
      <c r="VRL40" s="899"/>
      <c r="VRM40" s="899"/>
      <c r="VRN40" s="899"/>
      <c r="VRO40" s="899"/>
      <c r="VRP40" s="899"/>
      <c r="VRQ40" s="899"/>
      <c r="VRR40" s="899"/>
      <c r="VRS40" s="899"/>
      <c r="VRT40" s="899"/>
      <c r="VRU40" s="899"/>
      <c r="VRV40" s="899"/>
      <c r="VRW40" s="899"/>
      <c r="VRX40" s="899"/>
      <c r="VRY40" s="899"/>
      <c r="VRZ40" s="899"/>
      <c r="VSA40" s="899"/>
      <c r="VSB40" s="899"/>
      <c r="VSC40" s="899"/>
      <c r="VSD40" s="899"/>
      <c r="VSE40" s="899"/>
      <c r="VSF40" s="899"/>
      <c r="VSG40" s="899"/>
      <c r="VSH40" s="899"/>
      <c r="VSI40" s="899"/>
      <c r="VSJ40" s="899"/>
      <c r="VSK40" s="899"/>
      <c r="VSL40" s="899"/>
      <c r="VSM40" s="899"/>
      <c r="VSN40" s="899"/>
      <c r="VSO40" s="899"/>
      <c r="VSP40" s="899"/>
      <c r="VSQ40" s="899"/>
      <c r="VSR40" s="899"/>
      <c r="VSS40" s="899"/>
      <c r="VST40" s="899"/>
      <c r="VSU40" s="899"/>
      <c r="VSV40" s="899"/>
      <c r="VSW40" s="899"/>
      <c r="VSX40" s="899"/>
      <c r="VSY40" s="899"/>
      <c r="VSZ40" s="899"/>
      <c r="VTA40" s="899"/>
      <c r="VTB40" s="899"/>
      <c r="VTC40" s="899"/>
      <c r="VTD40" s="899"/>
      <c r="VTE40" s="899"/>
      <c r="VTF40" s="899"/>
      <c r="VTG40" s="899"/>
      <c r="VTH40" s="899"/>
      <c r="VTI40" s="899"/>
      <c r="VTJ40" s="899"/>
      <c r="VTK40" s="899"/>
      <c r="VTL40" s="899"/>
      <c r="VTM40" s="899"/>
      <c r="VTN40" s="899"/>
      <c r="VTO40" s="899"/>
      <c r="VTP40" s="899"/>
      <c r="VTQ40" s="899"/>
      <c r="VTR40" s="899"/>
      <c r="VTS40" s="899"/>
      <c r="VTT40" s="899"/>
      <c r="VTU40" s="899"/>
      <c r="VTV40" s="899"/>
      <c r="VTW40" s="899"/>
      <c r="VTX40" s="899"/>
      <c r="VTY40" s="899"/>
      <c r="VTZ40" s="899"/>
      <c r="VUA40" s="899"/>
      <c r="VUB40" s="899"/>
      <c r="VUC40" s="899"/>
      <c r="VUD40" s="899"/>
      <c r="VUE40" s="899"/>
      <c r="VUF40" s="899"/>
      <c r="VUG40" s="899"/>
      <c r="VUH40" s="899"/>
      <c r="VUI40" s="899"/>
      <c r="VUJ40" s="899"/>
      <c r="VUK40" s="899"/>
      <c r="VUL40" s="899"/>
      <c r="VUM40" s="899"/>
      <c r="VUN40" s="899"/>
      <c r="VUO40" s="899"/>
      <c r="VUP40" s="899"/>
      <c r="VUQ40" s="899"/>
      <c r="VUR40" s="899"/>
      <c r="VUS40" s="899"/>
      <c r="VUT40" s="899"/>
      <c r="VUU40" s="899"/>
      <c r="VUV40" s="899"/>
      <c r="VUW40" s="899"/>
      <c r="VUX40" s="899"/>
      <c r="VUY40" s="899"/>
      <c r="VUZ40" s="899"/>
      <c r="VVA40" s="899"/>
      <c r="VVB40" s="899"/>
      <c r="VVC40" s="899"/>
      <c r="VVD40" s="899"/>
      <c r="VVE40" s="899"/>
      <c r="VVF40" s="899"/>
      <c r="VVG40" s="899"/>
      <c r="VVH40" s="899"/>
      <c r="VVI40" s="899"/>
      <c r="VVJ40" s="899"/>
      <c r="VVK40" s="899"/>
      <c r="VVL40" s="899"/>
      <c r="VVM40" s="899"/>
      <c r="VVN40" s="899"/>
      <c r="VVO40" s="899"/>
      <c r="VVP40" s="899"/>
      <c r="VVQ40" s="899"/>
      <c r="VVR40" s="899"/>
      <c r="VVS40" s="899"/>
      <c r="VVT40" s="899"/>
      <c r="VVU40" s="899"/>
      <c r="VVV40" s="899"/>
      <c r="VVW40" s="899"/>
      <c r="VVX40" s="899"/>
      <c r="VVY40" s="899"/>
      <c r="VVZ40" s="899"/>
      <c r="VWA40" s="899"/>
      <c r="VWB40" s="899"/>
      <c r="VWC40" s="899"/>
      <c r="VWD40" s="899"/>
      <c r="VWE40" s="899"/>
      <c r="VWF40" s="899"/>
      <c r="VWG40" s="899"/>
      <c r="VWH40" s="899"/>
      <c r="VWI40" s="899"/>
      <c r="VWJ40" s="899"/>
      <c r="VWK40" s="899"/>
      <c r="VWL40" s="899"/>
      <c r="VWM40" s="899"/>
      <c r="VWN40" s="899"/>
      <c r="VWO40" s="899"/>
      <c r="VWP40" s="899"/>
      <c r="VWQ40" s="899"/>
      <c r="VWR40" s="899"/>
      <c r="VWS40" s="899"/>
      <c r="VWT40" s="899"/>
      <c r="VWU40" s="899"/>
      <c r="VWV40" s="899"/>
      <c r="VWW40" s="899"/>
      <c r="VWX40" s="899"/>
      <c r="VWY40" s="899"/>
      <c r="VWZ40" s="899"/>
      <c r="VXA40" s="899"/>
      <c r="VXB40" s="899"/>
      <c r="VXC40" s="899"/>
      <c r="VXD40" s="899"/>
      <c r="VXE40" s="899"/>
      <c r="VXF40" s="899"/>
      <c r="VXG40" s="899"/>
      <c r="VXH40" s="899"/>
      <c r="VXI40" s="899"/>
      <c r="VXJ40" s="899"/>
      <c r="VXK40" s="899"/>
      <c r="VXL40" s="899"/>
      <c r="VXM40" s="899"/>
      <c r="VXN40" s="899"/>
      <c r="VXO40" s="899"/>
      <c r="VXP40" s="899"/>
      <c r="VXQ40" s="899"/>
      <c r="VXR40" s="899"/>
      <c r="VXS40" s="899"/>
      <c r="VXT40" s="899"/>
      <c r="VXU40" s="899"/>
      <c r="VXV40" s="899"/>
      <c r="VXW40" s="899"/>
      <c r="VXX40" s="899"/>
      <c r="VXY40" s="899"/>
      <c r="VXZ40" s="899"/>
      <c r="VYA40" s="899"/>
      <c r="VYB40" s="899"/>
      <c r="VYC40" s="899"/>
      <c r="VYD40" s="899"/>
      <c r="VYE40" s="899"/>
      <c r="VYF40" s="899"/>
      <c r="VYG40" s="899"/>
      <c r="VYH40" s="899"/>
      <c r="VYI40" s="899"/>
      <c r="VYJ40" s="899"/>
      <c r="VYK40" s="899"/>
      <c r="VYL40" s="899"/>
      <c r="VYM40" s="899"/>
      <c r="VYN40" s="899"/>
      <c r="VYO40" s="899"/>
      <c r="VYP40" s="899"/>
      <c r="VYQ40" s="899"/>
      <c r="VYR40" s="899"/>
      <c r="VYS40" s="899"/>
      <c r="VYT40" s="899"/>
      <c r="VYU40" s="899"/>
      <c r="VYV40" s="899"/>
      <c r="VYW40" s="899"/>
      <c r="VYX40" s="899"/>
      <c r="VYY40" s="899"/>
      <c r="VYZ40" s="899"/>
      <c r="VZA40" s="899"/>
      <c r="VZB40" s="899"/>
      <c r="VZC40" s="899"/>
      <c r="VZD40" s="899"/>
      <c r="VZE40" s="899"/>
      <c r="VZF40" s="899"/>
      <c r="VZG40" s="899"/>
      <c r="VZH40" s="899"/>
      <c r="VZI40" s="899"/>
      <c r="VZJ40" s="899"/>
      <c r="VZK40" s="899"/>
      <c r="VZL40" s="899"/>
      <c r="VZM40" s="899"/>
      <c r="VZN40" s="899"/>
      <c r="VZO40" s="899"/>
      <c r="VZP40" s="899"/>
      <c r="VZQ40" s="899"/>
      <c r="VZR40" s="899"/>
      <c r="VZS40" s="899"/>
      <c r="VZT40" s="899"/>
      <c r="VZU40" s="899"/>
      <c r="VZV40" s="899"/>
      <c r="VZW40" s="899"/>
      <c r="VZX40" s="899"/>
      <c r="VZY40" s="899"/>
      <c r="VZZ40" s="899"/>
      <c r="WAA40" s="899"/>
      <c r="WAB40" s="899"/>
      <c r="WAC40" s="899"/>
      <c r="WAD40" s="899"/>
      <c r="WAE40" s="899"/>
      <c r="WAF40" s="899"/>
      <c r="WAG40" s="899"/>
      <c r="WAH40" s="899"/>
      <c r="WAI40" s="899"/>
      <c r="WAJ40" s="899"/>
      <c r="WAK40" s="899"/>
      <c r="WAL40" s="899"/>
      <c r="WAM40" s="899"/>
      <c r="WAN40" s="899"/>
      <c r="WAO40" s="899"/>
      <c r="WAP40" s="899"/>
      <c r="WAQ40" s="899"/>
      <c r="WAR40" s="899"/>
      <c r="WAS40" s="899"/>
      <c r="WAT40" s="899"/>
      <c r="WAU40" s="899"/>
      <c r="WAV40" s="899"/>
      <c r="WAW40" s="899"/>
      <c r="WAX40" s="899"/>
      <c r="WAY40" s="899"/>
      <c r="WAZ40" s="899"/>
      <c r="WBA40" s="899"/>
      <c r="WBB40" s="899"/>
      <c r="WBC40" s="899"/>
      <c r="WBD40" s="899"/>
      <c r="WBE40" s="899"/>
      <c r="WBF40" s="899"/>
      <c r="WBG40" s="899"/>
      <c r="WBH40" s="899"/>
      <c r="WBI40" s="899"/>
      <c r="WBJ40" s="899"/>
      <c r="WBK40" s="899"/>
      <c r="WBL40" s="899"/>
      <c r="WBM40" s="899"/>
      <c r="WBN40" s="899"/>
      <c r="WBO40" s="899"/>
      <c r="WBP40" s="899"/>
      <c r="WBQ40" s="899"/>
      <c r="WBR40" s="899"/>
      <c r="WBS40" s="899"/>
      <c r="WBT40" s="899"/>
      <c r="WBU40" s="899"/>
      <c r="WBV40" s="899"/>
      <c r="WBW40" s="899"/>
      <c r="WBX40" s="899"/>
      <c r="WBY40" s="899"/>
      <c r="WBZ40" s="899"/>
      <c r="WCA40" s="899"/>
      <c r="WCB40" s="899"/>
      <c r="WCC40" s="899"/>
      <c r="WCD40" s="899"/>
      <c r="WCE40" s="899"/>
      <c r="WCF40" s="899"/>
      <c r="WCG40" s="899"/>
      <c r="WCH40" s="899"/>
      <c r="WCI40" s="899"/>
      <c r="WCJ40" s="899"/>
      <c r="WCK40" s="899"/>
      <c r="WCL40" s="899"/>
      <c r="WCM40" s="899"/>
      <c r="WCN40" s="899"/>
      <c r="WCO40" s="899"/>
      <c r="WCP40" s="899"/>
      <c r="WCQ40" s="899"/>
      <c r="WCR40" s="899"/>
      <c r="WCS40" s="899"/>
      <c r="WCT40" s="899"/>
      <c r="WCU40" s="899"/>
      <c r="WCV40" s="899"/>
      <c r="WCW40" s="899"/>
      <c r="WCX40" s="899"/>
      <c r="WCY40" s="899"/>
      <c r="WCZ40" s="899"/>
      <c r="WDA40" s="899"/>
      <c r="WDB40" s="899"/>
      <c r="WDC40" s="899"/>
      <c r="WDD40" s="899"/>
      <c r="WDE40" s="899"/>
      <c r="WDF40" s="899"/>
      <c r="WDG40" s="899"/>
      <c r="WDH40" s="899"/>
      <c r="WDI40" s="899"/>
      <c r="WDJ40" s="899"/>
      <c r="WDK40" s="899"/>
      <c r="WDL40" s="899"/>
      <c r="WDM40" s="899"/>
      <c r="WDN40" s="899"/>
      <c r="WDO40" s="899"/>
      <c r="WDP40" s="899"/>
      <c r="WDQ40" s="899"/>
      <c r="WDR40" s="899"/>
      <c r="WDS40" s="899"/>
      <c r="WDT40" s="899"/>
      <c r="WDU40" s="899"/>
      <c r="WDV40" s="899"/>
      <c r="WDW40" s="899"/>
      <c r="WDX40" s="899"/>
      <c r="WDY40" s="899"/>
      <c r="WDZ40" s="899"/>
      <c r="WEA40" s="899"/>
      <c r="WEB40" s="899"/>
      <c r="WEC40" s="899"/>
      <c r="WED40" s="899"/>
      <c r="WEE40" s="899"/>
      <c r="WEF40" s="899"/>
      <c r="WEG40" s="899"/>
      <c r="WEH40" s="899"/>
      <c r="WEI40" s="899"/>
      <c r="WEJ40" s="899"/>
      <c r="WEK40" s="899"/>
      <c r="WEL40" s="899"/>
      <c r="WEM40" s="899"/>
      <c r="WEN40" s="899"/>
      <c r="WEO40" s="899"/>
      <c r="WEP40" s="899"/>
      <c r="WEQ40" s="899"/>
      <c r="WER40" s="899"/>
      <c r="WES40" s="899"/>
      <c r="WET40" s="899"/>
      <c r="WEU40" s="899"/>
      <c r="WEV40" s="899"/>
      <c r="WEW40" s="899"/>
      <c r="WEX40" s="899"/>
      <c r="WEY40" s="899"/>
      <c r="WEZ40" s="899"/>
      <c r="WFA40" s="899"/>
      <c r="WFB40" s="899"/>
      <c r="WFC40" s="899"/>
      <c r="WFD40" s="899"/>
      <c r="WFE40" s="899"/>
      <c r="WFF40" s="899"/>
      <c r="WFG40" s="899"/>
      <c r="WFH40" s="899"/>
      <c r="WFI40" s="899"/>
      <c r="WFJ40" s="899"/>
      <c r="WFK40" s="899"/>
      <c r="WFL40" s="899"/>
      <c r="WFM40" s="899"/>
      <c r="WFN40" s="899"/>
      <c r="WFO40" s="899"/>
      <c r="WFP40" s="899"/>
      <c r="WFQ40" s="899"/>
      <c r="WFR40" s="899"/>
      <c r="WFS40" s="899"/>
      <c r="WFT40" s="899"/>
      <c r="WFU40" s="899"/>
      <c r="WFV40" s="899"/>
      <c r="WFW40" s="899"/>
      <c r="WFX40" s="899"/>
      <c r="WFY40" s="899"/>
      <c r="WFZ40" s="899"/>
      <c r="WGA40" s="899"/>
      <c r="WGB40" s="899"/>
      <c r="WGC40" s="899"/>
      <c r="WGD40" s="899"/>
      <c r="WGE40" s="899"/>
      <c r="WGF40" s="899"/>
      <c r="WGG40" s="899"/>
      <c r="WGH40" s="899"/>
      <c r="WGI40" s="899"/>
      <c r="WGJ40" s="899"/>
      <c r="WGK40" s="899"/>
      <c r="WGL40" s="899"/>
      <c r="WGM40" s="899"/>
      <c r="WGN40" s="899"/>
      <c r="WGO40" s="899"/>
      <c r="WGP40" s="899"/>
      <c r="WGQ40" s="899"/>
      <c r="WGR40" s="899"/>
      <c r="WGS40" s="899"/>
      <c r="WGT40" s="899"/>
      <c r="WGU40" s="899"/>
      <c r="WGV40" s="899"/>
      <c r="WGW40" s="899"/>
      <c r="WGX40" s="899"/>
      <c r="WGY40" s="899"/>
      <c r="WGZ40" s="899"/>
      <c r="WHA40" s="899"/>
      <c r="WHB40" s="899"/>
      <c r="WHC40" s="899"/>
      <c r="WHD40" s="899"/>
      <c r="WHE40" s="899"/>
      <c r="WHF40" s="899"/>
      <c r="WHG40" s="899"/>
      <c r="WHH40" s="899"/>
      <c r="WHI40" s="899"/>
      <c r="WHJ40" s="899"/>
      <c r="WHK40" s="899"/>
      <c r="WHL40" s="899"/>
      <c r="WHM40" s="899"/>
      <c r="WHN40" s="899"/>
      <c r="WHO40" s="899"/>
      <c r="WHP40" s="899"/>
      <c r="WHQ40" s="899"/>
      <c r="WHR40" s="899"/>
      <c r="WHS40" s="899"/>
      <c r="WHT40" s="899"/>
      <c r="WHU40" s="899"/>
      <c r="WHV40" s="899"/>
      <c r="WHW40" s="899"/>
      <c r="WHX40" s="899"/>
      <c r="WHY40" s="899"/>
      <c r="WHZ40" s="899"/>
      <c r="WIA40" s="899"/>
      <c r="WIB40" s="899"/>
      <c r="WIC40" s="899"/>
      <c r="WID40" s="899"/>
      <c r="WIE40" s="899"/>
      <c r="WIF40" s="899"/>
      <c r="WIG40" s="899"/>
      <c r="WIH40" s="899"/>
      <c r="WII40" s="899"/>
      <c r="WIJ40" s="899"/>
      <c r="WIK40" s="899"/>
      <c r="WIL40" s="899"/>
      <c r="WIM40" s="899"/>
      <c r="WIN40" s="899"/>
      <c r="WIO40" s="899"/>
      <c r="WIP40" s="899"/>
      <c r="WIQ40" s="899"/>
      <c r="WIR40" s="899"/>
      <c r="WIS40" s="899"/>
      <c r="WIT40" s="899"/>
      <c r="WIU40" s="899"/>
      <c r="WIV40" s="899"/>
      <c r="WIW40" s="899"/>
      <c r="WIX40" s="899"/>
      <c r="WIY40" s="899"/>
      <c r="WIZ40" s="899"/>
      <c r="WJA40" s="899"/>
      <c r="WJB40" s="899"/>
      <c r="WJC40" s="899"/>
      <c r="WJD40" s="899"/>
      <c r="WJE40" s="899"/>
      <c r="WJF40" s="899"/>
      <c r="WJG40" s="899"/>
      <c r="WJH40" s="899"/>
      <c r="WJI40" s="899"/>
      <c r="WJJ40" s="899"/>
      <c r="WJK40" s="899"/>
      <c r="WJL40" s="899"/>
      <c r="WJM40" s="899"/>
      <c r="WJN40" s="899"/>
      <c r="WJO40" s="899"/>
      <c r="WJP40" s="899"/>
      <c r="WJQ40" s="899"/>
      <c r="WJR40" s="899"/>
      <c r="WJS40" s="899"/>
      <c r="WJT40" s="899"/>
      <c r="WJU40" s="899"/>
      <c r="WJV40" s="899"/>
      <c r="WJW40" s="899"/>
      <c r="WJX40" s="899"/>
      <c r="WJY40" s="899"/>
      <c r="WJZ40" s="899"/>
      <c r="WKA40" s="899"/>
      <c r="WKB40" s="899"/>
      <c r="WKC40" s="899"/>
      <c r="WKD40" s="899"/>
      <c r="WKE40" s="899"/>
      <c r="WKF40" s="899"/>
      <c r="WKG40" s="899"/>
      <c r="WKH40" s="899"/>
      <c r="WKI40" s="899"/>
      <c r="WKJ40" s="899"/>
      <c r="WKK40" s="899"/>
      <c r="WKL40" s="899"/>
      <c r="WKM40" s="899"/>
      <c r="WKN40" s="899"/>
      <c r="WKO40" s="899"/>
      <c r="WKP40" s="899"/>
      <c r="WKQ40" s="899"/>
      <c r="WKR40" s="899"/>
      <c r="WKS40" s="899"/>
      <c r="WKT40" s="899"/>
      <c r="WKU40" s="899"/>
      <c r="WKV40" s="899"/>
      <c r="WKW40" s="899"/>
      <c r="WKX40" s="899"/>
      <c r="WKY40" s="899"/>
      <c r="WKZ40" s="899"/>
      <c r="WLA40" s="899"/>
      <c r="WLB40" s="899"/>
      <c r="WLC40" s="899"/>
      <c r="WLD40" s="899"/>
      <c r="WLE40" s="899"/>
      <c r="WLF40" s="899"/>
      <c r="WLG40" s="899"/>
      <c r="WLH40" s="899"/>
      <c r="WLI40" s="899"/>
      <c r="WLJ40" s="899"/>
      <c r="WLK40" s="899"/>
      <c r="WLL40" s="899"/>
      <c r="WLM40" s="899"/>
      <c r="WLN40" s="899"/>
      <c r="WLO40" s="899"/>
      <c r="WLP40" s="899"/>
      <c r="WLQ40" s="899"/>
      <c r="WLR40" s="899"/>
      <c r="WLS40" s="899"/>
      <c r="WLT40" s="899"/>
      <c r="WLU40" s="899"/>
      <c r="WLV40" s="899"/>
      <c r="WLW40" s="899"/>
      <c r="WLX40" s="899"/>
      <c r="WLY40" s="899"/>
      <c r="WLZ40" s="899"/>
      <c r="WMA40" s="899"/>
      <c r="WMB40" s="899"/>
      <c r="WMC40" s="899"/>
      <c r="WMD40" s="899"/>
      <c r="WME40" s="899"/>
      <c r="WMF40" s="899"/>
      <c r="WMG40" s="899"/>
      <c r="WMH40" s="899"/>
      <c r="WMI40" s="899"/>
      <c r="WMJ40" s="899"/>
      <c r="WMK40" s="899"/>
      <c r="WML40" s="899"/>
      <c r="WMM40" s="899"/>
      <c r="WMN40" s="899"/>
      <c r="WMO40" s="899"/>
      <c r="WMP40" s="899"/>
      <c r="WMQ40" s="899"/>
      <c r="WMR40" s="899"/>
      <c r="WMS40" s="899"/>
      <c r="WMT40" s="899"/>
      <c r="WMU40" s="899"/>
      <c r="WMV40" s="899"/>
      <c r="WMW40" s="899"/>
      <c r="WMX40" s="899"/>
      <c r="WMY40" s="899"/>
      <c r="WMZ40" s="899"/>
      <c r="WNA40" s="899"/>
      <c r="WNB40" s="899"/>
      <c r="WNC40" s="899"/>
      <c r="WND40" s="899"/>
      <c r="WNE40" s="899"/>
      <c r="WNF40" s="899"/>
      <c r="WNG40" s="899"/>
      <c r="WNH40" s="899"/>
      <c r="WNI40" s="899"/>
      <c r="WNJ40" s="899"/>
      <c r="WNK40" s="899"/>
      <c r="WNL40" s="899"/>
      <c r="WNM40" s="899"/>
      <c r="WNN40" s="899"/>
      <c r="WNO40" s="899"/>
      <c r="WNP40" s="899"/>
      <c r="WNQ40" s="899"/>
      <c r="WNR40" s="899"/>
      <c r="WNS40" s="899"/>
      <c r="WNT40" s="899"/>
      <c r="WNU40" s="899"/>
      <c r="WNV40" s="899"/>
      <c r="WNW40" s="899"/>
      <c r="WNX40" s="899"/>
      <c r="WNY40" s="899"/>
      <c r="WNZ40" s="899"/>
      <c r="WOA40" s="899"/>
      <c r="WOB40" s="899"/>
      <c r="WOC40" s="899"/>
      <c r="WOD40" s="899"/>
      <c r="WOE40" s="899"/>
      <c r="WOF40" s="899"/>
      <c r="WOG40" s="899"/>
      <c r="WOH40" s="899"/>
      <c r="WOI40" s="899"/>
      <c r="WOJ40" s="899"/>
      <c r="WOK40" s="899"/>
      <c r="WOL40" s="899"/>
      <c r="WOM40" s="899"/>
      <c r="WON40" s="899"/>
      <c r="WOO40" s="899"/>
      <c r="WOP40" s="899"/>
      <c r="WOQ40" s="899"/>
      <c r="WOR40" s="899"/>
      <c r="WOS40" s="899"/>
      <c r="WOT40" s="899"/>
      <c r="WOU40" s="899"/>
      <c r="WOV40" s="899"/>
      <c r="WOW40" s="899"/>
      <c r="WOX40" s="899"/>
      <c r="WOY40" s="899"/>
      <c r="WOZ40" s="899"/>
      <c r="WPA40" s="899"/>
      <c r="WPB40" s="899"/>
      <c r="WPC40" s="899"/>
      <c r="WPD40" s="899"/>
      <c r="WPE40" s="899"/>
      <c r="WPF40" s="899"/>
      <c r="WPG40" s="899"/>
      <c r="WPH40" s="899"/>
      <c r="WPI40" s="899"/>
      <c r="WPJ40" s="899"/>
      <c r="WPK40" s="899"/>
      <c r="WPL40" s="899"/>
      <c r="WPM40" s="899"/>
      <c r="WPN40" s="899"/>
      <c r="WPO40" s="899"/>
      <c r="WPP40" s="899"/>
      <c r="WPQ40" s="899"/>
      <c r="WPR40" s="899"/>
      <c r="WPS40" s="899"/>
      <c r="WPT40" s="899"/>
      <c r="WPU40" s="899"/>
      <c r="WPV40" s="899"/>
      <c r="WPW40" s="899"/>
      <c r="WPX40" s="899"/>
      <c r="WPY40" s="899"/>
      <c r="WPZ40" s="899"/>
      <c r="WQA40" s="899"/>
      <c r="WQB40" s="899"/>
      <c r="WQC40" s="899"/>
      <c r="WQD40" s="899"/>
      <c r="WQE40" s="899"/>
      <c r="WQF40" s="899"/>
      <c r="WQG40" s="899"/>
      <c r="WQH40" s="899"/>
      <c r="WQI40" s="899"/>
      <c r="WQJ40" s="899"/>
      <c r="WQK40" s="899"/>
      <c r="WQL40" s="899"/>
      <c r="WQM40" s="899"/>
      <c r="WQN40" s="899"/>
      <c r="WQO40" s="899"/>
      <c r="WQP40" s="899"/>
      <c r="WQQ40" s="899"/>
      <c r="WQR40" s="899"/>
      <c r="WQS40" s="899"/>
      <c r="WQT40" s="899"/>
      <c r="WQU40" s="899"/>
      <c r="WQV40" s="899"/>
      <c r="WQW40" s="899"/>
      <c r="WQX40" s="899"/>
      <c r="WQY40" s="899"/>
      <c r="WQZ40" s="899"/>
      <c r="WRA40" s="899"/>
      <c r="WRB40" s="899"/>
      <c r="WRC40" s="899"/>
      <c r="WRD40" s="899"/>
      <c r="WRE40" s="899"/>
      <c r="WRF40" s="899"/>
      <c r="WRG40" s="899"/>
      <c r="WRH40" s="899"/>
      <c r="WRI40" s="899"/>
      <c r="WRJ40" s="899"/>
      <c r="WRK40" s="899"/>
      <c r="WRL40" s="899"/>
      <c r="WRM40" s="899"/>
      <c r="WRN40" s="899"/>
      <c r="WRO40" s="899"/>
      <c r="WRP40" s="899"/>
      <c r="WRQ40" s="899"/>
      <c r="WRR40" s="899"/>
      <c r="WRS40" s="899"/>
      <c r="WRT40" s="899"/>
      <c r="WRU40" s="899"/>
      <c r="WRV40" s="899"/>
      <c r="WRW40" s="899"/>
      <c r="WRX40" s="899"/>
      <c r="WRY40" s="899"/>
      <c r="WRZ40" s="899"/>
      <c r="WSA40" s="899"/>
      <c r="WSB40" s="899"/>
      <c r="WSC40" s="899"/>
      <c r="WSD40" s="899"/>
      <c r="WSE40" s="899"/>
      <c r="WSF40" s="899"/>
      <c r="WSG40" s="899"/>
      <c r="WSH40" s="899"/>
      <c r="WSI40" s="899"/>
      <c r="WSJ40" s="899"/>
      <c r="WSK40" s="899"/>
      <c r="WSL40" s="899"/>
      <c r="WSM40" s="899"/>
      <c r="WSN40" s="899"/>
      <c r="WSO40" s="899"/>
      <c r="WSP40" s="899"/>
      <c r="WSQ40" s="899"/>
      <c r="WSR40" s="899"/>
      <c r="WSS40" s="899"/>
      <c r="WST40" s="899"/>
      <c r="WSU40" s="899"/>
      <c r="WSV40" s="899"/>
      <c r="WSW40" s="899"/>
      <c r="WSX40" s="899"/>
      <c r="WSY40" s="899"/>
      <c r="WSZ40" s="899"/>
      <c r="WTA40" s="899"/>
      <c r="WTB40" s="899"/>
      <c r="WTC40" s="899"/>
      <c r="WTD40" s="899"/>
      <c r="WTE40" s="899"/>
      <c r="WTF40" s="899"/>
      <c r="WTG40" s="899"/>
      <c r="WTH40" s="899"/>
      <c r="WTI40" s="899"/>
      <c r="WTJ40" s="899"/>
      <c r="WTK40" s="899"/>
      <c r="WTL40" s="899"/>
      <c r="WTM40" s="899"/>
      <c r="WTN40" s="899"/>
      <c r="WTO40" s="899"/>
      <c r="WTP40" s="899"/>
      <c r="WTQ40" s="899"/>
      <c r="WTR40" s="899"/>
      <c r="WTS40" s="899"/>
      <c r="WTT40" s="899"/>
      <c r="WTU40" s="899"/>
      <c r="WTV40" s="899"/>
      <c r="WTW40" s="899"/>
      <c r="WTX40" s="899"/>
      <c r="WTY40" s="899"/>
      <c r="WTZ40" s="899"/>
      <c r="WUA40" s="899"/>
      <c r="WUB40" s="899"/>
      <c r="WUC40" s="899"/>
      <c r="WUD40" s="899"/>
      <c r="WUE40" s="899"/>
      <c r="WUF40" s="899"/>
      <c r="WUG40" s="899"/>
      <c r="WUH40" s="899"/>
      <c r="WUI40" s="899"/>
      <c r="WUJ40" s="899"/>
      <c r="WUK40" s="899"/>
      <c r="WUL40" s="899"/>
      <c r="WUM40" s="899"/>
      <c r="WUN40" s="899"/>
      <c r="WUO40" s="899"/>
      <c r="WUP40" s="899"/>
      <c r="WUQ40" s="899"/>
      <c r="WUR40" s="899"/>
      <c r="WUS40" s="899"/>
      <c r="WUT40" s="899"/>
      <c r="WUU40" s="899"/>
      <c r="WUV40" s="899"/>
      <c r="WUW40" s="899"/>
      <c r="WUX40" s="899"/>
      <c r="WUY40" s="899"/>
      <c r="WUZ40" s="899"/>
      <c r="WVA40" s="899"/>
      <c r="WVB40" s="899"/>
      <c r="WVC40" s="899"/>
      <c r="WVD40" s="899"/>
      <c r="WVE40" s="899"/>
      <c r="WVF40" s="899"/>
      <c r="WVG40" s="899"/>
      <c r="WVH40" s="899"/>
      <c r="WVI40" s="899"/>
      <c r="WVJ40" s="899"/>
      <c r="WVK40" s="899"/>
      <c r="WVL40" s="899"/>
      <c r="WVM40" s="899"/>
      <c r="WVN40" s="899"/>
      <c r="WVO40" s="899"/>
      <c r="WVP40" s="899"/>
      <c r="WVQ40" s="899"/>
      <c r="WVR40" s="899"/>
      <c r="WVS40" s="899"/>
      <c r="WVT40" s="899"/>
      <c r="WVU40" s="899"/>
      <c r="WVV40" s="899"/>
      <c r="WVW40" s="899"/>
      <c r="WVX40" s="899"/>
      <c r="WVY40" s="899"/>
      <c r="WVZ40" s="899"/>
      <c r="WWA40" s="899"/>
      <c r="WWB40" s="899"/>
      <c r="WWC40" s="899"/>
      <c r="WWD40" s="899"/>
      <c r="WWE40" s="899"/>
      <c r="WWF40" s="899"/>
      <c r="WWG40" s="899"/>
      <c r="WWH40" s="899"/>
      <c r="WWI40" s="899"/>
      <c r="WWJ40" s="899"/>
      <c r="WWK40" s="899"/>
      <c r="WWL40" s="899"/>
      <c r="WWM40" s="899"/>
      <c r="WWN40" s="899"/>
      <c r="WWO40" s="899"/>
      <c r="WWP40" s="899"/>
      <c r="WWQ40" s="899"/>
      <c r="WWR40" s="899"/>
      <c r="WWS40" s="899"/>
      <c r="WWT40" s="899"/>
      <c r="WWU40" s="899"/>
      <c r="WWV40" s="899"/>
      <c r="WWW40" s="899"/>
      <c r="WWX40" s="899"/>
      <c r="WWY40" s="899"/>
      <c r="WWZ40" s="899"/>
      <c r="WXA40" s="899"/>
      <c r="WXB40" s="899"/>
      <c r="WXC40" s="899"/>
      <c r="WXD40" s="899"/>
      <c r="WXE40" s="899"/>
      <c r="WXF40" s="899"/>
      <c r="WXG40" s="899"/>
      <c r="WXH40" s="899"/>
      <c r="WXI40" s="899"/>
      <c r="WXJ40" s="899"/>
      <c r="WXK40" s="899"/>
      <c r="WXL40" s="899"/>
      <c r="WXM40" s="899"/>
      <c r="WXN40" s="899"/>
      <c r="WXO40" s="899"/>
      <c r="WXP40" s="899"/>
      <c r="WXQ40" s="899"/>
      <c r="WXR40" s="899"/>
      <c r="WXS40" s="899"/>
      <c r="WXT40" s="899"/>
      <c r="WXU40" s="899"/>
      <c r="WXV40" s="899"/>
      <c r="WXW40" s="899"/>
      <c r="WXX40" s="899"/>
      <c r="WXY40" s="899"/>
      <c r="WXZ40" s="899"/>
      <c r="WYA40" s="899"/>
      <c r="WYB40" s="899"/>
      <c r="WYC40" s="899"/>
      <c r="WYD40" s="899"/>
      <c r="WYE40" s="899"/>
      <c r="WYF40" s="899"/>
      <c r="WYG40" s="899"/>
      <c r="WYH40" s="899"/>
      <c r="WYI40" s="899"/>
      <c r="WYJ40" s="899"/>
      <c r="WYK40" s="899"/>
      <c r="WYL40" s="899"/>
      <c r="WYM40" s="899"/>
      <c r="WYN40" s="899"/>
      <c r="WYO40" s="899"/>
      <c r="WYP40" s="899"/>
      <c r="WYQ40" s="899"/>
      <c r="WYR40" s="899"/>
      <c r="WYS40" s="899"/>
      <c r="WYT40" s="899"/>
      <c r="WYU40" s="899"/>
      <c r="WYV40" s="899"/>
      <c r="WYW40" s="899"/>
      <c r="WYX40" s="899"/>
      <c r="WYY40" s="899"/>
      <c r="WYZ40" s="899"/>
      <c r="WZA40" s="899"/>
      <c r="WZB40" s="899"/>
      <c r="WZC40" s="899"/>
      <c r="WZD40" s="899"/>
      <c r="WZE40" s="899"/>
      <c r="WZF40" s="899"/>
      <c r="WZG40" s="899"/>
      <c r="WZH40" s="899"/>
      <c r="WZI40" s="899"/>
      <c r="WZJ40" s="899"/>
      <c r="WZK40" s="899"/>
      <c r="WZL40" s="899"/>
      <c r="WZM40" s="899"/>
      <c r="WZN40" s="899"/>
      <c r="WZO40" s="899"/>
      <c r="WZP40" s="899"/>
      <c r="WZQ40" s="899"/>
      <c r="WZR40" s="899"/>
      <c r="WZS40" s="899"/>
      <c r="WZT40" s="899"/>
      <c r="WZU40" s="899"/>
      <c r="WZV40" s="899"/>
      <c r="WZW40" s="899"/>
      <c r="WZX40" s="899"/>
      <c r="WZY40" s="899"/>
      <c r="WZZ40" s="899"/>
      <c r="XAA40" s="899"/>
      <c r="XAB40" s="899"/>
      <c r="XAC40" s="899"/>
      <c r="XAD40" s="899"/>
      <c r="XAE40" s="899"/>
      <c r="XAF40" s="899"/>
      <c r="XAG40" s="899"/>
      <c r="XAH40" s="899"/>
      <c r="XAI40" s="899"/>
      <c r="XAJ40" s="899"/>
      <c r="XAK40" s="899"/>
      <c r="XAL40" s="899"/>
      <c r="XAM40" s="899"/>
      <c r="XAN40" s="899"/>
      <c r="XAO40" s="899"/>
      <c r="XAP40" s="899"/>
      <c r="XAQ40" s="899"/>
      <c r="XAR40" s="899"/>
      <c r="XAS40" s="899"/>
      <c r="XAT40" s="899"/>
      <c r="XAU40" s="899"/>
      <c r="XAV40" s="899"/>
      <c r="XAW40" s="899"/>
      <c r="XAX40" s="899"/>
      <c r="XAY40" s="899"/>
      <c r="XAZ40" s="899"/>
      <c r="XBA40" s="899"/>
      <c r="XBB40" s="899"/>
      <c r="XBC40" s="899"/>
      <c r="XBD40" s="899"/>
      <c r="XBE40" s="899"/>
      <c r="XBF40" s="899"/>
      <c r="XBG40" s="899"/>
      <c r="XBH40" s="899"/>
      <c r="XBI40" s="899"/>
      <c r="XBJ40" s="899"/>
      <c r="XBK40" s="899"/>
      <c r="XBL40" s="899"/>
      <c r="XBM40" s="899"/>
      <c r="XBN40" s="899"/>
      <c r="XBO40" s="899"/>
      <c r="XBP40" s="899"/>
      <c r="XBQ40" s="899"/>
      <c r="XBR40" s="899"/>
      <c r="XBS40" s="899"/>
      <c r="XBT40" s="899"/>
      <c r="XBU40" s="899"/>
      <c r="XBV40" s="899"/>
      <c r="XBW40" s="899"/>
      <c r="XBX40" s="899"/>
      <c r="XBY40" s="899"/>
      <c r="XBZ40" s="899"/>
      <c r="XCA40" s="899"/>
      <c r="XCB40" s="899"/>
      <c r="XCC40" s="899"/>
      <c r="XCD40" s="899"/>
      <c r="XCE40" s="899"/>
      <c r="XCF40" s="899"/>
      <c r="XCG40" s="899"/>
      <c r="XCH40" s="899"/>
      <c r="XCI40" s="899"/>
      <c r="XCJ40" s="899"/>
      <c r="XCK40" s="899"/>
      <c r="XCL40" s="899"/>
      <c r="XCM40" s="899"/>
      <c r="XCN40" s="899"/>
      <c r="XCO40" s="899"/>
      <c r="XCP40" s="899"/>
      <c r="XCQ40" s="899"/>
      <c r="XCR40" s="899"/>
      <c r="XCS40" s="899"/>
      <c r="XCT40" s="899"/>
      <c r="XCU40" s="899"/>
      <c r="XCV40" s="899"/>
      <c r="XCW40" s="899"/>
      <c r="XCX40" s="899"/>
      <c r="XCY40" s="899"/>
      <c r="XCZ40" s="899"/>
      <c r="XDA40" s="899"/>
      <c r="XDB40" s="899"/>
      <c r="XDC40" s="899"/>
      <c r="XDD40" s="899"/>
      <c r="XDE40" s="899"/>
      <c r="XDF40" s="899"/>
      <c r="XDG40" s="899"/>
      <c r="XDH40" s="899"/>
      <c r="XDI40" s="899"/>
      <c r="XDJ40" s="899"/>
      <c r="XDK40" s="899"/>
      <c r="XDL40" s="899"/>
      <c r="XDM40" s="899"/>
      <c r="XDN40" s="899"/>
      <c r="XDO40" s="899"/>
      <c r="XDP40" s="899"/>
      <c r="XDQ40" s="899"/>
      <c r="XDR40" s="899"/>
      <c r="XDS40" s="899"/>
      <c r="XDT40" s="899"/>
      <c r="XDU40" s="899"/>
      <c r="XDV40" s="899"/>
      <c r="XDW40" s="899"/>
      <c r="XDX40" s="899"/>
      <c r="XDY40" s="899"/>
      <c r="XDZ40" s="899"/>
      <c r="XEA40" s="899"/>
      <c r="XEB40" s="899"/>
    </row>
    <row r="41" spans="1:16356" ht="57.75" customHeight="1">
      <c r="A41" s="118" t="s">
        <v>99</v>
      </c>
      <c r="B41" s="123" t="s">
        <v>100</v>
      </c>
      <c r="C41" s="119"/>
      <c r="D41" s="119"/>
      <c r="E41" s="119"/>
      <c r="F41" s="119"/>
      <c r="G41" s="119"/>
      <c r="H41" s="119"/>
      <c r="I41" s="120"/>
      <c r="J41" s="119"/>
      <c r="K41" s="119"/>
      <c r="L41" s="119"/>
      <c r="M41" s="119"/>
      <c r="N41" s="119"/>
      <c r="O41" s="118"/>
      <c r="P41" s="118"/>
      <c r="Q41" s="118"/>
      <c r="R41" s="118"/>
      <c r="S41" s="899"/>
      <c r="T41" s="899"/>
      <c r="U41" s="899"/>
      <c r="V41" s="899"/>
      <c r="W41" s="899"/>
      <c r="X41" s="899"/>
      <c r="Y41" s="899"/>
      <c r="Z41" s="899"/>
      <c r="AA41" s="899"/>
      <c r="AB41" s="899"/>
      <c r="AC41" s="899"/>
      <c r="AD41" s="899"/>
      <c r="AE41" s="899"/>
      <c r="AF41" s="899"/>
      <c r="AG41" s="899"/>
      <c r="AH41" s="6"/>
      <c r="AI41" s="38"/>
      <c r="AJ41" s="6"/>
      <c r="AK41" s="98"/>
      <c r="AL41" s="5"/>
      <c r="AM41" s="191"/>
      <c r="AN41" s="191"/>
      <c r="AO41" s="191"/>
      <c r="AP41" s="191"/>
      <c r="AQ41" s="191"/>
      <c r="AR41" s="191"/>
      <c r="AS41" s="191"/>
      <c r="AT41" s="191"/>
      <c r="AU41" s="191"/>
      <c r="AV41" s="191"/>
      <c r="AW41" s="191"/>
      <c r="AX41" s="899"/>
      <c r="AY41" s="899"/>
      <c r="AZ41" s="899"/>
      <c r="BA41" s="899"/>
      <c r="BB41" s="899"/>
      <c r="BC41" s="899"/>
      <c r="BD41" s="899"/>
      <c r="BE41" s="899"/>
      <c r="BF41" s="899"/>
      <c r="BG41" s="899"/>
      <c r="BH41" s="899"/>
      <c r="BI41" s="899"/>
      <c r="BJ41" s="899"/>
      <c r="BK41" s="899"/>
      <c r="BL41" s="899"/>
      <c r="BM41" s="899"/>
      <c r="BN41" s="899"/>
      <c r="BO41" s="899"/>
      <c r="BP41" s="899"/>
      <c r="BQ41" s="899"/>
      <c r="BR41" s="899"/>
      <c r="BS41" s="899"/>
      <c r="BT41" s="899"/>
      <c r="BU41" s="899"/>
      <c r="BV41" s="899"/>
      <c r="BW41" s="899"/>
      <c r="BX41" s="899"/>
      <c r="BY41" s="899"/>
      <c r="BZ41" s="899"/>
      <c r="CA41" s="899"/>
      <c r="CB41" s="899"/>
      <c r="CC41" s="899"/>
      <c r="CD41" s="899"/>
      <c r="CE41" s="899"/>
      <c r="CF41" s="899"/>
      <c r="CG41" s="899"/>
      <c r="CH41" s="899"/>
      <c r="CI41" s="899"/>
      <c r="CJ41" s="899"/>
      <c r="CK41" s="899"/>
      <c r="CL41" s="899"/>
      <c r="CM41" s="899"/>
      <c r="CN41" s="899"/>
      <c r="CO41" s="899"/>
      <c r="CP41" s="899"/>
      <c r="CQ41" s="899"/>
      <c r="CR41" s="899"/>
      <c r="CS41" s="899"/>
      <c r="CT41" s="899"/>
      <c r="CU41" s="899"/>
      <c r="CV41" s="899"/>
      <c r="CW41" s="899"/>
      <c r="CX41" s="899"/>
      <c r="CY41" s="899"/>
      <c r="CZ41" s="899"/>
      <c r="DA41" s="899"/>
      <c r="DB41" s="899"/>
      <c r="DC41" s="899"/>
      <c r="DD41" s="899"/>
      <c r="DE41" s="899"/>
      <c r="DF41" s="899"/>
      <c r="DG41" s="899"/>
      <c r="DH41" s="899"/>
      <c r="DI41" s="899"/>
      <c r="DJ41" s="899"/>
      <c r="DK41" s="899"/>
      <c r="DL41" s="899"/>
      <c r="DM41" s="899"/>
      <c r="DN41" s="899"/>
      <c r="DO41" s="899"/>
      <c r="DP41" s="899"/>
      <c r="DQ41" s="899"/>
      <c r="DR41" s="899"/>
      <c r="DS41" s="899"/>
      <c r="DT41" s="899"/>
      <c r="DU41" s="899"/>
      <c r="DV41" s="899"/>
      <c r="DW41" s="899"/>
      <c r="DX41" s="899"/>
      <c r="DY41" s="899"/>
      <c r="DZ41" s="899"/>
      <c r="EA41" s="899"/>
      <c r="EB41" s="899"/>
      <c r="EC41" s="899"/>
      <c r="ED41" s="899"/>
      <c r="EE41" s="899"/>
      <c r="EF41" s="899"/>
      <c r="EG41" s="899"/>
      <c r="EH41" s="899"/>
      <c r="EI41" s="899"/>
      <c r="EJ41" s="899"/>
      <c r="EK41" s="899"/>
      <c r="EL41" s="899"/>
      <c r="EM41" s="899"/>
      <c r="EN41" s="899"/>
      <c r="EO41" s="899"/>
      <c r="EP41" s="899"/>
      <c r="EQ41" s="899"/>
      <c r="ER41" s="899"/>
      <c r="ES41" s="899"/>
      <c r="ET41" s="899"/>
      <c r="EU41" s="899"/>
      <c r="EV41" s="899"/>
      <c r="EW41" s="899"/>
      <c r="EX41" s="899"/>
      <c r="EY41" s="899"/>
      <c r="EZ41" s="899"/>
      <c r="FA41" s="899"/>
      <c r="FB41" s="899"/>
      <c r="FC41" s="899"/>
      <c r="FD41" s="899"/>
      <c r="FE41" s="899"/>
      <c r="FF41" s="899"/>
      <c r="FG41" s="899"/>
      <c r="FH41" s="899"/>
      <c r="FI41" s="899"/>
      <c r="FJ41" s="899"/>
      <c r="FK41" s="899"/>
      <c r="FL41" s="899"/>
      <c r="FM41" s="899"/>
      <c r="FN41" s="899"/>
      <c r="FO41" s="899"/>
      <c r="FP41" s="899"/>
      <c r="FQ41" s="899"/>
      <c r="FR41" s="899"/>
      <c r="FS41" s="899"/>
      <c r="FT41" s="899"/>
      <c r="FU41" s="899"/>
      <c r="FV41" s="899"/>
      <c r="FW41" s="899"/>
      <c r="FX41" s="899"/>
      <c r="FY41" s="899"/>
      <c r="FZ41" s="899"/>
      <c r="GA41" s="899"/>
      <c r="GB41" s="899"/>
      <c r="GC41" s="899"/>
      <c r="GD41" s="899"/>
      <c r="GE41" s="899"/>
      <c r="GF41" s="899"/>
      <c r="GG41" s="899"/>
      <c r="GH41" s="899"/>
      <c r="GI41" s="899"/>
      <c r="GJ41" s="899"/>
      <c r="GK41" s="899"/>
      <c r="GL41" s="899"/>
      <c r="GM41" s="899"/>
      <c r="GN41" s="899"/>
      <c r="GO41" s="899"/>
      <c r="GP41" s="899"/>
      <c r="GQ41" s="899"/>
      <c r="GR41" s="899"/>
      <c r="GS41" s="899"/>
      <c r="GT41" s="899"/>
      <c r="GU41" s="899"/>
      <c r="GV41" s="899"/>
      <c r="GW41" s="899"/>
      <c r="GX41" s="899"/>
      <c r="GY41" s="899"/>
      <c r="GZ41" s="899"/>
      <c r="HA41" s="899"/>
      <c r="HB41" s="899"/>
      <c r="HC41" s="899"/>
      <c r="HD41" s="899"/>
      <c r="HE41" s="899"/>
      <c r="HF41" s="899"/>
      <c r="HG41" s="899"/>
      <c r="HH41" s="899"/>
      <c r="HI41" s="899"/>
      <c r="HJ41" s="899"/>
      <c r="HK41" s="899"/>
      <c r="HL41" s="899"/>
      <c r="HM41" s="899"/>
      <c r="HN41" s="899"/>
      <c r="HO41" s="899"/>
      <c r="HP41" s="899"/>
      <c r="HQ41" s="899"/>
      <c r="HR41" s="899"/>
      <c r="HS41" s="899"/>
      <c r="HT41" s="899"/>
      <c r="HU41" s="899"/>
      <c r="HV41" s="899"/>
      <c r="HW41" s="899"/>
      <c r="HX41" s="899"/>
      <c r="HY41" s="899"/>
      <c r="HZ41" s="899"/>
      <c r="IA41" s="899"/>
      <c r="IB41" s="899"/>
      <c r="IC41" s="899"/>
      <c r="ID41" s="899"/>
      <c r="IE41" s="899"/>
      <c r="IF41" s="899"/>
      <c r="IG41" s="899"/>
      <c r="IH41" s="899"/>
      <c r="II41" s="899"/>
      <c r="IJ41" s="899"/>
      <c r="IK41" s="899"/>
      <c r="IL41" s="899"/>
      <c r="IM41" s="899"/>
      <c r="IN41" s="899"/>
      <c r="IO41" s="899"/>
      <c r="IP41" s="899"/>
      <c r="IQ41" s="899"/>
      <c r="IR41" s="899"/>
      <c r="IS41" s="899"/>
      <c r="IT41" s="899"/>
      <c r="IU41" s="899"/>
      <c r="IV41" s="899"/>
      <c r="IW41" s="899"/>
      <c r="IX41" s="899"/>
      <c r="IY41" s="899"/>
      <c r="IZ41" s="899"/>
      <c r="JA41" s="899"/>
      <c r="JB41" s="899"/>
      <c r="JC41" s="899"/>
      <c r="JD41" s="899"/>
      <c r="JE41" s="899"/>
      <c r="JF41" s="899"/>
      <c r="JG41" s="899"/>
      <c r="JH41" s="899"/>
      <c r="JI41" s="899"/>
      <c r="JJ41" s="899"/>
      <c r="JK41" s="899"/>
      <c r="JL41" s="899"/>
      <c r="JM41" s="899"/>
      <c r="JN41" s="899"/>
      <c r="JO41" s="899"/>
      <c r="JP41" s="899"/>
      <c r="JQ41" s="899"/>
      <c r="JR41" s="899"/>
      <c r="JS41" s="899"/>
      <c r="JT41" s="899"/>
      <c r="JU41" s="899"/>
      <c r="JV41" s="899"/>
      <c r="JW41" s="899"/>
      <c r="JX41" s="899"/>
      <c r="JY41" s="899"/>
      <c r="JZ41" s="899"/>
      <c r="KA41" s="899"/>
      <c r="KB41" s="899"/>
      <c r="KC41" s="899"/>
      <c r="KD41" s="899"/>
      <c r="KE41" s="899"/>
      <c r="KF41" s="899"/>
      <c r="KG41" s="899"/>
      <c r="KH41" s="899"/>
      <c r="KI41" s="899"/>
      <c r="KJ41" s="899"/>
      <c r="KK41" s="899"/>
      <c r="KL41" s="899"/>
      <c r="KM41" s="899"/>
      <c r="KN41" s="899"/>
      <c r="KO41" s="899"/>
      <c r="KP41" s="899"/>
      <c r="KQ41" s="899"/>
      <c r="KR41" s="899"/>
      <c r="KS41" s="899"/>
      <c r="KT41" s="899"/>
      <c r="KU41" s="899"/>
      <c r="KV41" s="899"/>
      <c r="KW41" s="899"/>
      <c r="KX41" s="899"/>
      <c r="KY41" s="899"/>
      <c r="KZ41" s="899"/>
      <c r="LA41" s="899"/>
      <c r="LB41" s="899"/>
      <c r="LC41" s="899"/>
      <c r="LD41" s="899"/>
      <c r="LE41" s="899"/>
      <c r="LF41" s="899"/>
      <c r="LG41" s="899"/>
      <c r="LH41" s="899"/>
      <c r="LI41" s="899"/>
      <c r="LJ41" s="899"/>
      <c r="LK41" s="899"/>
      <c r="LL41" s="899"/>
      <c r="LM41" s="899"/>
      <c r="LN41" s="899"/>
      <c r="LO41" s="899"/>
      <c r="LP41" s="899"/>
      <c r="LQ41" s="899"/>
      <c r="LR41" s="899"/>
      <c r="LS41" s="899"/>
      <c r="LT41" s="899"/>
      <c r="LU41" s="899"/>
      <c r="LV41" s="899"/>
      <c r="LW41" s="899"/>
      <c r="LX41" s="899"/>
      <c r="LY41" s="899"/>
      <c r="LZ41" s="899"/>
      <c r="MA41" s="899"/>
      <c r="MB41" s="899"/>
      <c r="MC41" s="899"/>
      <c r="MD41" s="899"/>
      <c r="ME41" s="899"/>
      <c r="MF41" s="899"/>
      <c r="MG41" s="899"/>
      <c r="MH41" s="899"/>
      <c r="MI41" s="899"/>
      <c r="MJ41" s="899"/>
      <c r="MK41" s="899"/>
      <c r="ML41" s="899"/>
      <c r="MM41" s="899"/>
      <c r="MN41" s="899"/>
      <c r="MO41" s="899"/>
      <c r="MP41" s="899"/>
      <c r="MQ41" s="899"/>
      <c r="MR41" s="899"/>
      <c r="MS41" s="899"/>
      <c r="MT41" s="899"/>
      <c r="MU41" s="899"/>
      <c r="MV41" s="899"/>
      <c r="MW41" s="899"/>
      <c r="MX41" s="899"/>
      <c r="MY41" s="899"/>
      <c r="MZ41" s="899"/>
      <c r="NA41" s="899"/>
      <c r="NB41" s="899"/>
      <c r="NC41" s="899"/>
      <c r="ND41" s="899"/>
      <c r="NE41" s="899"/>
      <c r="NF41" s="899"/>
      <c r="NG41" s="899"/>
      <c r="NH41" s="899"/>
      <c r="NI41" s="899"/>
      <c r="NJ41" s="899"/>
      <c r="NK41" s="899"/>
      <c r="NL41" s="899"/>
      <c r="NM41" s="899"/>
      <c r="NN41" s="899"/>
      <c r="NO41" s="899"/>
      <c r="NP41" s="899"/>
      <c r="NQ41" s="899"/>
      <c r="NR41" s="899"/>
      <c r="NS41" s="899"/>
      <c r="NT41" s="899"/>
      <c r="NU41" s="899"/>
      <c r="NV41" s="899"/>
      <c r="NW41" s="899"/>
      <c r="NX41" s="899"/>
      <c r="NY41" s="899"/>
      <c r="NZ41" s="899"/>
      <c r="OA41" s="899"/>
      <c r="OB41" s="899"/>
      <c r="OC41" s="899"/>
      <c r="OD41" s="899"/>
      <c r="OE41" s="899"/>
      <c r="OF41" s="899"/>
      <c r="OG41" s="899"/>
      <c r="OH41" s="899"/>
      <c r="OI41" s="899"/>
      <c r="OJ41" s="899"/>
      <c r="OK41" s="899"/>
      <c r="OL41" s="899"/>
      <c r="OM41" s="899"/>
      <c r="ON41" s="899"/>
      <c r="OO41" s="899"/>
      <c r="OP41" s="899"/>
      <c r="OQ41" s="899"/>
      <c r="OR41" s="899"/>
      <c r="OS41" s="899"/>
      <c r="OT41" s="899"/>
      <c r="OU41" s="899"/>
      <c r="OV41" s="899"/>
      <c r="OW41" s="899"/>
      <c r="OX41" s="899"/>
      <c r="OY41" s="899"/>
      <c r="OZ41" s="899"/>
      <c r="PA41" s="899"/>
      <c r="PB41" s="899"/>
      <c r="PC41" s="899"/>
      <c r="PD41" s="899"/>
      <c r="PE41" s="899"/>
      <c r="PF41" s="899"/>
      <c r="PG41" s="899"/>
      <c r="PH41" s="899"/>
      <c r="PI41" s="899"/>
      <c r="PJ41" s="899"/>
      <c r="PK41" s="899"/>
      <c r="PL41" s="899"/>
      <c r="PM41" s="899"/>
      <c r="PN41" s="899"/>
      <c r="PO41" s="899"/>
      <c r="PP41" s="899"/>
      <c r="PQ41" s="899"/>
      <c r="PR41" s="899"/>
      <c r="PS41" s="899"/>
      <c r="PT41" s="899"/>
      <c r="PU41" s="899"/>
      <c r="PV41" s="899"/>
      <c r="PW41" s="899"/>
      <c r="PX41" s="899"/>
      <c r="PY41" s="899"/>
      <c r="PZ41" s="899"/>
      <c r="QA41" s="899"/>
      <c r="QB41" s="899"/>
      <c r="QC41" s="899"/>
      <c r="QD41" s="899"/>
      <c r="QE41" s="899"/>
      <c r="QF41" s="899"/>
      <c r="QG41" s="899"/>
      <c r="QH41" s="899"/>
      <c r="QI41" s="899"/>
      <c r="QJ41" s="899"/>
      <c r="QK41" s="899"/>
      <c r="QL41" s="899"/>
      <c r="QM41" s="899"/>
      <c r="QN41" s="899"/>
      <c r="QO41" s="899"/>
      <c r="QP41" s="899"/>
      <c r="QQ41" s="899"/>
      <c r="QR41" s="899"/>
      <c r="QS41" s="899"/>
      <c r="QT41" s="899"/>
      <c r="QU41" s="899"/>
      <c r="QV41" s="899"/>
      <c r="QW41" s="899"/>
      <c r="QX41" s="899"/>
      <c r="QY41" s="899"/>
      <c r="QZ41" s="899"/>
      <c r="RA41" s="899"/>
      <c r="RB41" s="899"/>
      <c r="RC41" s="899"/>
      <c r="RD41" s="899"/>
      <c r="RE41" s="899"/>
      <c r="RF41" s="899"/>
      <c r="RG41" s="899"/>
      <c r="RH41" s="899"/>
      <c r="RI41" s="899"/>
      <c r="RJ41" s="899"/>
      <c r="RK41" s="899"/>
      <c r="RL41" s="899"/>
      <c r="RM41" s="899"/>
      <c r="RN41" s="899"/>
      <c r="RO41" s="899"/>
      <c r="RP41" s="899"/>
      <c r="RQ41" s="899"/>
      <c r="RR41" s="899"/>
      <c r="RS41" s="899"/>
      <c r="RT41" s="899"/>
      <c r="RU41" s="899"/>
      <c r="RV41" s="899"/>
      <c r="RW41" s="899"/>
      <c r="RX41" s="899"/>
      <c r="RY41" s="899"/>
      <c r="RZ41" s="899"/>
      <c r="SA41" s="899"/>
      <c r="SB41" s="899"/>
      <c r="SC41" s="899"/>
      <c r="SD41" s="899"/>
      <c r="SE41" s="899"/>
      <c r="SF41" s="899"/>
      <c r="SG41" s="899"/>
      <c r="SH41" s="899"/>
      <c r="SI41" s="899"/>
      <c r="SJ41" s="899"/>
      <c r="SK41" s="899"/>
      <c r="SL41" s="899"/>
      <c r="SM41" s="899"/>
      <c r="SN41" s="899"/>
      <c r="SO41" s="899"/>
      <c r="SP41" s="899"/>
      <c r="SQ41" s="899"/>
      <c r="SR41" s="899"/>
      <c r="SS41" s="899"/>
      <c r="ST41" s="899"/>
      <c r="SU41" s="899"/>
      <c r="SV41" s="899"/>
      <c r="SW41" s="899"/>
      <c r="SX41" s="899"/>
      <c r="SY41" s="899"/>
      <c r="SZ41" s="899"/>
      <c r="TA41" s="899"/>
      <c r="TB41" s="899"/>
      <c r="TC41" s="899"/>
      <c r="TD41" s="899"/>
      <c r="TE41" s="899"/>
      <c r="TF41" s="899"/>
      <c r="TG41" s="899"/>
      <c r="TH41" s="899"/>
      <c r="TI41" s="899"/>
      <c r="TJ41" s="899"/>
      <c r="TK41" s="899"/>
      <c r="TL41" s="899"/>
      <c r="TM41" s="899"/>
      <c r="TN41" s="899"/>
      <c r="TO41" s="899"/>
      <c r="TP41" s="899"/>
      <c r="TQ41" s="899"/>
      <c r="TR41" s="899"/>
      <c r="TS41" s="899"/>
      <c r="TT41" s="899"/>
      <c r="TU41" s="899"/>
      <c r="TV41" s="899"/>
      <c r="TW41" s="899"/>
      <c r="TX41" s="899"/>
      <c r="TY41" s="899"/>
      <c r="TZ41" s="899"/>
      <c r="UA41" s="899"/>
      <c r="UB41" s="899"/>
      <c r="UC41" s="899"/>
      <c r="UD41" s="899"/>
      <c r="UE41" s="899"/>
      <c r="UF41" s="899"/>
      <c r="UG41" s="899"/>
      <c r="UH41" s="899"/>
      <c r="UI41" s="899"/>
      <c r="UJ41" s="899"/>
      <c r="UK41" s="899"/>
      <c r="UL41" s="899"/>
      <c r="UM41" s="899"/>
      <c r="UN41" s="899"/>
      <c r="UO41" s="899"/>
      <c r="UP41" s="899"/>
      <c r="UQ41" s="899"/>
      <c r="UR41" s="899"/>
      <c r="US41" s="899"/>
      <c r="UT41" s="899"/>
      <c r="UU41" s="899"/>
      <c r="UV41" s="899"/>
      <c r="UW41" s="899"/>
      <c r="UX41" s="899"/>
      <c r="UY41" s="899"/>
      <c r="UZ41" s="899"/>
      <c r="VA41" s="899"/>
      <c r="VB41" s="899"/>
      <c r="VC41" s="899"/>
      <c r="VD41" s="899"/>
      <c r="VE41" s="899"/>
      <c r="VF41" s="899"/>
      <c r="VG41" s="899"/>
      <c r="VH41" s="899"/>
      <c r="VI41" s="899"/>
      <c r="VJ41" s="899"/>
      <c r="VK41" s="899"/>
      <c r="VL41" s="899"/>
      <c r="VM41" s="899"/>
      <c r="VN41" s="899"/>
      <c r="VO41" s="899"/>
      <c r="VP41" s="899"/>
      <c r="VQ41" s="899"/>
      <c r="VR41" s="899"/>
      <c r="VS41" s="899"/>
      <c r="VT41" s="899"/>
      <c r="VU41" s="899"/>
      <c r="VV41" s="899"/>
      <c r="VW41" s="899"/>
      <c r="VX41" s="899"/>
      <c r="VY41" s="899"/>
      <c r="VZ41" s="899"/>
      <c r="WA41" s="899"/>
      <c r="WB41" s="899"/>
      <c r="WC41" s="899"/>
      <c r="WD41" s="899"/>
      <c r="WE41" s="899"/>
      <c r="WF41" s="899"/>
      <c r="WG41" s="899"/>
      <c r="WH41" s="899"/>
      <c r="WI41" s="899"/>
      <c r="WJ41" s="899"/>
      <c r="WK41" s="899"/>
      <c r="WL41" s="899"/>
      <c r="WM41" s="899"/>
      <c r="WN41" s="899"/>
      <c r="WO41" s="899"/>
      <c r="WP41" s="899"/>
      <c r="WQ41" s="899"/>
      <c r="WR41" s="899"/>
      <c r="WS41" s="899"/>
      <c r="WT41" s="899"/>
      <c r="WU41" s="899"/>
      <c r="WV41" s="899"/>
      <c r="WW41" s="899"/>
      <c r="WX41" s="899"/>
      <c r="WY41" s="899"/>
      <c r="WZ41" s="899"/>
      <c r="XA41" s="899"/>
      <c r="XB41" s="899"/>
      <c r="XC41" s="899"/>
      <c r="XD41" s="899"/>
      <c r="XE41" s="899"/>
      <c r="XF41" s="899"/>
      <c r="XG41" s="899"/>
      <c r="XH41" s="899"/>
      <c r="XI41" s="899"/>
      <c r="XJ41" s="899"/>
      <c r="XK41" s="899"/>
      <c r="XL41" s="899"/>
      <c r="XM41" s="899"/>
      <c r="XN41" s="899"/>
      <c r="XO41" s="899"/>
      <c r="XP41" s="899"/>
      <c r="XQ41" s="899"/>
      <c r="XR41" s="899"/>
      <c r="XS41" s="899"/>
      <c r="XT41" s="899"/>
      <c r="XU41" s="899"/>
      <c r="XV41" s="899"/>
      <c r="XW41" s="899"/>
      <c r="XX41" s="899"/>
      <c r="XY41" s="899"/>
      <c r="XZ41" s="899"/>
      <c r="YA41" s="899"/>
      <c r="YB41" s="899"/>
      <c r="YC41" s="899"/>
      <c r="YD41" s="899"/>
      <c r="YE41" s="899"/>
      <c r="YF41" s="899"/>
      <c r="YG41" s="899"/>
      <c r="YH41" s="899"/>
      <c r="YI41" s="899"/>
      <c r="YJ41" s="899"/>
      <c r="YK41" s="899"/>
      <c r="YL41" s="899"/>
      <c r="YM41" s="899"/>
      <c r="YN41" s="899"/>
      <c r="YO41" s="899"/>
      <c r="YP41" s="899"/>
      <c r="YQ41" s="899"/>
      <c r="YR41" s="899"/>
      <c r="YS41" s="899"/>
      <c r="YT41" s="899"/>
      <c r="YU41" s="899"/>
      <c r="YV41" s="899"/>
      <c r="YW41" s="899"/>
      <c r="YX41" s="899"/>
      <c r="YY41" s="899"/>
      <c r="YZ41" s="899"/>
      <c r="ZA41" s="899"/>
      <c r="ZB41" s="899"/>
      <c r="ZC41" s="899"/>
      <c r="ZD41" s="899"/>
      <c r="ZE41" s="899"/>
      <c r="ZF41" s="899"/>
      <c r="ZG41" s="899"/>
      <c r="ZH41" s="899"/>
      <c r="ZI41" s="899"/>
      <c r="ZJ41" s="899"/>
      <c r="ZK41" s="899"/>
      <c r="ZL41" s="899"/>
      <c r="ZM41" s="899"/>
      <c r="ZN41" s="899"/>
      <c r="ZO41" s="899"/>
      <c r="ZP41" s="899"/>
      <c r="ZQ41" s="899"/>
      <c r="ZR41" s="899"/>
      <c r="ZS41" s="899"/>
      <c r="ZT41" s="899"/>
      <c r="ZU41" s="899"/>
      <c r="ZV41" s="899"/>
      <c r="ZW41" s="899"/>
      <c r="ZX41" s="899"/>
      <c r="ZY41" s="899"/>
      <c r="ZZ41" s="899"/>
      <c r="AAA41" s="899"/>
      <c r="AAB41" s="899"/>
      <c r="AAC41" s="899"/>
      <c r="AAD41" s="899"/>
      <c r="AAE41" s="899"/>
      <c r="AAF41" s="899"/>
      <c r="AAG41" s="899"/>
      <c r="AAH41" s="899"/>
      <c r="AAI41" s="899"/>
      <c r="AAJ41" s="899"/>
      <c r="AAK41" s="899"/>
      <c r="AAL41" s="899"/>
      <c r="AAM41" s="899"/>
      <c r="AAN41" s="899"/>
      <c r="AAO41" s="899"/>
      <c r="AAP41" s="899"/>
      <c r="AAQ41" s="899"/>
      <c r="AAR41" s="899"/>
      <c r="AAS41" s="899"/>
      <c r="AAT41" s="899"/>
      <c r="AAU41" s="899"/>
      <c r="AAV41" s="899"/>
      <c r="AAW41" s="899"/>
      <c r="AAX41" s="899"/>
      <c r="AAY41" s="899"/>
      <c r="AAZ41" s="899"/>
      <c r="ABA41" s="899"/>
      <c r="ABB41" s="899"/>
      <c r="ABC41" s="899"/>
      <c r="ABD41" s="899"/>
      <c r="ABE41" s="899"/>
      <c r="ABF41" s="899"/>
      <c r="ABG41" s="899"/>
      <c r="ABH41" s="899"/>
      <c r="ABI41" s="899"/>
      <c r="ABJ41" s="899"/>
      <c r="ABK41" s="899"/>
      <c r="ABL41" s="899"/>
      <c r="ABM41" s="899"/>
      <c r="ABN41" s="899"/>
      <c r="ABO41" s="899"/>
      <c r="ABP41" s="899"/>
      <c r="ABQ41" s="899"/>
      <c r="ABR41" s="899"/>
      <c r="ABS41" s="899"/>
      <c r="ABT41" s="899"/>
      <c r="ABU41" s="899"/>
      <c r="ABV41" s="899"/>
      <c r="ABW41" s="899"/>
      <c r="ABX41" s="899"/>
      <c r="ABY41" s="899"/>
      <c r="ABZ41" s="899"/>
      <c r="ACA41" s="899"/>
      <c r="ACB41" s="899"/>
      <c r="ACC41" s="899"/>
      <c r="ACD41" s="899"/>
      <c r="ACE41" s="899"/>
      <c r="ACF41" s="899"/>
      <c r="ACG41" s="899"/>
      <c r="ACH41" s="899"/>
      <c r="ACI41" s="899"/>
      <c r="ACJ41" s="899"/>
      <c r="ACK41" s="899"/>
      <c r="ACL41" s="899"/>
      <c r="ACM41" s="899"/>
      <c r="ACN41" s="899"/>
      <c r="ACO41" s="899"/>
      <c r="ACP41" s="899"/>
      <c r="ACQ41" s="899"/>
      <c r="ACR41" s="899"/>
      <c r="ACS41" s="899"/>
      <c r="ACT41" s="899"/>
      <c r="ACU41" s="899"/>
      <c r="ACV41" s="899"/>
      <c r="ACW41" s="899"/>
      <c r="ACX41" s="899"/>
      <c r="ACY41" s="899"/>
      <c r="ACZ41" s="899"/>
      <c r="ADA41" s="899"/>
      <c r="ADB41" s="899"/>
      <c r="ADC41" s="899"/>
      <c r="ADD41" s="899"/>
      <c r="ADE41" s="899"/>
      <c r="ADF41" s="899"/>
      <c r="ADG41" s="899"/>
      <c r="ADH41" s="899"/>
      <c r="ADI41" s="899"/>
      <c r="ADJ41" s="899"/>
      <c r="ADK41" s="899"/>
      <c r="ADL41" s="899"/>
      <c r="ADM41" s="899"/>
      <c r="ADN41" s="899"/>
      <c r="ADO41" s="899"/>
      <c r="ADP41" s="899"/>
      <c r="ADQ41" s="899"/>
      <c r="ADR41" s="899"/>
      <c r="ADS41" s="899"/>
      <c r="ADT41" s="899"/>
      <c r="ADU41" s="899"/>
      <c r="ADV41" s="899"/>
      <c r="ADW41" s="899"/>
      <c r="ADX41" s="899"/>
      <c r="ADY41" s="899"/>
      <c r="ADZ41" s="899"/>
      <c r="AEA41" s="899"/>
      <c r="AEB41" s="899"/>
      <c r="AEC41" s="899"/>
      <c r="AED41" s="899"/>
      <c r="AEE41" s="899"/>
      <c r="AEF41" s="899"/>
      <c r="AEG41" s="899"/>
      <c r="AEH41" s="899"/>
      <c r="AEI41" s="899"/>
      <c r="AEJ41" s="899"/>
      <c r="AEK41" s="899"/>
      <c r="AEL41" s="899"/>
      <c r="AEM41" s="899"/>
      <c r="AEN41" s="899"/>
      <c r="AEO41" s="899"/>
      <c r="AEP41" s="899"/>
      <c r="AEQ41" s="899"/>
      <c r="AER41" s="899"/>
      <c r="AES41" s="899"/>
      <c r="AET41" s="899"/>
      <c r="AEU41" s="899"/>
      <c r="AEV41" s="899"/>
      <c r="AEW41" s="899"/>
      <c r="AEX41" s="899"/>
      <c r="AEY41" s="899"/>
      <c r="AEZ41" s="899"/>
      <c r="AFA41" s="899"/>
      <c r="AFB41" s="899"/>
      <c r="AFC41" s="899"/>
      <c r="AFD41" s="899"/>
      <c r="AFE41" s="899"/>
      <c r="AFF41" s="899"/>
      <c r="AFG41" s="899"/>
      <c r="AFH41" s="899"/>
      <c r="AFI41" s="899"/>
      <c r="AFJ41" s="899"/>
      <c r="AFK41" s="899"/>
      <c r="AFL41" s="899"/>
      <c r="AFM41" s="899"/>
      <c r="AFN41" s="899"/>
      <c r="AFO41" s="899"/>
      <c r="AFP41" s="899"/>
      <c r="AFQ41" s="899"/>
      <c r="AFR41" s="899"/>
      <c r="AFS41" s="899"/>
      <c r="AFT41" s="899"/>
      <c r="AFU41" s="899"/>
      <c r="AFV41" s="899"/>
      <c r="AFW41" s="899"/>
      <c r="AFX41" s="899"/>
      <c r="AFY41" s="899"/>
      <c r="AFZ41" s="899"/>
      <c r="AGA41" s="899"/>
      <c r="AGB41" s="899"/>
      <c r="AGC41" s="899"/>
      <c r="AGD41" s="899"/>
      <c r="AGE41" s="899"/>
      <c r="AGF41" s="899"/>
      <c r="AGG41" s="899"/>
      <c r="AGH41" s="899"/>
      <c r="AGI41" s="899"/>
      <c r="AGJ41" s="899"/>
      <c r="AGK41" s="899"/>
      <c r="AGL41" s="899"/>
      <c r="AGM41" s="899"/>
      <c r="AGN41" s="899"/>
      <c r="AGO41" s="899"/>
      <c r="AGP41" s="899"/>
      <c r="AGQ41" s="899"/>
      <c r="AGR41" s="899"/>
      <c r="AGS41" s="899"/>
      <c r="AGT41" s="899"/>
      <c r="AGU41" s="899"/>
      <c r="AGV41" s="899"/>
      <c r="AGW41" s="899"/>
      <c r="AGX41" s="899"/>
      <c r="AGY41" s="899"/>
      <c r="AGZ41" s="899"/>
      <c r="AHA41" s="899"/>
      <c r="AHB41" s="899"/>
      <c r="AHC41" s="899"/>
      <c r="AHD41" s="899"/>
      <c r="AHE41" s="899"/>
      <c r="AHF41" s="899"/>
      <c r="AHG41" s="899"/>
      <c r="AHH41" s="899"/>
      <c r="AHI41" s="899"/>
      <c r="AHJ41" s="899"/>
      <c r="AHK41" s="899"/>
      <c r="AHL41" s="899"/>
      <c r="AHM41" s="899"/>
      <c r="AHN41" s="899"/>
      <c r="AHO41" s="899"/>
      <c r="AHP41" s="899"/>
      <c r="AHQ41" s="899"/>
      <c r="AHR41" s="899"/>
      <c r="AHS41" s="899"/>
      <c r="AHT41" s="899"/>
      <c r="AHU41" s="899"/>
      <c r="AHV41" s="899"/>
      <c r="AHW41" s="899"/>
      <c r="AHX41" s="899"/>
      <c r="AHY41" s="899"/>
      <c r="AHZ41" s="899"/>
      <c r="AIA41" s="899"/>
      <c r="AIB41" s="899"/>
      <c r="AIC41" s="899"/>
      <c r="AID41" s="899"/>
      <c r="AIE41" s="899"/>
      <c r="AIF41" s="899"/>
      <c r="AIG41" s="899"/>
      <c r="AIH41" s="899"/>
      <c r="AII41" s="899"/>
      <c r="AIJ41" s="899"/>
      <c r="AIK41" s="899"/>
      <c r="AIL41" s="899"/>
      <c r="AIM41" s="899"/>
      <c r="AIN41" s="899"/>
      <c r="AIO41" s="899"/>
      <c r="AIP41" s="899"/>
      <c r="AIQ41" s="899"/>
      <c r="AIR41" s="899"/>
      <c r="AIS41" s="899"/>
      <c r="AIT41" s="899"/>
      <c r="AIU41" s="899"/>
      <c r="AIV41" s="899"/>
      <c r="AIW41" s="899"/>
      <c r="AIX41" s="899"/>
      <c r="AIY41" s="899"/>
      <c r="AIZ41" s="899"/>
      <c r="AJA41" s="899"/>
      <c r="AJB41" s="899"/>
      <c r="AJC41" s="899"/>
      <c r="AJD41" s="899"/>
      <c r="AJE41" s="899"/>
      <c r="AJF41" s="899"/>
      <c r="AJG41" s="899"/>
      <c r="AJH41" s="899"/>
      <c r="AJI41" s="899"/>
      <c r="AJJ41" s="899"/>
      <c r="AJK41" s="899"/>
      <c r="AJL41" s="899"/>
      <c r="AJM41" s="899"/>
      <c r="AJN41" s="899"/>
      <c r="AJO41" s="899"/>
      <c r="AJP41" s="899"/>
      <c r="AJQ41" s="899"/>
      <c r="AJR41" s="899"/>
      <c r="AJS41" s="899"/>
      <c r="AJT41" s="899"/>
      <c r="AJU41" s="899"/>
      <c r="AJV41" s="899"/>
      <c r="AJW41" s="899"/>
      <c r="AJX41" s="899"/>
      <c r="AJY41" s="899"/>
      <c r="AJZ41" s="899"/>
      <c r="AKA41" s="899"/>
      <c r="AKB41" s="899"/>
      <c r="AKC41" s="899"/>
      <c r="AKD41" s="899"/>
      <c r="AKE41" s="899"/>
      <c r="AKF41" s="899"/>
      <c r="AKG41" s="899"/>
      <c r="AKH41" s="899"/>
      <c r="AKI41" s="899"/>
      <c r="AKJ41" s="899"/>
      <c r="AKK41" s="899"/>
      <c r="AKL41" s="899"/>
      <c r="AKM41" s="899"/>
      <c r="AKN41" s="899"/>
      <c r="AKO41" s="899"/>
      <c r="AKP41" s="899"/>
      <c r="AKQ41" s="899"/>
      <c r="AKR41" s="899"/>
      <c r="AKS41" s="899"/>
      <c r="AKT41" s="899"/>
      <c r="AKU41" s="899"/>
      <c r="AKV41" s="899"/>
      <c r="AKW41" s="899"/>
      <c r="AKX41" s="899"/>
      <c r="AKY41" s="899"/>
      <c r="AKZ41" s="899"/>
      <c r="ALA41" s="899"/>
      <c r="ALB41" s="899"/>
      <c r="ALC41" s="899"/>
      <c r="ALD41" s="899"/>
      <c r="ALE41" s="899"/>
      <c r="ALF41" s="899"/>
      <c r="ALG41" s="899"/>
      <c r="ALH41" s="899"/>
      <c r="ALI41" s="899"/>
      <c r="ALJ41" s="899"/>
      <c r="ALK41" s="899"/>
      <c r="ALL41" s="899"/>
      <c r="ALM41" s="899"/>
      <c r="ALN41" s="899"/>
      <c r="ALO41" s="899"/>
      <c r="ALP41" s="899"/>
      <c r="ALQ41" s="899"/>
      <c r="ALR41" s="899"/>
      <c r="ALS41" s="899"/>
      <c r="ALT41" s="899"/>
      <c r="ALU41" s="899"/>
      <c r="ALV41" s="899"/>
      <c r="ALW41" s="899"/>
      <c r="ALX41" s="899"/>
      <c r="ALY41" s="899"/>
      <c r="ALZ41" s="899"/>
      <c r="AMA41" s="899"/>
      <c r="AMB41" s="899"/>
      <c r="AMC41" s="899"/>
      <c r="AMD41" s="899"/>
      <c r="AME41" s="899"/>
      <c r="AMF41" s="899"/>
      <c r="AMG41" s="899"/>
      <c r="AMH41" s="899"/>
      <c r="AMI41" s="899"/>
      <c r="AMJ41" s="899"/>
      <c r="AMK41" s="899"/>
      <c r="AML41" s="899"/>
      <c r="AMM41" s="899"/>
      <c r="AMN41" s="899"/>
      <c r="AMO41" s="899"/>
      <c r="AMP41" s="899"/>
      <c r="AMQ41" s="899"/>
      <c r="AMR41" s="899"/>
      <c r="AMS41" s="899"/>
      <c r="AMT41" s="899"/>
      <c r="AMU41" s="899"/>
      <c r="AMV41" s="899"/>
      <c r="AMW41" s="899"/>
      <c r="AMX41" s="899"/>
      <c r="AMY41" s="899"/>
      <c r="AMZ41" s="899"/>
      <c r="ANA41" s="899"/>
      <c r="ANB41" s="899"/>
      <c r="ANC41" s="899"/>
      <c r="AND41" s="899"/>
      <c r="ANE41" s="899"/>
      <c r="ANF41" s="899"/>
      <c r="ANG41" s="899"/>
      <c r="ANH41" s="899"/>
      <c r="ANI41" s="899"/>
      <c r="ANJ41" s="899"/>
      <c r="ANK41" s="899"/>
      <c r="ANL41" s="899"/>
      <c r="ANM41" s="899"/>
      <c r="ANN41" s="899"/>
      <c r="ANO41" s="899"/>
      <c r="ANP41" s="899"/>
      <c r="ANQ41" s="899"/>
      <c r="ANR41" s="899"/>
      <c r="ANS41" s="899"/>
      <c r="ANT41" s="899"/>
      <c r="ANU41" s="899"/>
      <c r="ANV41" s="899"/>
      <c r="ANW41" s="899"/>
      <c r="ANX41" s="899"/>
      <c r="ANY41" s="899"/>
      <c r="ANZ41" s="899"/>
      <c r="AOA41" s="899"/>
      <c r="AOB41" s="899"/>
      <c r="AOC41" s="899"/>
      <c r="AOD41" s="899"/>
      <c r="AOE41" s="899"/>
      <c r="AOF41" s="899"/>
      <c r="AOG41" s="899"/>
      <c r="AOH41" s="899"/>
      <c r="AOI41" s="899"/>
      <c r="AOJ41" s="899"/>
      <c r="AOK41" s="899"/>
      <c r="AOL41" s="899"/>
      <c r="AOM41" s="899"/>
      <c r="AON41" s="899"/>
      <c r="AOO41" s="899"/>
      <c r="AOP41" s="899"/>
      <c r="AOQ41" s="899"/>
      <c r="AOR41" s="899"/>
      <c r="AOS41" s="899"/>
      <c r="AOT41" s="899"/>
      <c r="AOU41" s="899"/>
      <c r="AOV41" s="899"/>
      <c r="AOW41" s="899"/>
      <c r="AOX41" s="899"/>
      <c r="AOY41" s="899"/>
      <c r="AOZ41" s="899"/>
      <c r="APA41" s="899"/>
      <c r="APB41" s="899"/>
      <c r="APC41" s="899"/>
      <c r="APD41" s="899"/>
      <c r="APE41" s="899"/>
      <c r="APF41" s="899"/>
      <c r="APG41" s="899"/>
      <c r="APH41" s="899"/>
      <c r="API41" s="899"/>
      <c r="APJ41" s="899"/>
      <c r="APK41" s="899"/>
      <c r="APL41" s="899"/>
      <c r="APM41" s="899"/>
      <c r="APN41" s="899"/>
      <c r="APO41" s="899"/>
      <c r="APP41" s="899"/>
      <c r="APQ41" s="899"/>
      <c r="APR41" s="899"/>
      <c r="APS41" s="899"/>
      <c r="APT41" s="899"/>
      <c r="APU41" s="899"/>
      <c r="APV41" s="899"/>
      <c r="APW41" s="899"/>
      <c r="APX41" s="899"/>
      <c r="APY41" s="899"/>
      <c r="APZ41" s="899"/>
      <c r="AQA41" s="899"/>
      <c r="AQB41" s="899"/>
      <c r="AQC41" s="899"/>
      <c r="AQD41" s="899"/>
      <c r="AQE41" s="899"/>
      <c r="AQF41" s="899"/>
      <c r="AQG41" s="899"/>
      <c r="AQH41" s="899"/>
      <c r="AQI41" s="899"/>
      <c r="AQJ41" s="899"/>
      <c r="AQK41" s="899"/>
      <c r="AQL41" s="899"/>
      <c r="AQM41" s="899"/>
      <c r="AQN41" s="899"/>
      <c r="AQO41" s="899"/>
      <c r="AQP41" s="899"/>
      <c r="AQQ41" s="899"/>
      <c r="AQR41" s="899"/>
      <c r="AQS41" s="899"/>
      <c r="AQT41" s="899"/>
      <c r="AQU41" s="899"/>
      <c r="AQV41" s="899"/>
      <c r="AQW41" s="899"/>
      <c r="AQX41" s="899"/>
      <c r="AQY41" s="899"/>
      <c r="AQZ41" s="899"/>
      <c r="ARA41" s="899"/>
      <c r="ARB41" s="899"/>
      <c r="ARC41" s="899"/>
      <c r="ARD41" s="899"/>
      <c r="ARE41" s="899"/>
      <c r="ARF41" s="899"/>
      <c r="ARG41" s="899"/>
      <c r="ARH41" s="899"/>
      <c r="ARI41" s="899"/>
      <c r="ARJ41" s="899"/>
      <c r="ARK41" s="899"/>
      <c r="ARL41" s="899"/>
      <c r="ARM41" s="899"/>
      <c r="ARN41" s="899"/>
      <c r="ARO41" s="899"/>
      <c r="ARP41" s="899"/>
      <c r="ARQ41" s="899"/>
      <c r="ARR41" s="899"/>
      <c r="ARS41" s="899"/>
      <c r="ART41" s="899"/>
      <c r="ARU41" s="899"/>
      <c r="ARV41" s="899"/>
      <c r="ARW41" s="899"/>
      <c r="ARX41" s="899"/>
      <c r="ARY41" s="899"/>
      <c r="ARZ41" s="899"/>
      <c r="ASA41" s="899"/>
      <c r="ASB41" s="899"/>
      <c r="ASC41" s="899"/>
      <c r="ASD41" s="899"/>
      <c r="ASE41" s="899"/>
      <c r="ASF41" s="899"/>
      <c r="ASG41" s="899"/>
      <c r="ASH41" s="899"/>
      <c r="ASI41" s="899"/>
      <c r="ASJ41" s="899"/>
      <c r="ASK41" s="899"/>
      <c r="ASL41" s="899"/>
      <c r="ASM41" s="899"/>
      <c r="ASN41" s="899"/>
      <c r="ASO41" s="899"/>
      <c r="ASP41" s="899"/>
      <c r="ASQ41" s="899"/>
      <c r="ASR41" s="899"/>
      <c r="ASS41" s="899"/>
      <c r="AST41" s="899"/>
      <c r="ASU41" s="899"/>
      <c r="ASV41" s="899"/>
      <c r="ASW41" s="899"/>
      <c r="ASX41" s="899"/>
      <c r="ASY41" s="899"/>
      <c r="ASZ41" s="899"/>
      <c r="ATA41" s="899"/>
      <c r="ATB41" s="899"/>
      <c r="ATC41" s="899"/>
      <c r="ATD41" s="899"/>
      <c r="ATE41" s="899"/>
      <c r="ATF41" s="899"/>
      <c r="ATG41" s="899"/>
      <c r="ATH41" s="899"/>
      <c r="ATI41" s="899"/>
      <c r="ATJ41" s="899"/>
      <c r="ATK41" s="899"/>
      <c r="ATL41" s="899"/>
      <c r="ATM41" s="899"/>
      <c r="ATN41" s="899"/>
      <c r="ATO41" s="899"/>
      <c r="ATP41" s="899"/>
      <c r="ATQ41" s="899"/>
      <c r="ATR41" s="899"/>
      <c r="ATS41" s="899"/>
      <c r="ATT41" s="899"/>
      <c r="ATU41" s="899"/>
      <c r="ATV41" s="899"/>
      <c r="ATW41" s="899"/>
      <c r="ATX41" s="899"/>
      <c r="ATY41" s="899"/>
      <c r="ATZ41" s="899"/>
      <c r="AUA41" s="899"/>
      <c r="AUB41" s="899"/>
      <c r="AUC41" s="899"/>
      <c r="AUD41" s="899"/>
      <c r="AUE41" s="899"/>
      <c r="AUF41" s="899"/>
      <c r="AUG41" s="899"/>
      <c r="AUH41" s="899"/>
      <c r="AUI41" s="899"/>
      <c r="AUJ41" s="899"/>
      <c r="AUK41" s="899"/>
      <c r="AUL41" s="899"/>
      <c r="AUM41" s="899"/>
      <c r="AUN41" s="899"/>
      <c r="AUO41" s="899"/>
      <c r="AUP41" s="899"/>
      <c r="AUQ41" s="899"/>
      <c r="AUR41" s="899"/>
      <c r="AUS41" s="899"/>
      <c r="AUT41" s="899"/>
      <c r="AUU41" s="899"/>
      <c r="AUV41" s="899"/>
      <c r="AUW41" s="899"/>
      <c r="AUX41" s="899"/>
      <c r="AUY41" s="899"/>
      <c r="AUZ41" s="899"/>
      <c r="AVA41" s="899"/>
      <c r="AVB41" s="899"/>
      <c r="AVC41" s="899"/>
      <c r="AVD41" s="899"/>
      <c r="AVE41" s="899"/>
      <c r="AVF41" s="899"/>
      <c r="AVG41" s="899"/>
      <c r="AVH41" s="899"/>
      <c r="AVI41" s="899"/>
      <c r="AVJ41" s="899"/>
      <c r="AVK41" s="899"/>
      <c r="AVL41" s="899"/>
      <c r="AVM41" s="899"/>
      <c r="AVN41" s="899"/>
      <c r="AVO41" s="899"/>
      <c r="AVP41" s="899"/>
      <c r="AVQ41" s="899"/>
      <c r="AVR41" s="899"/>
      <c r="AVS41" s="899"/>
      <c r="AVT41" s="899"/>
      <c r="AVU41" s="899"/>
      <c r="AVV41" s="899"/>
      <c r="AVW41" s="899"/>
      <c r="AVX41" s="899"/>
      <c r="AVY41" s="899"/>
      <c r="AVZ41" s="899"/>
      <c r="AWA41" s="899"/>
      <c r="AWB41" s="899"/>
      <c r="AWC41" s="899"/>
      <c r="AWD41" s="899"/>
      <c r="AWE41" s="899"/>
      <c r="AWF41" s="899"/>
      <c r="AWG41" s="899"/>
      <c r="AWH41" s="899"/>
      <c r="AWI41" s="899"/>
      <c r="AWJ41" s="899"/>
      <c r="AWK41" s="899"/>
      <c r="AWL41" s="899"/>
      <c r="AWM41" s="899"/>
      <c r="AWN41" s="899"/>
      <c r="AWO41" s="899"/>
      <c r="AWP41" s="899"/>
      <c r="AWQ41" s="899"/>
      <c r="AWR41" s="899"/>
      <c r="AWS41" s="899"/>
      <c r="AWT41" s="899"/>
      <c r="AWU41" s="899"/>
      <c r="AWV41" s="899"/>
      <c r="AWW41" s="899"/>
      <c r="AWX41" s="899"/>
      <c r="AWY41" s="899"/>
      <c r="AWZ41" s="899"/>
      <c r="AXA41" s="899"/>
      <c r="AXB41" s="899"/>
      <c r="AXC41" s="899"/>
      <c r="AXD41" s="899"/>
      <c r="AXE41" s="899"/>
      <c r="AXF41" s="899"/>
      <c r="AXG41" s="899"/>
      <c r="AXH41" s="899"/>
      <c r="AXI41" s="899"/>
      <c r="AXJ41" s="899"/>
      <c r="AXK41" s="899"/>
      <c r="AXL41" s="899"/>
      <c r="AXM41" s="899"/>
      <c r="AXN41" s="899"/>
      <c r="AXO41" s="899"/>
      <c r="AXP41" s="899"/>
      <c r="AXQ41" s="899"/>
      <c r="AXR41" s="899"/>
      <c r="AXS41" s="899"/>
      <c r="AXT41" s="899"/>
      <c r="AXU41" s="899"/>
      <c r="AXV41" s="899"/>
      <c r="AXW41" s="899"/>
      <c r="AXX41" s="899"/>
      <c r="AXY41" s="899"/>
      <c r="AXZ41" s="899"/>
      <c r="AYA41" s="899"/>
      <c r="AYB41" s="899"/>
      <c r="AYC41" s="899"/>
      <c r="AYD41" s="899"/>
      <c r="AYE41" s="899"/>
      <c r="AYF41" s="899"/>
      <c r="AYG41" s="899"/>
      <c r="AYH41" s="899"/>
      <c r="AYI41" s="899"/>
      <c r="AYJ41" s="899"/>
      <c r="AYK41" s="899"/>
      <c r="AYL41" s="899"/>
      <c r="AYM41" s="899"/>
      <c r="AYN41" s="899"/>
      <c r="AYO41" s="899"/>
      <c r="AYP41" s="899"/>
      <c r="AYQ41" s="899"/>
      <c r="AYR41" s="899"/>
      <c r="AYS41" s="899"/>
      <c r="AYT41" s="899"/>
      <c r="AYU41" s="899"/>
      <c r="AYV41" s="899"/>
      <c r="AYW41" s="899"/>
      <c r="AYX41" s="899"/>
      <c r="AYY41" s="899"/>
      <c r="AYZ41" s="899"/>
      <c r="AZA41" s="899"/>
      <c r="AZB41" s="899"/>
      <c r="AZC41" s="899"/>
      <c r="AZD41" s="899"/>
      <c r="AZE41" s="899"/>
      <c r="AZF41" s="899"/>
      <c r="AZG41" s="899"/>
      <c r="AZH41" s="899"/>
      <c r="AZI41" s="899"/>
      <c r="AZJ41" s="899"/>
      <c r="AZK41" s="899"/>
      <c r="AZL41" s="899"/>
      <c r="AZM41" s="899"/>
      <c r="AZN41" s="899"/>
      <c r="AZO41" s="899"/>
      <c r="AZP41" s="899"/>
      <c r="AZQ41" s="899"/>
      <c r="AZR41" s="899"/>
      <c r="AZS41" s="899"/>
      <c r="AZT41" s="899"/>
      <c r="AZU41" s="899"/>
      <c r="AZV41" s="899"/>
      <c r="AZW41" s="899"/>
      <c r="AZX41" s="899"/>
      <c r="AZY41" s="899"/>
      <c r="AZZ41" s="899"/>
      <c r="BAA41" s="899"/>
      <c r="BAB41" s="899"/>
      <c r="BAC41" s="899"/>
      <c r="BAD41" s="899"/>
      <c r="BAE41" s="899"/>
      <c r="BAF41" s="899"/>
      <c r="BAG41" s="899"/>
      <c r="BAH41" s="899"/>
      <c r="BAI41" s="899"/>
      <c r="BAJ41" s="899"/>
      <c r="BAK41" s="899"/>
      <c r="BAL41" s="899"/>
      <c r="BAM41" s="899"/>
      <c r="BAN41" s="899"/>
      <c r="BAO41" s="899"/>
      <c r="BAP41" s="899"/>
      <c r="BAQ41" s="899"/>
      <c r="BAR41" s="899"/>
      <c r="BAS41" s="899"/>
      <c r="BAT41" s="899"/>
      <c r="BAU41" s="899"/>
      <c r="BAV41" s="899"/>
      <c r="BAW41" s="899"/>
      <c r="BAX41" s="899"/>
      <c r="BAY41" s="899"/>
      <c r="BAZ41" s="899"/>
      <c r="BBA41" s="899"/>
      <c r="BBB41" s="899"/>
      <c r="BBC41" s="899"/>
      <c r="BBD41" s="899"/>
      <c r="BBE41" s="899"/>
      <c r="BBF41" s="899"/>
      <c r="BBG41" s="899"/>
      <c r="BBH41" s="899"/>
      <c r="BBI41" s="899"/>
      <c r="BBJ41" s="899"/>
      <c r="BBK41" s="899"/>
      <c r="BBL41" s="899"/>
      <c r="BBM41" s="899"/>
      <c r="BBN41" s="899"/>
      <c r="BBO41" s="899"/>
      <c r="BBP41" s="899"/>
      <c r="BBQ41" s="899"/>
      <c r="BBR41" s="899"/>
      <c r="BBS41" s="899"/>
      <c r="BBT41" s="899"/>
      <c r="BBU41" s="899"/>
      <c r="BBV41" s="899"/>
      <c r="BBW41" s="899"/>
      <c r="BBX41" s="899"/>
      <c r="BBY41" s="899"/>
      <c r="BBZ41" s="899"/>
      <c r="BCA41" s="899"/>
      <c r="BCB41" s="899"/>
      <c r="BCC41" s="899"/>
      <c r="BCD41" s="899"/>
      <c r="BCE41" s="899"/>
      <c r="BCF41" s="899"/>
      <c r="BCG41" s="899"/>
      <c r="BCH41" s="899"/>
      <c r="BCI41" s="899"/>
      <c r="BCJ41" s="899"/>
      <c r="BCK41" s="899"/>
      <c r="BCL41" s="899"/>
      <c r="BCM41" s="899"/>
      <c r="BCN41" s="899"/>
      <c r="BCO41" s="899"/>
      <c r="BCP41" s="899"/>
      <c r="BCQ41" s="899"/>
      <c r="BCR41" s="899"/>
      <c r="BCS41" s="899"/>
      <c r="BCT41" s="899"/>
      <c r="BCU41" s="899"/>
      <c r="BCV41" s="899"/>
      <c r="BCW41" s="899"/>
      <c r="BCX41" s="899"/>
      <c r="BCY41" s="899"/>
      <c r="BCZ41" s="899"/>
      <c r="BDA41" s="899"/>
      <c r="BDB41" s="899"/>
      <c r="BDC41" s="899"/>
      <c r="BDD41" s="899"/>
      <c r="BDE41" s="899"/>
      <c r="BDF41" s="899"/>
      <c r="BDG41" s="899"/>
      <c r="BDH41" s="899"/>
      <c r="BDI41" s="899"/>
      <c r="BDJ41" s="899"/>
      <c r="BDK41" s="899"/>
      <c r="BDL41" s="899"/>
      <c r="BDM41" s="899"/>
      <c r="BDN41" s="899"/>
      <c r="BDO41" s="899"/>
      <c r="BDP41" s="899"/>
      <c r="BDQ41" s="899"/>
      <c r="BDR41" s="899"/>
      <c r="BDS41" s="899"/>
      <c r="BDT41" s="899"/>
      <c r="BDU41" s="899"/>
      <c r="BDV41" s="899"/>
      <c r="BDW41" s="899"/>
      <c r="BDX41" s="899"/>
      <c r="BDY41" s="899"/>
      <c r="BDZ41" s="899"/>
      <c r="BEA41" s="899"/>
      <c r="BEB41" s="899"/>
      <c r="BEC41" s="899"/>
      <c r="BED41" s="899"/>
      <c r="BEE41" s="899"/>
      <c r="BEF41" s="899"/>
      <c r="BEG41" s="899"/>
      <c r="BEH41" s="899"/>
      <c r="BEI41" s="899"/>
      <c r="BEJ41" s="899"/>
      <c r="BEK41" s="899"/>
      <c r="BEL41" s="899"/>
      <c r="BEM41" s="899"/>
      <c r="BEN41" s="899"/>
      <c r="BEO41" s="899"/>
      <c r="BEP41" s="899"/>
      <c r="BEQ41" s="899"/>
      <c r="BER41" s="899"/>
      <c r="BES41" s="899"/>
      <c r="BET41" s="899"/>
      <c r="BEU41" s="899"/>
      <c r="BEV41" s="899"/>
      <c r="BEW41" s="899"/>
      <c r="BEX41" s="899"/>
      <c r="BEY41" s="899"/>
      <c r="BEZ41" s="899"/>
      <c r="BFA41" s="899"/>
      <c r="BFB41" s="899"/>
      <c r="BFC41" s="899"/>
      <c r="BFD41" s="899"/>
      <c r="BFE41" s="899"/>
      <c r="BFF41" s="899"/>
      <c r="BFG41" s="899"/>
      <c r="BFH41" s="899"/>
      <c r="BFI41" s="899"/>
      <c r="BFJ41" s="899"/>
      <c r="BFK41" s="899"/>
      <c r="BFL41" s="899"/>
      <c r="BFM41" s="899"/>
      <c r="BFN41" s="899"/>
      <c r="BFO41" s="899"/>
      <c r="BFP41" s="899"/>
      <c r="BFQ41" s="899"/>
      <c r="BFR41" s="899"/>
      <c r="BFS41" s="899"/>
      <c r="BFT41" s="899"/>
      <c r="BFU41" s="899"/>
      <c r="BFV41" s="899"/>
      <c r="BFW41" s="899"/>
      <c r="BFX41" s="899"/>
      <c r="BFY41" s="899"/>
      <c r="BFZ41" s="899"/>
      <c r="BGA41" s="899"/>
      <c r="BGB41" s="899"/>
      <c r="BGC41" s="899"/>
      <c r="BGD41" s="899"/>
      <c r="BGE41" s="899"/>
      <c r="BGF41" s="899"/>
      <c r="BGG41" s="899"/>
      <c r="BGH41" s="899"/>
      <c r="BGI41" s="899"/>
      <c r="BGJ41" s="899"/>
      <c r="BGK41" s="899"/>
      <c r="BGL41" s="899"/>
      <c r="BGM41" s="899"/>
      <c r="BGN41" s="899"/>
      <c r="BGO41" s="899"/>
      <c r="BGP41" s="899"/>
      <c r="BGQ41" s="899"/>
      <c r="BGR41" s="899"/>
      <c r="BGS41" s="899"/>
      <c r="BGT41" s="899"/>
      <c r="BGU41" s="899"/>
      <c r="BGV41" s="899"/>
      <c r="BGW41" s="899"/>
      <c r="BGX41" s="899"/>
      <c r="BGY41" s="899"/>
      <c r="BGZ41" s="899"/>
      <c r="BHA41" s="899"/>
      <c r="BHB41" s="899"/>
      <c r="BHC41" s="899"/>
      <c r="BHD41" s="899"/>
      <c r="BHE41" s="899"/>
      <c r="BHF41" s="899"/>
      <c r="BHG41" s="899"/>
      <c r="BHH41" s="899"/>
      <c r="BHI41" s="899"/>
      <c r="BHJ41" s="899"/>
      <c r="BHK41" s="899"/>
      <c r="BHL41" s="899"/>
      <c r="BHM41" s="899"/>
      <c r="BHN41" s="899"/>
      <c r="BHO41" s="899"/>
      <c r="BHP41" s="899"/>
      <c r="BHQ41" s="899"/>
      <c r="BHR41" s="899"/>
      <c r="BHS41" s="899"/>
      <c r="BHT41" s="899"/>
      <c r="BHU41" s="899"/>
      <c r="BHV41" s="899"/>
      <c r="BHW41" s="899"/>
      <c r="BHX41" s="899"/>
      <c r="BHY41" s="899"/>
      <c r="BHZ41" s="899"/>
      <c r="BIA41" s="899"/>
      <c r="BIB41" s="899"/>
      <c r="BIC41" s="899"/>
      <c r="BID41" s="899"/>
      <c r="BIE41" s="899"/>
      <c r="BIF41" s="899"/>
      <c r="BIG41" s="899"/>
      <c r="BIH41" s="899"/>
      <c r="BII41" s="899"/>
      <c r="BIJ41" s="899"/>
      <c r="BIK41" s="899"/>
      <c r="BIL41" s="899"/>
      <c r="BIM41" s="899"/>
      <c r="BIN41" s="899"/>
      <c r="BIO41" s="899"/>
      <c r="BIP41" s="899"/>
      <c r="BIQ41" s="899"/>
      <c r="BIR41" s="899"/>
      <c r="BIS41" s="899"/>
      <c r="BIT41" s="899"/>
      <c r="BIU41" s="899"/>
      <c r="BIV41" s="899"/>
      <c r="BIW41" s="899"/>
      <c r="BIX41" s="899"/>
      <c r="BIY41" s="899"/>
      <c r="BIZ41" s="899"/>
      <c r="BJA41" s="899"/>
      <c r="BJB41" s="899"/>
      <c r="BJC41" s="899"/>
      <c r="BJD41" s="899"/>
      <c r="BJE41" s="899"/>
      <c r="BJF41" s="899"/>
      <c r="BJG41" s="899"/>
      <c r="BJH41" s="899"/>
      <c r="BJI41" s="899"/>
      <c r="BJJ41" s="899"/>
      <c r="BJK41" s="899"/>
      <c r="BJL41" s="899"/>
      <c r="BJM41" s="899"/>
      <c r="BJN41" s="899"/>
      <c r="BJO41" s="899"/>
      <c r="BJP41" s="899"/>
      <c r="BJQ41" s="899"/>
      <c r="BJR41" s="899"/>
      <c r="BJS41" s="899"/>
      <c r="BJT41" s="899"/>
      <c r="BJU41" s="899"/>
      <c r="BJV41" s="899"/>
      <c r="BJW41" s="899"/>
      <c r="BJX41" s="899"/>
      <c r="BJY41" s="899"/>
      <c r="BJZ41" s="899"/>
      <c r="BKA41" s="899"/>
      <c r="BKB41" s="899"/>
      <c r="BKC41" s="899"/>
      <c r="BKD41" s="899"/>
      <c r="BKE41" s="899"/>
      <c r="BKF41" s="899"/>
      <c r="BKG41" s="899"/>
      <c r="BKH41" s="899"/>
      <c r="BKI41" s="899"/>
      <c r="BKJ41" s="899"/>
      <c r="BKK41" s="899"/>
      <c r="BKL41" s="899"/>
      <c r="BKM41" s="899"/>
      <c r="BKN41" s="899"/>
      <c r="BKO41" s="899"/>
      <c r="BKP41" s="899"/>
      <c r="BKQ41" s="899"/>
      <c r="BKR41" s="899"/>
      <c r="BKS41" s="899"/>
      <c r="BKT41" s="899"/>
      <c r="BKU41" s="899"/>
      <c r="BKV41" s="899"/>
      <c r="BKW41" s="899"/>
      <c r="BKX41" s="899"/>
      <c r="BKY41" s="899"/>
      <c r="BKZ41" s="899"/>
      <c r="BLA41" s="899"/>
      <c r="BLB41" s="899"/>
      <c r="BLC41" s="899"/>
      <c r="BLD41" s="899"/>
      <c r="BLE41" s="899"/>
      <c r="BLF41" s="899"/>
      <c r="BLG41" s="899"/>
      <c r="BLH41" s="899"/>
      <c r="BLI41" s="899"/>
      <c r="BLJ41" s="899"/>
      <c r="BLK41" s="899"/>
      <c r="BLL41" s="899"/>
      <c r="BLM41" s="899"/>
      <c r="BLN41" s="899"/>
      <c r="BLO41" s="899"/>
      <c r="BLP41" s="899"/>
      <c r="BLQ41" s="899"/>
      <c r="BLR41" s="899"/>
      <c r="BLS41" s="899"/>
      <c r="BLT41" s="899"/>
      <c r="BLU41" s="899"/>
      <c r="BLV41" s="899"/>
      <c r="BLW41" s="899"/>
      <c r="BLX41" s="899"/>
      <c r="BLY41" s="899"/>
      <c r="BLZ41" s="899"/>
      <c r="BMA41" s="899"/>
      <c r="BMB41" s="899"/>
      <c r="BMC41" s="899"/>
      <c r="BMD41" s="899"/>
      <c r="BME41" s="899"/>
      <c r="BMF41" s="899"/>
      <c r="BMG41" s="899"/>
      <c r="BMH41" s="899"/>
      <c r="BMI41" s="899"/>
      <c r="BMJ41" s="899"/>
      <c r="BMK41" s="899"/>
      <c r="BML41" s="899"/>
      <c r="BMM41" s="899"/>
      <c r="BMN41" s="899"/>
      <c r="BMO41" s="899"/>
      <c r="BMP41" s="899"/>
      <c r="BMQ41" s="899"/>
      <c r="BMR41" s="899"/>
      <c r="BMS41" s="899"/>
      <c r="BMT41" s="899"/>
      <c r="BMU41" s="899"/>
      <c r="BMV41" s="899"/>
      <c r="BMW41" s="899"/>
      <c r="BMX41" s="899"/>
      <c r="BMY41" s="899"/>
      <c r="BMZ41" s="899"/>
      <c r="BNA41" s="899"/>
      <c r="BNB41" s="899"/>
      <c r="BNC41" s="899"/>
      <c r="BND41" s="899"/>
      <c r="BNE41" s="899"/>
      <c r="BNF41" s="899"/>
      <c r="BNG41" s="899"/>
      <c r="BNH41" s="899"/>
      <c r="BNI41" s="899"/>
      <c r="BNJ41" s="899"/>
      <c r="BNK41" s="899"/>
      <c r="BNL41" s="899"/>
      <c r="BNM41" s="899"/>
      <c r="BNN41" s="899"/>
      <c r="BNO41" s="899"/>
      <c r="BNP41" s="899"/>
      <c r="BNQ41" s="899"/>
      <c r="BNR41" s="899"/>
      <c r="BNS41" s="899"/>
      <c r="BNT41" s="899"/>
      <c r="BNU41" s="899"/>
      <c r="BNV41" s="899"/>
      <c r="BNW41" s="899"/>
      <c r="BNX41" s="899"/>
      <c r="BNY41" s="899"/>
      <c r="BNZ41" s="899"/>
      <c r="BOA41" s="899"/>
      <c r="BOB41" s="899"/>
      <c r="BOC41" s="899"/>
      <c r="BOD41" s="899"/>
      <c r="BOE41" s="899"/>
      <c r="BOF41" s="899"/>
      <c r="BOG41" s="899"/>
      <c r="BOH41" s="899"/>
      <c r="BOI41" s="899"/>
      <c r="BOJ41" s="899"/>
      <c r="BOK41" s="899"/>
      <c r="BOL41" s="899"/>
      <c r="BOM41" s="899"/>
      <c r="BON41" s="899"/>
      <c r="BOO41" s="899"/>
      <c r="BOP41" s="899"/>
      <c r="BOQ41" s="899"/>
      <c r="BOR41" s="899"/>
      <c r="BOS41" s="899"/>
      <c r="BOT41" s="899"/>
      <c r="BOU41" s="899"/>
      <c r="BOV41" s="899"/>
      <c r="BOW41" s="899"/>
      <c r="BOX41" s="899"/>
      <c r="BOY41" s="899"/>
      <c r="BOZ41" s="899"/>
      <c r="BPA41" s="899"/>
      <c r="BPB41" s="899"/>
      <c r="BPC41" s="899"/>
      <c r="BPD41" s="899"/>
      <c r="BPE41" s="899"/>
      <c r="BPF41" s="899"/>
      <c r="BPG41" s="899"/>
      <c r="BPH41" s="899"/>
      <c r="BPI41" s="899"/>
      <c r="BPJ41" s="899"/>
      <c r="BPK41" s="899"/>
      <c r="BPL41" s="899"/>
      <c r="BPM41" s="899"/>
      <c r="BPN41" s="899"/>
      <c r="BPO41" s="899"/>
      <c r="BPP41" s="899"/>
      <c r="BPQ41" s="899"/>
      <c r="BPR41" s="899"/>
      <c r="BPS41" s="899"/>
      <c r="BPT41" s="899"/>
      <c r="BPU41" s="899"/>
      <c r="BPV41" s="899"/>
      <c r="BPW41" s="899"/>
      <c r="BPX41" s="899"/>
      <c r="BPY41" s="899"/>
      <c r="BPZ41" s="899"/>
      <c r="BQA41" s="899"/>
      <c r="BQB41" s="899"/>
      <c r="BQC41" s="899"/>
      <c r="BQD41" s="899"/>
      <c r="BQE41" s="899"/>
      <c r="BQF41" s="899"/>
      <c r="BQG41" s="899"/>
      <c r="BQH41" s="899"/>
      <c r="BQI41" s="899"/>
      <c r="BQJ41" s="899"/>
      <c r="BQK41" s="899"/>
      <c r="BQL41" s="899"/>
      <c r="BQM41" s="899"/>
      <c r="BQN41" s="899"/>
      <c r="BQO41" s="899"/>
      <c r="BQP41" s="899"/>
      <c r="BQQ41" s="899"/>
      <c r="BQR41" s="899"/>
      <c r="BQS41" s="899"/>
      <c r="BQT41" s="899"/>
      <c r="BQU41" s="899"/>
      <c r="BQV41" s="899"/>
      <c r="BQW41" s="899"/>
      <c r="BQX41" s="899"/>
      <c r="BQY41" s="899"/>
      <c r="BQZ41" s="899"/>
      <c r="BRA41" s="899"/>
      <c r="BRB41" s="899"/>
      <c r="BRC41" s="899"/>
      <c r="BRD41" s="899"/>
      <c r="BRE41" s="899"/>
      <c r="BRF41" s="899"/>
      <c r="BRG41" s="899"/>
      <c r="BRH41" s="899"/>
      <c r="BRI41" s="899"/>
      <c r="BRJ41" s="899"/>
      <c r="BRK41" s="899"/>
      <c r="BRL41" s="899"/>
      <c r="BRM41" s="899"/>
      <c r="BRN41" s="899"/>
      <c r="BRO41" s="899"/>
      <c r="BRP41" s="899"/>
      <c r="BRQ41" s="899"/>
      <c r="BRR41" s="899"/>
      <c r="BRS41" s="899"/>
      <c r="BRT41" s="899"/>
      <c r="BRU41" s="899"/>
      <c r="BRV41" s="899"/>
      <c r="BRW41" s="899"/>
      <c r="BRX41" s="899"/>
      <c r="BRY41" s="899"/>
      <c r="BRZ41" s="899"/>
      <c r="BSA41" s="899"/>
      <c r="BSB41" s="899"/>
      <c r="BSC41" s="899"/>
      <c r="BSD41" s="899"/>
      <c r="BSE41" s="899"/>
      <c r="BSF41" s="899"/>
      <c r="BSG41" s="899"/>
      <c r="BSH41" s="899"/>
      <c r="BSI41" s="899"/>
      <c r="BSJ41" s="899"/>
      <c r="BSK41" s="899"/>
      <c r="BSL41" s="899"/>
      <c r="BSM41" s="899"/>
      <c r="BSN41" s="899"/>
      <c r="BSO41" s="899"/>
      <c r="BSP41" s="899"/>
      <c r="BSQ41" s="899"/>
      <c r="BSR41" s="899"/>
      <c r="BSS41" s="899"/>
      <c r="BST41" s="899"/>
      <c r="BSU41" s="899"/>
      <c r="BSV41" s="899"/>
      <c r="BSW41" s="899"/>
      <c r="BSX41" s="899"/>
      <c r="BSY41" s="899"/>
      <c r="BSZ41" s="899"/>
      <c r="BTA41" s="899"/>
      <c r="BTB41" s="899"/>
      <c r="BTC41" s="899"/>
      <c r="BTD41" s="899"/>
      <c r="BTE41" s="899"/>
      <c r="BTF41" s="899"/>
      <c r="BTG41" s="899"/>
      <c r="BTH41" s="899"/>
      <c r="BTI41" s="899"/>
      <c r="BTJ41" s="899"/>
      <c r="BTK41" s="899"/>
      <c r="BTL41" s="899"/>
      <c r="BTM41" s="899"/>
      <c r="BTN41" s="899"/>
      <c r="BTO41" s="899"/>
      <c r="BTP41" s="899"/>
      <c r="BTQ41" s="899"/>
      <c r="BTR41" s="899"/>
      <c r="BTS41" s="899"/>
      <c r="BTT41" s="899"/>
      <c r="BTU41" s="899"/>
      <c r="BTV41" s="899"/>
      <c r="BTW41" s="899"/>
      <c r="BTX41" s="899"/>
      <c r="BTY41" s="899"/>
      <c r="BTZ41" s="899"/>
      <c r="BUA41" s="899"/>
      <c r="BUB41" s="899"/>
      <c r="BUC41" s="899"/>
      <c r="BUD41" s="899"/>
      <c r="BUE41" s="899"/>
      <c r="BUF41" s="899"/>
      <c r="BUG41" s="899"/>
      <c r="BUH41" s="899"/>
      <c r="BUI41" s="899"/>
      <c r="BUJ41" s="899"/>
      <c r="BUK41" s="899"/>
      <c r="BUL41" s="899"/>
      <c r="BUM41" s="899"/>
      <c r="BUN41" s="899"/>
      <c r="BUO41" s="899"/>
      <c r="BUP41" s="899"/>
      <c r="BUQ41" s="899"/>
      <c r="BUR41" s="899"/>
      <c r="BUS41" s="899"/>
      <c r="BUT41" s="899"/>
      <c r="BUU41" s="899"/>
      <c r="BUV41" s="899"/>
      <c r="BUW41" s="899"/>
      <c r="BUX41" s="899"/>
      <c r="BUY41" s="899"/>
      <c r="BUZ41" s="899"/>
      <c r="BVA41" s="899"/>
      <c r="BVB41" s="899"/>
      <c r="BVC41" s="899"/>
      <c r="BVD41" s="899"/>
      <c r="BVE41" s="899"/>
      <c r="BVF41" s="899"/>
      <c r="BVG41" s="899"/>
      <c r="BVH41" s="899"/>
      <c r="BVI41" s="899"/>
      <c r="BVJ41" s="899"/>
      <c r="BVK41" s="899"/>
      <c r="BVL41" s="899"/>
      <c r="BVM41" s="899"/>
      <c r="BVN41" s="899"/>
      <c r="BVO41" s="899"/>
      <c r="BVP41" s="899"/>
      <c r="BVQ41" s="899"/>
      <c r="BVR41" s="899"/>
      <c r="BVS41" s="899"/>
      <c r="BVT41" s="899"/>
      <c r="BVU41" s="899"/>
      <c r="BVV41" s="899"/>
      <c r="BVW41" s="899"/>
      <c r="BVX41" s="899"/>
      <c r="BVY41" s="899"/>
      <c r="BVZ41" s="899"/>
      <c r="BWA41" s="899"/>
      <c r="BWB41" s="899"/>
      <c r="BWC41" s="899"/>
      <c r="BWD41" s="899"/>
      <c r="BWE41" s="899"/>
      <c r="BWF41" s="899"/>
      <c r="BWG41" s="899"/>
      <c r="BWH41" s="899"/>
      <c r="BWI41" s="899"/>
      <c r="BWJ41" s="899"/>
      <c r="BWK41" s="899"/>
      <c r="BWL41" s="899"/>
      <c r="BWM41" s="899"/>
      <c r="BWN41" s="899"/>
      <c r="BWO41" s="899"/>
      <c r="BWP41" s="899"/>
      <c r="BWQ41" s="899"/>
      <c r="BWR41" s="899"/>
      <c r="BWS41" s="899"/>
      <c r="BWT41" s="899"/>
      <c r="BWU41" s="899"/>
      <c r="BWV41" s="899"/>
      <c r="BWW41" s="899"/>
      <c r="BWX41" s="899"/>
      <c r="BWY41" s="899"/>
      <c r="BWZ41" s="899"/>
      <c r="BXA41" s="899"/>
      <c r="BXB41" s="899"/>
      <c r="BXC41" s="899"/>
      <c r="BXD41" s="899"/>
      <c r="BXE41" s="899"/>
      <c r="BXF41" s="899"/>
      <c r="BXG41" s="899"/>
      <c r="BXH41" s="899"/>
      <c r="BXI41" s="899"/>
      <c r="BXJ41" s="899"/>
      <c r="BXK41" s="899"/>
      <c r="BXL41" s="899"/>
      <c r="BXM41" s="899"/>
      <c r="BXN41" s="899"/>
      <c r="BXO41" s="899"/>
      <c r="BXP41" s="899"/>
      <c r="BXQ41" s="899"/>
      <c r="BXR41" s="899"/>
      <c r="BXS41" s="899"/>
      <c r="BXT41" s="899"/>
      <c r="BXU41" s="899"/>
      <c r="BXV41" s="899"/>
      <c r="BXW41" s="899"/>
      <c r="BXX41" s="899"/>
      <c r="BXY41" s="899"/>
      <c r="BXZ41" s="899"/>
      <c r="BYA41" s="899"/>
      <c r="BYB41" s="899"/>
      <c r="BYC41" s="899"/>
      <c r="BYD41" s="899"/>
      <c r="BYE41" s="899"/>
      <c r="BYF41" s="899"/>
      <c r="BYG41" s="899"/>
      <c r="BYH41" s="899"/>
      <c r="BYI41" s="899"/>
      <c r="BYJ41" s="899"/>
      <c r="BYK41" s="899"/>
      <c r="BYL41" s="899"/>
      <c r="BYM41" s="899"/>
      <c r="BYN41" s="899"/>
      <c r="BYO41" s="899"/>
      <c r="BYP41" s="899"/>
      <c r="BYQ41" s="899"/>
      <c r="BYR41" s="899"/>
      <c r="BYS41" s="899"/>
      <c r="BYT41" s="899"/>
      <c r="BYU41" s="899"/>
      <c r="BYV41" s="899"/>
      <c r="BYW41" s="899"/>
      <c r="BYX41" s="899"/>
      <c r="BYY41" s="899"/>
      <c r="BYZ41" s="899"/>
      <c r="BZA41" s="899"/>
      <c r="BZB41" s="899"/>
      <c r="BZC41" s="899"/>
      <c r="BZD41" s="899"/>
      <c r="BZE41" s="899"/>
      <c r="BZF41" s="899"/>
      <c r="BZG41" s="899"/>
      <c r="BZH41" s="899"/>
      <c r="BZI41" s="899"/>
      <c r="BZJ41" s="899"/>
      <c r="BZK41" s="899"/>
      <c r="BZL41" s="899"/>
      <c r="BZM41" s="899"/>
      <c r="BZN41" s="899"/>
      <c r="BZO41" s="899"/>
      <c r="BZP41" s="899"/>
      <c r="BZQ41" s="899"/>
      <c r="BZR41" s="899"/>
      <c r="BZS41" s="899"/>
      <c r="BZT41" s="899"/>
      <c r="BZU41" s="899"/>
      <c r="BZV41" s="899"/>
      <c r="BZW41" s="899"/>
      <c r="BZX41" s="899"/>
      <c r="BZY41" s="899"/>
      <c r="BZZ41" s="899"/>
      <c r="CAA41" s="899"/>
      <c r="CAB41" s="899"/>
      <c r="CAC41" s="899"/>
      <c r="CAD41" s="899"/>
      <c r="CAE41" s="899"/>
      <c r="CAF41" s="899"/>
      <c r="CAG41" s="899"/>
      <c r="CAH41" s="899"/>
      <c r="CAI41" s="899"/>
      <c r="CAJ41" s="899"/>
      <c r="CAK41" s="899"/>
      <c r="CAL41" s="899"/>
      <c r="CAM41" s="899"/>
      <c r="CAN41" s="899"/>
      <c r="CAO41" s="899"/>
      <c r="CAP41" s="899"/>
      <c r="CAQ41" s="899"/>
      <c r="CAR41" s="899"/>
      <c r="CAS41" s="899"/>
      <c r="CAT41" s="899"/>
      <c r="CAU41" s="899"/>
      <c r="CAV41" s="899"/>
      <c r="CAW41" s="899"/>
      <c r="CAX41" s="899"/>
      <c r="CAY41" s="899"/>
      <c r="CAZ41" s="899"/>
      <c r="CBA41" s="899"/>
      <c r="CBB41" s="899"/>
      <c r="CBC41" s="899"/>
      <c r="CBD41" s="899"/>
      <c r="CBE41" s="899"/>
      <c r="CBF41" s="899"/>
      <c r="CBG41" s="899"/>
      <c r="CBH41" s="899"/>
      <c r="CBI41" s="899"/>
      <c r="CBJ41" s="899"/>
      <c r="CBK41" s="899"/>
      <c r="CBL41" s="899"/>
      <c r="CBM41" s="899"/>
      <c r="CBN41" s="899"/>
      <c r="CBO41" s="899"/>
      <c r="CBP41" s="899"/>
      <c r="CBQ41" s="899"/>
      <c r="CBR41" s="899"/>
      <c r="CBS41" s="899"/>
      <c r="CBT41" s="899"/>
      <c r="CBU41" s="899"/>
      <c r="CBV41" s="899"/>
      <c r="CBW41" s="899"/>
      <c r="CBX41" s="899"/>
      <c r="CBY41" s="899"/>
      <c r="CBZ41" s="899"/>
      <c r="CCA41" s="899"/>
      <c r="CCB41" s="899"/>
      <c r="CCC41" s="899"/>
      <c r="CCD41" s="899"/>
      <c r="CCE41" s="899"/>
      <c r="CCF41" s="899"/>
      <c r="CCG41" s="899"/>
      <c r="CCH41" s="899"/>
      <c r="CCI41" s="899"/>
      <c r="CCJ41" s="899"/>
      <c r="CCK41" s="899"/>
      <c r="CCL41" s="899"/>
      <c r="CCM41" s="899"/>
      <c r="CCN41" s="899"/>
      <c r="CCO41" s="899"/>
      <c r="CCP41" s="899"/>
      <c r="CCQ41" s="899"/>
      <c r="CCR41" s="899"/>
      <c r="CCS41" s="899"/>
      <c r="CCT41" s="899"/>
      <c r="CCU41" s="899"/>
      <c r="CCV41" s="899"/>
      <c r="CCW41" s="899"/>
      <c r="CCX41" s="899"/>
      <c r="CCY41" s="899"/>
      <c r="CCZ41" s="899"/>
      <c r="CDA41" s="899"/>
      <c r="CDB41" s="899"/>
      <c r="CDC41" s="899"/>
      <c r="CDD41" s="899"/>
      <c r="CDE41" s="899"/>
      <c r="CDF41" s="899"/>
      <c r="CDG41" s="899"/>
      <c r="CDH41" s="899"/>
      <c r="CDI41" s="899"/>
      <c r="CDJ41" s="899"/>
      <c r="CDK41" s="899"/>
      <c r="CDL41" s="899"/>
      <c r="CDM41" s="899"/>
      <c r="CDN41" s="899"/>
      <c r="CDO41" s="899"/>
      <c r="CDP41" s="899"/>
      <c r="CDQ41" s="899"/>
      <c r="CDR41" s="899"/>
      <c r="CDS41" s="899"/>
      <c r="CDT41" s="899"/>
      <c r="CDU41" s="899"/>
      <c r="CDV41" s="899"/>
      <c r="CDW41" s="899"/>
      <c r="CDX41" s="899"/>
      <c r="CDY41" s="899"/>
      <c r="CDZ41" s="899"/>
      <c r="CEA41" s="899"/>
      <c r="CEB41" s="899"/>
      <c r="CEC41" s="899"/>
      <c r="CED41" s="899"/>
      <c r="CEE41" s="899"/>
      <c r="CEF41" s="899"/>
      <c r="CEG41" s="899"/>
      <c r="CEH41" s="899"/>
      <c r="CEI41" s="899"/>
      <c r="CEJ41" s="899"/>
      <c r="CEK41" s="899"/>
      <c r="CEL41" s="899"/>
      <c r="CEM41" s="899"/>
      <c r="CEN41" s="899"/>
      <c r="CEO41" s="899"/>
      <c r="CEP41" s="899"/>
      <c r="CEQ41" s="899"/>
      <c r="CER41" s="899"/>
      <c r="CES41" s="899"/>
      <c r="CET41" s="899"/>
      <c r="CEU41" s="899"/>
      <c r="CEV41" s="899"/>
      <c r="CEW41" s="899"/>
      <c r="CEX41" s="899"/>
      <c r="CEY41" s="899"/>
      <c r="CEZ41" s="899"/>
      <c r="CFA41" s="899"/>
      <c r="CFB41" s="899"/>
      <c r="CFC41" s="899"/>
      <c r="CFD41" s="899"/>
      <c r="CFE41" s="899"/>
      <c r="CFF41" s="899"/>
      <c r="CFG41" s="899"/>
      <c r="CFH41" s="899"/>
      <c r="CFI41" s="899"/>
      <c r="CFJ41" s="899"/>
      <c r="CFK41" s="899"/>
      <c r="CFL41" s="899"/>
      <c r="CFM41" s="899"/>
      <c r="CFN41" s="899"/>
      <c r="CFO41" s="899"/>
      <c r="CFP41" s="899"/>
      <c r="CFQ41" s="899"/>
      <c r="CFR41" s="899"/>
      <c r="CFS41" s="899"/>
      <c r="CFT41" s="899"/>
      <c r="CFU41" s="899"/>
      <c r="CFV41" s="899"/>
      <c r="CFW41" s="899"/>
      <c r="CFX41" s="899"/>
      <c r="CFY41" s="899"/>
      <c r="CFZ41" s="899"/>
      <c r="CGA41" s="899"/>
      <c r="CGB41" s="899"/>
      <c r="CGC41" s="899"/>
      <c r="CGD41" s="899"/>
      <c r="CGE41" s="899"/>
      <c r="CGF41" s="899"/>
      <c r="CGG41" s="899"/>
      <c r="CGH41" s="899"/>
      <c r="CGI41" s="899"/>
      <c r="CGJ41" s="899"/>
      <c r="CGK41" s="899"/>
      <c r="CGL41" s="899"/>
      <c r="CGM41" s="899"/>
      <c r="CGN41" s="899"/>
      <c r="CGO41" s="899"/>
      <c r="CGP41" s="899"/>
      <c r="CGQ41" s="899"/>
      <c r="CGR41" s="899"/>
      <c r="CGS41" s="899"/>
      <c r="CGT41" s="899"/>
      <c r="CGU41" s="899"/>
      <c r="CGV41" s="899"/>
      <c r="CGW41" s="899"/>
      <c r="CGX41" s="899"/>
      <c r="CGY41" s="899"/>
      <c r="CGZ41" s="899"/>
      <c r="CHA41" s="899"/>
      <c r="CHB41" s="899"/>
      <c r="CHC41" s="899"/>
      <c r="CHD41" s="899"/>
      <c r="CHE41" s="899"/>
      <c r="CHF41" s="899"/>
      <c r="CHG41" s="899"/>
      <c r="CHH41" s="899"/>
      <c r="CHI41" s="899"/>
      <c r="CHJ41" s="899"/>
      <c r="CHK41" s="899"/>
      <c r="CHL41" s="899"/>
      <c r="CHM41" s="899"/>
      <c r="CHN41" s="899"/>
      <c r="CHO41" s="899"/>
      <c r="CHP41" s="899"/>
      <c r="CHQ41" s="899"/>
      <c r="CHR41" s="899"/>
      <c r="CHS41" s="899"/>
      <c r="CHT41" s="899"/>
      <c r="CHU41" s="899"/>
      <c r="CHV41" s="899"/>
      <c r="CHW41" s="899"/>
      <c r="CHX41" s="899"/>
      <c r="CHY41" s="899"/>
      <c r="CHZ41" s="899"/>
      <c r="CIA41" s="899"/>
      <c r="CIB41" s="899"/>
      <c r="CIC41" s="899"/>
      <c r="CID41" s="899"/>
      <c r="CIE41" s="899"/>
      <c r="CIF41" s="899"/>
      <c r="CIG41" s="899"/>
      <c r="CIH41" s="899"/>
      <c r="CII41" s="899"/>
      <c r="CIJ41" s="899"/>
      <c r="CIK41" s="899"/>
      <c r="CIL41" s="899"/>
      <c r="CIM41" s="899"/>
      <c r="CIN41" s="899"/>
      <c r="CIO41" s="899"/>
      <c r="CIP41" s="899"/>
      <c r="CIQ41" s="899"/>
      <c r="CIR41" s="899"/>
      <c r="CIS41" s="899"/>
      <c r="CIT41" s="899"/>
      <c r="CIU41" s="899"/>
      <c r="CIV41" s="899"/>
      <c r="CIW41" s="899"/>
      <c r="CIX41" s="899"/>
      <c r="CIY41" s="899"/>
      <c r="CIZ41" s="899"/>
      <c r="CJA41" s="899"/>
      <c r="CJB41" s="899"/>
      <c r="CJC41" s="899"/>
      <c r="CJD41" s="899"/>
      <c r="CJE41" s="899"/>
      <c r="CJF41" s="899"/>
      <c r="CJG41" s="899"/>
      <c r="CJH41" s="899"/>
      <c r="CJI41" s="899"/>
      <c r="CJJ41" s="899"/>
      <c r="CJK41" s="899"/>
      <c r="CJL41" s="899"/>
      <c r="CJM41" s="899"/>
      <c r="CJN41" s="899"/>
      <c r="CJO41" s="899"/>
      <c r="CJP41" s="899"/>
      <c r="CJQ41" s="899"/>
      <c r="CJR41" s="899"/>
      <c r="CJS41" s="899"/>
      <c r="CJT41" s="899"/>
      <c r="CJU41" s="899"/>
      <c r="CJV41" s="899"/>
      <c r="CJW41" s="899"/>
      <c r="CJX41" s="899"/>
      <c r="CJY41" s="899"/>
      <c r="CJZ41" s="899"/>
      <c r="CKA41" s="899"/>
      <c r="CKB41" s="899"/>
      <c r="CKC41" s="899"/>
      <c r="CKD41" s="899"/>
      <c r="CKE41" s="899"/>
      <c r="CKF41" s="899"/>
      <c r="CKG41" s="899"/>
      <c r="CKH41" s="899"/>
      <c r="CKI41" s="899"/>
      <c r="CKJ41" s="899"/>
      <c r="CKK41" s="899"/>
      <c r="CKL41" s="899"/>
      <c r="CKM41" s="899"/>
      <c r="CKN41" s="899"/>
      <c r="CKO41" s="899"/>
      <c r="CKP41" s="899"/>
      <c r="CKQ41" s="899"/>
      <c r="CKR41" s="899"/>
      <c r="CKS41" s="899"/>
      <c r="CKT41" s="899"/>
      <c r="CKU41" s="899"/>
      <c r="CKV41" s="899"/>
      <c r="CKW41" s="899"/>
      <c r="CKX41" s="899"/>
      <c r="CKY41" s="899"/>
      <c r="CKZ41" s="899"/>
      <c r="CLA41" s="899"/>
      <c r="CLB41" s="899"/>
      <c r="CLC41" s="899"/>
      <c r="CLD41" s="899"/>
      <c r="CLE41" s="899"/>
      <c r="CLF41" s="899"/>
      <c r="CLG41" s="899"/>
      <c r="CLH41" s="899"/>
      <c r="CLI41" s="899"/>
      <c r="CLJ41" s="899"/>
      <c r="CLK41" s="899"/>
      <c r="CLL41" s="899"/>
      <c r="CLM41" s="899"/>
      <c r="CLN41" s="899"/>
      <c r="CLO41" s="899"/>
      <c r="CLP41" s="899"/>
      <c r="CLQ41" s="899"/>
      <c r="CLR41" s="899"/>
      <c r="CLS41" s="899"/>
      <c r="CLT41" s="899"/>
      <c r="CLU41" s="899"/>
      <c r="CLV41" s="899"/>
      <c r="CLW41" s="899"/>
      <c r="CLX41" s="899"/>
      <c r="CLY41" s="899"/>
      <c r="CLZ41" s="899"/>
      <c r="CMA41" s="899"/>
      <c r="CMB41" s="899"/>
      <c r="CMC41" s="899"/>
      <c r="CMD41" s="899"/>
      <c r="CME41" s="899"/>
      <c r="CMF41" s="899"/>
      <c r="CMG41" s="899"/>
      <c r="CMH41" s="899"/>
      <c r="CMI41" s="899"/>
      <c r="CMJ41" s="899"/>
      <c r="CMK41" s="899"/>
      <c r="CML41" s="899"/>
      <c r="CMM41" s="899"/>
      <c r="CMN41" s="899"/>
      <c r="CMO41" s="899"/>
      <c r="CMP41" s="899"/>
      <c r="CMQ41" s="899"/>
      <c r="CMR41" s="899"/>
      <c r="CMS41" s="899"/>
      <c r="CMT41" s="899"/>
      <c r="CMU41" s="899"/>
      <c r="CMV41" s="899"/>
      <c r="CMW41" s="899"/>
      <c r="CMX41" s="899"/>
      <c r="CMY41" s="899"/>
      <c r="CMZ41" s="899"/>
      <c r="CNA41" s="899"/>
      <c r="CNB41" s="899"/>
      <c r="CNC41" s="899"/>
      <c r="CND41" s="899"/>
      <c r="CNE41" s="899"/>
      <c r="CNF41" s="899"/>
      <c r="CNG41" s="899"/>
      <c r="CNH41" s="899"/>
      <c r="CNI41" s="899"/>
      <c r="CNJ41" s="899"/>
      <c r="CNK41" s="899"/>
      <c r="CNL41" s="899"/>
      <c r="CNM41" s="899"/>
      <c r="CNN41" s="899"/>
      <c r="CNO41" s="899"/>
      <c r="CNP41" s="899"/>
      <c r="CNQ41" s="899"/>
      <c r="CNR41" s="899"/>
      <c r="CNS41" s="899"/>
      <c r="CNT41" s="899"/>
      <c r="CNU41" s="899"/>
      <c r="CNV41" s="899"/>
      <c r="CNW41" s="899"/>
      <c r="CNX41" s="899"/>
      <c r="CNY41" s="899"/>
      <c r="CNZ41" s="899"/>
      <c r="COA41" s="899"/>
      <c r="COB41" s="899"/>
      <c r="COC41" s="899"/>
      <c r="COD41" s="899"/>
      <c r="COE41" s="899"/>
      <c r="COF41" s="899"/>
      <c r="COG41" s="899"/>
      <c r="COH41" s="899"/>
      <c r="COI41" s="899"/>
      <c r="COJ41" s="899"/>
      <c r="COK41" s="899"/>
      <c r="COL41" s="899"/>
      <c r="COM41" s="899"/>
      <c r="CON41" s="899"/>
      <c r="COO41" s="899"/>
      <c r="COP41" s="899"/>
      <c r="COQ41" s="899"/>
      <c r="COR41" s="899"/>
      <c r="COS41" s="899"/>
      <c r="COT41" s="899"/>
      <c r="COU41" s="899"/>
      <c r="COV41" s="899"/>
      <c r="COW41" s="899"/>
      <c r="COX41" s="899"/>
      <c r="COY41" s="899"/>
      <c r="COZ41" s="899"/>
      <c r="CPA41" s="899"/>
      <c r="CPB41" s="899"/>
      <c r="CPC41" s="899"/>
      <c r="CPD41" s="899"/>
      <c r="CPE41" s="899"/>
      <c r="CPF41" s="899"/>
      <c r="CPG41" s="899"/>
      <c r="CPH41" s="899"/>
      <c r="CPI41" s="899"/>
      <c r="CPJ41" s="899"/>
      <c r="CPK41" s="899"/>
      <c r="CPL41" s="899"/>
      <c r="CPM41" s="899"/>
      <c r="CPN41" s="899"/>
      <c r="CPO41" s="899"/>
      <c r="CPP41" s="899"/>
      <c r="CPQ41" s="899"/>
      <c r="CPR41" s="899"/>
      <c r="CPS41" s="899"/>
      <c r="CPT41" s="899"/>
      <c r="CPU41" s="899"/>
      <c r="CPV41" s="899"/>
      <c r="CPW41" s="899"/>
      <c r="CPX41" s="899"/>
      <c r="CPY41" s="899"/>
      <c r="CPZ41" s="899"/>
      <c r="CQA41" s="899"/>
      <c r="CQB41" s="899"/>
      <c r="CQC41" s="899"/>
      <c r="CQD41" s="899"/>
      <c r="CQE41" s="899"/>
      <c r="CQF41" s="899"/>
      <c r="CQG41" s="899"/>
      <c r="CQH41" s="899"/>
      <c r="CQI41" s="899"/>
      <c r="CQJ41" s="899"/>
      <c r="CQK41" s="899"/>
      <c r="CQL41" s="899"/>
      <c r="CQM41" s="899"/>
      <c r="CQN41" s="899"/>
      <c r="CQO41" s="899"/>
      <c r="CQP41" s="899"/>
      <c r="CQQ41" s="899"/>
      <c r="CQR41" s="899"/>
      <c r="CQS41" s="899"/>
      <c r="CQT41" s="899"/>
      <c r="CQU41" s="899"/>
      <c r="CQV41" s="899"/>
      <c r="CQW41" s="899"/>
      <c r="CQX41" s="899"/>
      <c r="CQY41" s="899"/>
      <c r="CQZ41" s="899"/>
      <c r="CRA41" s="899"/>
      <c r="CRB41" s="899"/>
      <c r="CRC41" s="899"/>
      <c r="CRD41" s="899"/>
      <c r="CRE41" s="899"/>
      <c r="CRF41" s="899"/>
      <c r="CRG41" s="899"/>
      <c r="CRH41" s="899"/>
      <c r="CRI41" s="899"/>
      <c r="CRJ41" s="899"/>
      <c r="CRK41" s="899"/>
      <c r="CRL41" s="899"/>
      <c r="CRM41" s="899"/>
      <c r="CRN41" s="899"/>
      <c r="CRO41" s="899"/>
      <c r="CRP41" s="899"/>
      <c r="CRQ41" s="899"/>
      <c r="CRR41" s="899"/>
      <c r="CRS41" s="899"/>
      <c r="CRT41" s="899"/>
      <c r="CRU41" s="899"/>
      <c r="CRV41" s="899"/>
      <c r="CRW41" s="899"/>
      <c r="CRX41" s="899"/>
      <c r="CRY41" s="899"/>
      <c r="CRZ41" s="899"/>
      <c r="CSA41" s="899"/>
      <c r="CSB41" s="899"/>
      <c r="CSC41" s="899"/>
      <c r="CSD41" s="899"/>
      <c r="CSE41" s="899"/>
      <c r="CSF41" s="899"/>
      <c r="CSG41" s="899"/>
      <c r="CSH41" s="899"/>
      <c r="CSI41" s="899"/>
      <c r="CSJ41" s="899"/>
      <c r="CSK41" s="899"/>
      <c r="CSL41" s="899"/>
      <c r="CSM41" s="899"/>
      <c r="CSN41" s="899"/>
      <c r="CSO41" s="899"/>
      <c r="CSP41" s="899"/>
      <c r="CSQ41" s="899"/>
      <c r="CSR41" s="899"/>
      <c r="CSS41" s="899"/>
      <c r="CST41" s="899"/>
      <c r="CSU41" s="899"/>
      <c r="CSV41" s="899"/>
      <c r="CSW41" s="899"/>
      <c r="CSX41" s="899"/>
      <c r="CSY41" s="899"/>
      <c r="CSZ41" s="899"/>
      <c r="CTA41" s="899"/>
      <c r="CTB41" s="899"/>
      <c r="CTC41" s="899"/>
      <c r="CTD41" s="899"/>
      <c r="CTE41" s="899"/>
      <c r="CTF41" s="899"/>
      <c r="CTG41" s="899"/>
      <c r="CTH41" s="899"/>
      <c r="CTI41" s="899"/>
      <c r="CTJ41" s="899"/>
      <c r="CTK41" s="899"/>
      <c r="CTL41" s="899"/>
      <c r="CTM41" s="899"/>
      <c r="CTN41" s="899"/>
      <c r="CTO41" s="899"/>
      <c r="CTP41" s="899"/>
      <c r="CTQ41" s="899"/>
      <c r="CTR41" s="899"/>
      <c r="CTS41" s="899"/>
      <c r="CTT41" s="899"/>
      <c r="CTU41" s="899"/>
      <c r="CTV41" s="899"/>
      <c r="CTW41" s="899"/>
      <c r="CTX41" s="899"/>
      <c r="CTY41" s="899"/>
      <c r="CTZ41" s="899"/>
      <c r="CUA41" s="899"/>
      <c r="CUB41" s="899"/>
      <c r="CUC41" s="899"/>
      <c r="CUD41" s="899"/>
      <c r="CUE41" s="899"/>
      <c r="CUF41" s="899"/>
      <c r="CUG41" s="899"/>
      <c r="CUH41" s="899"/>
      <c r="CUI41" s="899"/>
      <c r="CUJ41" s="899"/>
      <c r="CUK41" s="899"/>
      <c r="CUL41" s="899"/>
      <c r="CUM41" s="899"/>
      <c r="CUN41" s="899"/>
      <c r="CUO41" s="899"/>
      <c r="CUP41" s="899"/>
      <c r="CUQ41" s="899"/>
      <c r="CUR41" s="899"/>
      <c r="CUS41" s="899"/>
      <c r="CUT41" s="899"/>
      <c r="CUU41" s="899"/>
      <c r="CUV41" s="899"/>
      <c r="CUW41" s="899"/>
      <c r="CUX41" s="899"/>
      <c r="CUY41" s="899"/>
      <c r="CUZ41" s="899"/>
      <c r="CVA41" s="899"/>
      <c r="CVB41" s="899"/>
      <c r="CVC41" s="899"/>
      <c r="CVD41" s="899"/>
      <c r="CVE41" s="899"/>
      <c r="CVF41" s="899"/>
      <c r="CVG41" s="899"/>
      <c r="CVH41" s="899"/>
      <c r="CVI41" s="899"/>
      <c r="CVJ41" s="899"/>
      <c r="CVK41" s="899"/>
      <c r="CVL41" s="899"/>
      <c r="CVM41" s="899"/>
      <c r="CVN41" s="899"/>
      <c r="CVO41" s="899"/>
      <c r="CVP41" s="899"/>
      <c r="CVQ41" s="899"/>
      <c r="CVR41" s="899"/>
      <c r="CVS41" s="899"/>
      <c r="CVT41" s="899"/>
      <c r="CVU41" s="899"/>
      <c r="CVV41" s="899"/>
      <c r="CVW41" s="899"/>
      <c r="CVX41" s="899"/>
      <c r="CVY41" s="899"/>
      <c r="CVZ41" s="899"/>
      <c r="CWA41" s="899"/>
      <c r="CWB41" s="899"/>
      <c r="CWC41" s="899"/>
      <c r="CWD41" s="899"/>
      <c r="CWE41" s="899"/>
      <c r="CWF41" s="899"/>
      <c r="CWG41" s="899"/>
      <c r="CWH41" s="899"/>
      <c r="CWI41" s="899"/>
      <c r="CWJ41" s="899"/>
      <c r="CWK41" s="899"/>
      <c r="CWL41" s="899"/>
      <c r="CWM41" s="899"/>
      <c r="CWN41" s="899"/>
      <c r="CWO41" s="899"/>
      <c r="CWP41" s="899"/>
      <c r="CWQ41" s="899"/>
      <c r="CWR41" s="899"/>
      <c r="CWS41" s="899"/>
      <c r="CWT41" s="899"/>
      <c r="CWU41" s="899"/>
      <c r="CWV41" s="899"/>
      <c r="CWW41" s="899"/>
      <c r="CWX41" s="899"/>
      <c r="CWY41" s="899"/>
      <c r="CWZ41" s="899"/>
      <c r="CXA41" s="899"/>
      <c r="CXB41" s="899"/>
      <c r="CXC41" s="899"/>
      <c r="CXD41" s="899"/>
      <c r="CXE41" s="899"/>
      <c r="CXF41" s="899"/>
      <c r="CXG41" s="899"/>
      <c r="CXH41" s="899"/>
      <c r="CXI41" s="899"/>
      <c r="CXJ41" s="899"/>
      <c r="CXK41" s="899"/>
      <c r="CXL41" s="899"/>
      <c r="CXM41" s="899"/>
      <c r="CXN41" s="899"/>
      <c r="CXO41" s="899"/>
      <c r="CXP41" s="899"/>
      <c r="CXQ41" s="899"/>
      <c r="CXR41" s="899"/>
      <c r="CXS41" s="899"/>
      <c r="CXT41" s="899"/>
      <c r="CXU41" s="899"/>
      <c r="CXV41" s="899"/>
      <c r="CXW41" s="899"/>
      <c r="CXX41" s="899"/>
      <c r="CXY41" s="899"/>
      <c r="CXZ41" s="899"/>
      <c r="CYA41" s="899"/>
      <c r="CYB41" s="899"/>
      <c r="CYC41" s="899"/>
      <c r="CYD41" s="899"/>
      <c r="CYE41" s="899"/>
      <c r="CYF41" s="899"/>
      <c r="CYG41" s="899"/>
      <c r="CYH41" s="899"/>
      <c r="CYI41" s="899"/>
      <c r="CYJ41" s="899"/>
      <c r="CYK41" s="899"/>
      <c r="CYL41" s="899"/>
      <c r="CYM41" s="899"/>
      <c r="CYN41" s="899"/>
      <c r="CYO41" s="899"/>
      <c r="CYP41" s="899"/>
      <c r="CYQ41" s="899"/>
      <c r="CYR41" s="899"/>
      <c r="CYS41" s="899"/>
      <c r="CYT41" s="899"/>
      <c r="CYU41" s="899"/>
      <c r="CYV41" s="899"/>
      <c r="CYW41" s="899"/>
      <c r="CYX41" s="899"/>
      <c r="CYY41" s="899"/>
      <c r="CYZ41" s="899"/>
      <c r="CZA41" s="899"/>
      <c r="CZB41" s="899"/>
      <c r="CZC41" s="899"/>
      <c r="CZD41" s="899"/>
      <c r="CZE41" s="899"/>
      <c r="CZF41" s="899"/>
      <c r="CZG41" s="899"/>
      <c r="CZH41" s="899"/>
      <c r="CZI41" s="899"/>
      <c r="CZJ41" s="899"/>
      <c r="CZK41" s="899"/>
      <c r="CZL41" s="899"/>
      <c r="CZM41" s="899"/>
      <c r="CZN41" s="899"/>
      <c r="CZO41" s="899"/>
      <c r="CZP41" s="899"/>
      <c r="CZQ41" s="899"/>
      <c r="CZR41" s="899"/>
      <c r="CZS41" s="899"/>
      <c r="CZT41" s="899"/>
      <c r="CZU41" s="899"/>
      <c r="CZV41" s="899"/>
      <c r="CZW41" s="899"/>
      <c r="CZX41" s="899"/>
      <c r="CZY41" s="899"/>
      <c r="CZZ41" s="899"/>
      <c r="DAA41" s="899"/>
      <c r="DAB41" s="899"/>
      <c r="DAC41" s="899"/>
      <c r="DAD41" s="899"/>
      <c r="DAE41" s="899"/>
      <c r="DAF41" s="899"/>
      <c r="DAG41" s="899"/>
      <c r="DAH41" s="899"/>
      <c r="DAI41" s="899"/>
      <c r="DAJ41" s="899"/>
      <c r="DAK41" s="899"/>
      <c r="DAL41" s="899"/>
      <c r="DAM41" s="899"/>
      <c r="DAN41" s="899"/>
      <c r="DAO41" s="899"/>
      <c r="DAP41" s="899"/>
      <c r="DAQ41" s="899"/>
      <c r="DAR41" s="899"/>
      <c r="DAS41" s="899"/>
      <c r="DAT41" s="899"/>
      <c r="DAU41" s="899"/>
      <c r="DAV41" s="899"/>
      <c r="DAW41" s="899"/>
      <c r="DAX41" s="899"/>
      <c r="DAY41" s="899"/>
      <c r="DAZ41" s="899"/>
      <c r="DBA41" s="899"/>
      <c r="DBB41" s="899"/>
      <c r="DBC41" s="899"/>
      <c r="DBD41" s="899"/>
      <c r="DBE41" s="899"/>
      <c r="DBF41" s="899"/>
      <c r="DBG41" s="899"/>
      <c r="DBH41" s="899"/>
      <c r="DBI41" s="899"/>
      <c r="DBJ41" s="899"/>
      <c r="DBK41" s="899"/>
      <c r="DBL41" s="899"/>
      <c r="DBM41" s="899"/>
      <c r="DBN41" s="899"/>
      <c r="DBO41" s="899"/>
      <c r="DBP41" s="899"/>
      <c r="DBQ41" s="899"/>
      <c r="DBR41" s="899"/>
      <c r="DBS41" s="899"/>
      <c r="DBT41" s="899"/>
      <c r="DBU41" s="899"/>
      <c r="DBV41" s="899"/>
      <c r="DBW41" s="899"/>
      <c r="DBX41" s="899"/>
      <c r="DBY41" s="899"/>
      <c r="DBZ41" s="899"/>
      <c r="DCA41" s="899"/>
      <c r="DCB41" s="899"/>
      <c r="DCC41" s="899"/>
      <c r="DCD41" s="899"/>
      <c r="DCE41" s="899"/>
      <c r="DCF41" s="899"/>
      <c r="DCG41" s="899"/>
      <c r="DCH41" s="899"/>
      <c r="DCI41" s="899"/>
      <c r="DCJ41" s="899"/>
      <c r="DCK41" s="899"/>
      <c r="DCL41" s="899"/>
      <c r="DCM41" s="899"/>
      <c r="DCN41" s="899"/>
      <c r="DCO41" s="899"/>
      <c r="DCP41" s="899"/>
      <c r="DCQ41" s="899"/>
      <c r="DCR41" s="899"/>
      <c r="DCS41" s="899"/>
      <c r="DCT41" s="899"/>
      <c r="DCU41" s="899"/>
      <c r="DCV41" s="899"/>
      <c r="DCW41" s="899"/>
      <c r="DCX41" s="899"/>
      <c r="DCY41" s="899"/>
      <c r="DCZ41" s="899"/>
      <c r="DDA41" s="899"/>
      <c r="DDB41" s="899"/>
      <c r="DDC41" s="899"/>
      <c r="DDD41" s="899"/>
      <c r="DDE41" s="899"/>
      <c r="DDF41" s="899"/>
      <c r="DDG41" s="899"/>
      <c r="DDH41" s="899"/>
      <c r="DDI41" s="899"/>
      <c r="DDJ41" s="899"/>
      <c r="DDK41" s="899"/>
      <c r="DDL41" s="899"/>
      <c r="DDM41" s="899"/>
      <c r="DDN41" s="899"/>
      <c r="DDO41" s="899"/>
      <c r="DDP41" s="899"/>
      <c r="DDQ41" s="899"/>
      <c r="DDR41" s="899"/>
      <c r="DDS41" s="899"/>
      <c r="DDT41" s="899"/>
      <c r="DDU41" s="899"/>
      <c r="DDV41" s="899"/>
      <c r="DDW41" s="899"/>
      <c r="DDX41" s="899"/>
      <c r="DDY41" s="899"/>
      <c r="DDZ41" s="899"/>
      <c r="DEA41" s="899"/>
      <c r="DEB41" s="899"/>
      <c r="DEC41" s="899"/>
      <c r="DED41" s="899"/>
      <c r="DEE41" s="899"/>
      <c r="DEF41" s="899"/>
      <c r="DEG41" s="899"/>
      <c r="DEH41" s="899"/>
      <c r="DEI41" s="899"/>
      <c r="DEJ41" s="899"/>
      <c r="DEK41" s="899"/>
      <c r="DEL41" s="899"/>
      <c r="DEM41" s="899"/>
      <c r="DEN41" s="899"/>
      <c r="DEO41" s="899"/>
      <c r="DEP41" s="899"/>
      <c r="DEQ41" s="899"/>
      <c r="DER41" s="899"/>
      <c r="DES41" s="899"/>
      <c r="DET41" s="899"/>
      <c r="DEU41" s="899"/>
      <c r="DEV41" s="899"/>
      <c r="DEW41" s="899"/>
      <c r="DEX41" s="899"/>
      <c r="DEY41" s="899"/>
      <c r="DEZ41" s="899"/>
      <c r="DFA41" s="899"/>
      <c r="DFB41" s="899"/>
      <c r="DFC41" s="899"/>
      <c r="DFD41" s="899"/>
      <c r="DFE41" s="899"/>
      <c r="DFF41" s="899"/>
      <c r="DFG41" s="899"/>
      <c r="DFH41" s="899"/>
      <c r="DFI41" s="899"/>
      <c r="DFJ41" s="899"/>
      <c r="DFK41" s="899"/>
      <c r="DFL41" s="899"/>
      <c r="DFM41" s="899"/>
      <c r="DFN41" s="899"/>
      <c r="DFO41" s="899"/>
      <c r="DFP41" s="899"/>
      <c r="DFQ41" s="899"/>
      <c r="DFR41" s="899"/>
      <c r="DFS41" s="899"/>
      <c r="DFT41" s="899"/>
      <c r="DFU41" s="899"/>
      <c r="DFV41" s="899"/>
      <c r="DFW41" s="899"/>
      <c r="DFX41" s="899"/>
      <c r="DFY41" s="899"/>
      <c r="DFZ41" s="899"/>
      <c r="DGA41" s="899"/>
      <c r="DGB41" s="899"/>
      <c r="DGC41" s="899"/>
      <c r="DGD41" s="899"/>
      <c r="DGE41" s="899"/>
      <c r="DGF41" s="899"/>
      <c r="DGG41" s="899"/>
      <c r="DGH41" s="899"/>
      <c r="DGI41" s="899"/>
      <c r="DGJ41" s="899"/>
      <c r="DGK41" s="899"/>
      <c r="DGL41" s="899"/>
      <c r="DGM41" s="899"/>
      <c r="DGN41" s="899"/>
      <c r="DGO41" s="899"/>
      <c r="DGP41" s="899"/>
      <c r="DGQ41" s="899"/>
      <c r="DGR41" s="899"/>
      <c r="DGS41" s="899"/>
      <c r="DGT41" s="899"/>
      <c r="DGU41" s="899"/>
      <c r="DGV41" s="899"/>
      <c r="DGW41" s="899"/>
      <c r="DGX41" s="899"/>
      <c r="DGY41" s="899"/>
      <c r="DGZ41" s="899"/>
      <c r="DHA41" s="899"/>
      <c r="DHB41" s="899"/>
      <c r="DHC41" s="899"/>
      <c r="DHD41" s="899"/>
      <c r="DHE41" s="899"/>
      <c r="DHF41" s="899"/>
      <c r="DHG41" s="899"/>
      <c r="DHH41" s="899"/>
      <c r="DHI41" s="899"/>
      <c r="DHJ41" s="899"/>
      <c r="DHK41" s="899"/>
      <c r="DHL41" s="899"/>
      <c r="DHM41" s="899"/>
      <c r="DHN41" s="899"/>
      <c r="DHO41" s="899"/>
      <c r="DHP41" s="899"/>
      <c r="DHQ41" s="899"/>
      <c r="DHR41" s="899"/>
      <c r="DHS41" s="899"/>
      <c r="DHT41" s="899"/>
      <c r="DHU41" s="899"/>
      <c r="DHV41" s="899"/>
      <c r="DHW41" s="899"/>
      <c r="DHX41" s="899"/>
      <c r="DHY41" s="899"/>
      <c r="DHZ41" s="899"/>
      <c r="DIA41" s="899"/>
      <c r="DIB41" s="899"/>
      <c r="DIC41" s="899"/>
      <c r="DID41" s="899"/>
      <c r="DIE41" s="899"/>
      <c r="DIF41" s="899"/>
      <c r="DIG41" s="899"/>
      <c r="DIH41" s="899"/>
      <c r="DII41" s="899"/>
      <c r="DIJ41" s="899"/>
      <c r="DIK41" s="899"/>
      <c r="DIL41" s="899"/>
      <c r="DIM41" s="899"/>
      <c r="DIN41" s="899"/>
      <c r="DIO41" s="899"/>
      <c r="DIP41" s="899"/>
      <c r="DIQ41" s="899"/>
      <c r="DIR41" s="899"/>
      <c r="DIS41" s="899"/>
      <c r="DIT41" s="899"/>
      <c r="DIU41" s="899"/>
      <c r="DIV41" s="899"/>
      <c r="DIW41" s="899"/>
      <c r="DIX41" s="899"/>
      <c r="DIY41" s="899"/>
      <c r="DIZ41" s="899"/>
      <c r="DJA41" s="899"/>
      <c r="DJB41" s="899"/>
      <c r="DJC41" s="899"/>
      <c r="DJD41" s="899"/>
      <c r="DJE41" s="899"/>
      <c r="DJF41" s="899"/>
      <c r="DJG41" s="899"/>
      <c r="DJH41" s="899"/>
      <c r="DJI41" s="899"/>
      <c r="DJJ41" s="899"/>
      <c r="DJK41" s="899"/>
      <c r="DJL41" s="899"/>
      <c r="DJM41" s="899"/>
      <c r="DJN41" s="899"/>
      <c r="DJO41" s="899"/>
      <c r="DJP41" s="899"/>
      <c r="DJQ41" s="899"/>
      <c r="DJR41" s="899"/>
      <c r="DJS41" s="899"/>
      <c r="DJT41" s="899"/>
      <c r="DJU41" s="899"/>
      <c r="DJV41" s="899"/>
      <c r="DJW41" s="899"/>
      <c r="DJX41" s="899"/>
      <c r="DJY41" s="899"/>
      <c r="DJZ41" s="899"/>
      <c r="DKA41" s="899"/>
      <c r="DKB41" s="899"/>
      <c r="DKC41" s="899"/>
      <c r="DKD41" s="899"/>
      <c r="DKE41" s="899"/>
      <c r="DKF41" s="899"/>
      <c r="DKG41" s="899"/>
      <c r="DKH41" s="899"/>
      <c r="DKI41" s="899"/>
      <c r="DKJ41" s="899"/>
      <c r="DKK41" s="899"/>
      <c r="DKL41" s="899"/>
      <c r="DKM41" s="899"/>
      <c r="DKN41" s="899"/>
      <c r="DKO41" s="899"/>
      <c r="DKP41" s="899"/>
      <c r="DKQ41" s="899"/>
      <c r="DKR41" s="899"/>
      <c r="DKS41" s="899"/>
      <c r="DKT41" s="899"/>
      <c r="DKU41" s="899"/>
      <c r="DKV41" s="899"/>
      <c r="DKW41" s="899"/>
      <c r="DKX41" s="899"/>
      <c r="DKY41" s="899"/>
      <c r="DKZ41" s="899"/>
      <c r="DLA41" s="899"/>
      <c r="DLB41" s="899"/>
      <c r="DLC41" s="899"/>
      <c r="DLD41" s="899"/>
      <c r="DLE41" s="899"/>
      <c r="DLF41" s="899"/>
      <c r="DLG41" s="899"/>
      <c r="DLH41" s="899"/>
      <c r="DLI41" s="899"/>
      <c r="DLJ41" s="899"/>
      <c r="DLK41" s="899"/>
      <c r="DLL41" s="899"/>
      <c r="DLM41" s="899"/>
      <c r="DLN41" s="899"/>
      <c r="DLO41" s="899"/>
      <c r="DLP41" s="899"/>
      <c r="DLQ41" s="899"/>
      <c r="DLR41" s="899"/>
      <c r="DLS41" s="899"/>
      <c r="DLT41" s="899"/>
      <c r="DLU41" s="899"/>
      <c r="DLV41" s="899"/>
      <c r="DLW41" s="899"/>
      <c r="DLX41" s="899"/>
      <c r="DLY41" s="899"/>
      <c r="DLZ41" s="899"/>
      <c r="DMA41" s="899"/>
      <c r="DMB41" s="899"/>
      <c r="DMC41" s="899"/>
      <c r="DMD41" s="899"/>
      <c r="DME41" s="899"/>
      <c r="DMF41" s="899"/>
      <c r="DMG41" s="899"/>
      <c r="DMH41" s="899"/>
      <c r="DMI41" s="899"/>
      <c r="DMJ41" s="899"/>
      <c r="DMK41" s="899"/>
      <c r="DML41" s="899"/>
      <c r="DMM41" s="899"/>
      <c r="DMN41" s="899"/>
      <c r="DMO41" s="899"/>
      <c r="DMP41" s="899"/>
      <c r="DMQ41" s="899"/>
      <c r="DMR41" s="899"/>
      <c r="DMS41" s="899"/>
      <c r="DMT41" s="899"/>
      <c r="DMU41" s="899"/>
      <c r="DMV41" s="899"/>
      <c r="DMW41" s="899"/>
      <c r="DMX41" s="899"/>
      <c r="DMY41" s="899"/>
      <c r="DMZ41" s="899"/>
      <c r="DNA41" s="899"/>
      <c r="DNB41" s="899"/>
      <c r="DNC41" s="899"/>
      <c r="DND41" s="899"/>
      <c r="DNE41" s="899"/>
      <c r="DNF41" s="899"/>
      <c r="DNG41" s="899"/>
      <c r="DNH41" s="899"/>
      <c r="DNI41" s="899"/>
      <c r="DNJ41" s="899"/>
      <c r="DNK41" s="899"/>
      <c r="DNL41" s="899"/>
      <c r="DNM41" s="899"/>
      <c r="DNN41" s="899"/>
      <c r="DNO41" s="899"/>
      <c r="DNP41" s="899"/>
      <c r="DNQ41" s="899"/>
      <c r="DNR41" s="899"/>
      <c r="DNS41" s="899"/>
      <c r="DNT41" s="899"/>
      <c r="DNU41" s="899"/>
      <c r="DNV41" s="899"/>
      <c r="DNW41" s="899"/>
      <c r="DNX41" s="899"/>
      <c r="DNY41" s="899"/>
      <c r="DNZ41" s="899"/>
      <c r="DOA41" s="899"/>
      <c r="DOB41" s="899"/>
      <c r="DOC41" s="899"/>
      <c r="DOD41" s="899"/>
      <c r="DOE41" s="899"/>
      <c r="DOF41" s="899"/>
      <c r="DOG41" s="899"/>
      <c r="DOH41" s="899"/>
      <c r="DOI41" s="899"/>
      <c r="DOJ41" s="899"/>
      <c r="DOK41" s="899"/>
      <c r="DOL41" s="899"/>
      <c r="DOM41" s="899"/>
      <c r="DON41" s="899"/>
      <c r="DOO41" s="899"/>
      <c r="DOP41" s="899"/>
      <c r="DOQ41" s="899"/>
      <c r="DOR41" s="899"/>
      <c r="DOS41" s="899"/>
      <c r="DOT41" s="899"/>
      <c r="DOU41" s="899"/>
      <c r="DOV41" s="899"/>
      <c r="DOW41" s="899"/>
      <c r="DOX41" s="899"/>
      <c r="DOY41" s="899"/>
      <c r="DOZ41" s="899"/>
      <c r="DPA41" s="899"/>
      <c r="DPB41" s="899"/>
      <c r="DPC41" s="899"/>
      <c r="DPD41" s="899"/>
      <c r="DPE41" s="899"/>
      <c r="DPF41" s="899"/>
      <c r="DPG41" s="899"/>
      <c r="DPH41" s="899"/>
      <c r="DPI41" s="899"/>
      <c r="DPJ41" s="899"/>
      <c r="DPK41" s="899"/>
      <c r="DPL41" s="899"/>
      <c r="DPM41" s="899"/>
      <c r="DPN41" s="899"/>
      <c r="DPO41" s="899"/>
      <c r="DPP41" s="899"/>
      <c r="DPQ41" s="899"/>
      <c r="DPR41" s="899"/>
      <c r="DPS41" s="899"/>
      <c r="DPT41" s="899"/>
      <c r="DPU41" s="899"/>
      <c r="DPV41" s="899"/>
      <c r="DPW41" s="899"/>
      <c r="DPX41" s="899"/>
      <c r="DPY41" s="899"/>
      <c r="DPZ41" s="899"/>
      <c r="DQA41" s="899"/>
      <c r="DQB41" s="899"/>
      <c r="DQC41" s="899"/>
      <c r="DQD41" s="899"/>
      <c r="DQE41" s="899"/>
      <c r="DQF41" s="899"/>
      <c r="DQG41" s="899"/>
      <c r="DQH41" s="899"/>
      <c r="DQI41" s="899"/>
      <c r="DQJ41" s="899"/>
      <c r="DQK41" s="899"/>
      <c r="DQL41" s="899"/>
      <c r="DQM41" s="899"/>
      <c r="DQN41" s="899"/>
      <c r="DQO41" s="899"/>
      <c r="DQP41" s="899"/>
      <c r="DQQ41" s="899"/>
      <c r="DQR41" s="899"/>
      <c r="DQS41" s="899"/>
      <c r="DQT41" s="899"/>
      <c r="DQU41" s="899"/>
      <c r="DQV41" s="899"/>
      <c r="DQW41" s="899"/>
      <c r="DQX41" s="899"/>
      <c r="DQY41" s="899"/>
      <c r="DQZ41" s="899"/>
      <c r="DRA41" s="899"/>
      <c r="DRB41" s="899"/>
      <c r="DRC41" s="899"/>
      <c r="DRD41" s="899"/>
      <c r="DRE41" s="899"/>
      <c r="DRF41" s="899"/>
      <c r="DRG41" s="899"/>
      <c r="DRH41" s="899"/>
      <c r="DRI41" s="899"/>
      <c r="DRJ41" s="899"/>
      <c r="DRK41" s="899"/>
      <c r="DRL41" s="899"/>
      <c r="DRM41" s="899"/>
      <c r="DRN41" s="899"/>
      <c r="DRO41" s="899"/>
      <c r="DRP41" s="899"/>
      <c r="DRQ41" s="899"/>
      <c r="DRR41" s="899"/>
      <c r="DRS41" s="899"/>
      <c r="DRT41" s="899"/>
      <c r="DRU41" s="899"/>
      <c r="DRV41" s="899"/>
      <c r="DRW41" s="899"/>
      <c r="DRX41" s="899"/>
      <c r="DRY41" s="899"/>
      <c r="DRZ41" s="899"/>
      <c r="DSA41" s="899"/>
      <c r="DSB41" s="899"/>
      <c r="DSC41" s="899"/>
      <c r="DSD41" s="899"/>
      <c r="DSE41" s="899"/>
      <c r="DSF41" s="899"/>
      <c r="DSG41" s="899"/>
      <c r="DSH41" s="899"/>
      <c r="DSI41" s="899"/>
      <c r="DSJ41" s="899"/>
      <c r="DSK41" s="899"/>
      <c r="DSL41" s="899"/>
      <c r="DSM41" s="899"/>
      <c r="DSN41" s="899"/>
      <c r="DSO41" s="899"/>
      <c r="DSP41" s="899"/>
      <c r="DSQ41" s="899"/>
      <c r="DSR41" s="899"/>
      <c r="DSS41" s="899"/>
      <c r="DST41" s="899"/>
      <c r="DSU41" s="899"/>
      <c r="DSV41" s="899"/>
      <c r="DSW41" s="899"/>
      <c r="DSX41" s="899"/>
      <c r="DSY41" s="899"/>
      <c r="DSZ41" s="899"/>
      <c r="DTA41" s="899"/>
      <c r="DTB41" s="899"/>
      <c r="DTC41" s="899"/>
      <c r="DTD41" s="899"/>
      <c r="DTE41" s="899"/>
      <c r="DTF41" s="899"/>
      <c r="DTG41" s="899"/>
      <c r="DTH41" s="899"/>
      <c r="DTI41" s="899"/>
      <c r="DTJ41" s="899"/>
      <c r="DTK41" s="899"/>
      <c r="DTL41" s="899"/>
      <c r="DTM41" s="899"/>
      <c r="DTN41" s="899"/>
      <c r="DTO41" s="899"/>
      <c r="DTP41" s="899"/>
      <c r="DTQ41" s="899"/>
      <c r="DTR41" s="899"/>
      <c r="DTS41" s="899"/>
      <c r="DTT41" s="899"/>
      <c r="DTU41" s="899"/>
      <c r="DTV41" s="899"/>
      <c r="DTW41" s="899"/>
      <c r="DTX41" s="899"/>
      <c r="DTY41" s="899"/>
      <c r="DTZ41" s="899"/>
      <c r="DUA41" s="899"/>
      <c r="DUB41" s="899"/>
      <c r="DUC41" s="899"/>
      <c r="DUD41" s="899"/>
      <c r="DUE41" s="899"/>
      <c r="DUF41" s="899"/>
      <c r="DUG41" s="899"/>
      <c r="DUH41" s="899"/>
      <c r="DUI41" s="899"/>
      <c r="DUJ41" s="899"/>
      <c r="DUK41" s="899"/>
      <c r="DUL41" s="899"/>
      <c r="DUM41" s="899"/>
      <c r="DUN41" s="899"/>
      <c r="DUO41" s="899"/>
      <c r="DUP41" s="899"/>
      <c r="DUQ41" s="899"/>
      <c r="DUR41" s="899"/>
      <c r="DUS41" s="899"/>
      <c r="DUT41" s="899"/>
      <c r="DUU41" s="899"/>
      <c r="DUV41" s="899"/>
      <c r="DUW41" s="899"/>
      <c r="DUX41" s="899"/>
      <c r="DUY41" s="899"/>
      <c r="DUZ41" s="899"/>
      <c r="DVA41" s="899"/>
      <c r="DVB41" s="899"/>
      <c r="DVC41" s="899"/>
      <c r="DVD41" s="899"/>
      <c r="DVE41" s="899"/>
      <c r="DVF41" s="899"/>
      <c r="DVG41" s="899"/>
      <c r="DVH41" s="899"/>
      <c r="DVI41" s="899"/>
      <c r="DVJ41" s="899"/>
      <c r="DVK41" s="899"/>
      <c r="DVL41" s="899"/>
      <c r="DVM41" s="899"/>
      <c r="DVN41" s="899"/>
      <c r="DVO41" s="899"/>
      <c r="DVP41" s="899"/>
      <c r="DVQ41" s="899"/>
      <c r="DVR41" s="899"/>
      <c r="DVS41" s="899"/>
      <c r="DVT41" s="899"/>
      <c r="DVU41" s="899"/>
      <c r="DVV41" s="899"/>
      <c r="DVW41" s="899"/>
      <c r="DVX41" s="899"/>
      <c r="DVY41" s="899"/>
      <c r="DVZ41" s="899"/>
      <c r="DWA41" s="899"/>
      <c r="DWB41" s="899"/>
      <c r="DWC41" s="899"/>
      <c r="DWD41" s="899"/>
      <c r="DWE41" s="899"/>
      <c r="DWF41" s="899"/>
      <c r="DWG41" s="899"/>
      <c r="DWH41" s="899"/>
      <c r="DWI41" s="899"/>
      <c r="DWJ41" s="899"/>
      <c r="DWK41" s="899"/>
      <c r="DWL41" s="899"/>
      <c r="DWM41" s="899"/>
      <c r="DWN41" s="899"/>
      <c r="DWO41" s="899"/>
      <c r="DWP41" s="899"/>
      <c r="DWQ41" s="899"/>
      <c r="DWR41" s="899"/>
      <c r="DWS41" s="899"/>
      <c r="DWT41" s="899"/>
      <c r="DWU41" s="899"/>
      <c r="DWV41" s="899"/>
      <c r="DWW41" s="899"/>
      <c r="DWX41" s="899"/>
      <c r="DWY41" s="899"/>
      <c r="DWZ41" s="899"/>
      <c r="DXA41" s="899"/>
      <c r="DXB41" s="899"/>
      <c r="DXC41" s="899"/>
      <c r="DXD41" s="899"/>
      <c r="DXE41" s="899"/>
      <c r="DXF41" s="899"/>
      <c r="DXG41" s="899"/>
      <c r="DXH41" s="899"/>
      <c r="DXI41" s="899"/>
      <c r="DXJ41" s="899"/>
      <c r="DXK41" s="899"/>
      <c r="DXL41" s="899"/>
      <c r="DXM41" s="899"/>
      <c r="DXN41" s="899"/>
      <c r="DXO41" s="899"/>
      <c r="DXP41" s="899"/>
      <c r="DXQ41" s="899"/>
      <c r="DXR41" s="899"/>
      <c r="DXS41" s="899"/>
      <c r="DXT41" s="899"/>
      <c r="DXU41" s="899"/>
      <c r="DXV41" s="899"/>
      <c r="DXW41" s="899"/>
      <c r="DXX41" s="899"/>
      <c r="DXY41" s="899"/>
      <c r="DXZ41" s="899"/>
      <c r="DYA41" s="899"/>
      <c r="DYB41" s="899"/>
      <c r="DYC41" s="899"/>
      <c r="DYD41" s="899"/>
      <c r="DYE41" s="899"/>
      <c r="DYF41" s="899"/>
      <c r="DYG41" s="899"/>
      <c r="DYH41" s="899"/>
      <c r="DYI41" s="899"/>
      <c r="DYJ41" s="899"/>
      <c r="DYK41" s="899"/>
      <c r="DYL41" s="899"/>
      <c r="DYM41" s="899"/>
      <c r="DYN41" s="899"/>
      <c r="DYO41" s="899"/>
      <c r="DYP41" s="899"/>
      <c r="DYQ41" s="899"/>
      <c r="DYR41" s="899"/>
      <c r="DYS41" s="899"/>
      <c r="DYT41" s="899"/>
      <c r="DYU41" s="899"/>
      <c r="DYV41" s="899"/>
      <c r="DYW41" s="899"/>
      <c r="DYX41" s="899"/>
      <c r="DYY41" s="899"/>
      <c r="DYZ41" s="899"/>
      <c r="DZA41" s="899"/>
      <c r="DZB41" s="899"/>
      <c r="DZC41" s="899"/>
      <c r="DZD41" s="899"/>
      <c r="DZE41" s="899"/>
      <c r="DZF41" s="899"/>
      <c r="DZG41" s="899"/>
      <c r="DZH41" s="899"/>
      <c r="DZI41" s="899"/>
      <c r="DZJ41" s="899"/>
      <c r="DZK41" s="899"/>
      <c r="DZL41" s="899"/>
      <c r="DZM41" s="899"/>
      <c r="DZN41" s="899"/>
      <c r="DZO41" s="899"/>
      <c r="DZP41" s="899"/>
      <c r="DZQ41" s="899"/>
      <c r="DZR41" s="899"/>
      <c r="DZS41" s="899"/>
      <c r="DZT41" s="899"/>
      <c r="DZU41" s="899"/>
      <c r="DZV41" s="899"/>
      <c r="DZW41" s="899"/>
      <c r="DZX41" s="899"/>
      <c r="DZY41" s="899"/>
      <c r="DZZ41" s="899"/>
      <c r="EAA41" s="899"/>
      <c r="EAB41" s="899"/>
      <c r="EAC41" s="899"/>
      <c r="EAD41" s="899"/>
      <c r="EAE41" s="899"/>
      <c r="EAF41" s="899"/>
      <c r="EAG41" s="899"/>
      <c r="EAH41" s="899"/>
      <c r="EAI41" s="899"/>
      <c r="EAJ41" s="899"/>
      <c r="EAK41" s="899"/>
      <c r="EAL41" s="899"/>
      <c r="EAM41" s="899"/>
      <c r="EAN41" s="899"/>
      <c r="EAO41" s="899"/>
      <c r="EAP41" s="899"/>
      <c r="EAQ41" s="899"/>
      <c r="EAR41" s="899"/>
      <c r="EAS41" s="899"/>
      <c r="EAT41" s="899"/>
      <c r="EAU41" s="899"/>
      <c r="EAV41" s="899"/>
      <c r="EAW41" s="899"/>
      <c r="EAX41" s="899"/>
      <c r="EAY41" s="899"/>
      <c r="EAZ41" s="899"/>
      <c r="EBA41" s="899"/>
      <c r="EBB41" s="899"/>
      <c r="EBC41" s="899"/>
      <c r="EBD41" s="899"/>
      <c r="EBE41" s="899"/>
      <c r="EBF41" s="899"/>
      <c r="EBG41" s="899"/>
      <c r="EBH41" s="899"/>
      <c r="EBI41" s="899"/>
      <c r="EBJ41" s="899"/>
      <c r="EBK41" s="899"/>
      <c r="EBL41" s="899"/>
      <c r="EBM41" s="899"/>
      <c r="EBN41" s="899"/>
      <c r="EBO41" s="899"/>
      <c r="EBP41" s="899"/>
      <c r="EBQ41" s="899"/>
      <c r="EBR41" s="899"/>
      <c r="EBS41" s="899"/>
      <c r="EBT41" s="899"/>
      <c r="EBU41" s="899"/>
      <c r="EBV41" s="899"/>
      <c r="EBW41" s="899"/>
      <c r="EBX41" s="899"/>
      <c r="EBY41" s="899"/>
      <c r="EBZ41" s="899"/>
      <c r="ECA41" s="899"/>
      <c r="ECB41" s="899"/>
      <c r="ECC41" s="899"/>
      <c r="ECD41" s="899"/>
      <c r="ECE41" s="899"/>
      <c r="ECF41" s="899"/>
      <c r="ECG41" s="899"/>
      <c r="ECH41" s="899"/>
      <c r="ECI41" s="899"/>
      <c r="ECJ41" s="899"/>
      <c r="ECK41" s="899"/>
      <c r="ECL41" s="899"/>
      <c r="ECM41" s="899"/>
      <c r="ECN41" s="899"/>
      <c r="ECO41" s="899"/>
      <c r="ECP41" s="899"/>
      <c r="ECQ41" s="899"/>
      <c r="ECR41" s="899"/>
      <c r="ECS41" s="899"/>
      <c r="ECT41" s="899"/>
      <c r="ECU41" s="899"/>
      <c r="ECV41" s="899"/>
      <c r="ECW41" s="899"/>
      <c r="ECX41" s="899"/>
      <c r="ECY41" s="899"/>
      <c r="ECZ41" s="899"/>
      <c r="EDA41" s="899"/>
      <c r="EDB41" s="899"/>
      <c r="EDC41" s="899"/>
      <c r="EDD41" s="899"/>
      <c r="EDE41" s="899"/>
      <c r="EDF41" s="899"/>
      <c r="EDG41" s="899"/>
      <c r="EDH41" s="899"/>
      <c r="EDI41" s="899"/>
      <c r="EDJ41" s="899"/>
      <c r="EDK41" s="899"/>
      <c r="EDL41" s="899"/>
      <c r="EDM41" s="899"/>
      <c r="EDN41" s="899"/>
      <c r="EDO41" s="899"/>
      <c r="EDP41" s="899"/>
      <c r="EDQ41" s="899"/>
      <c r="EDR41" s="899"/>
      <c r="EDS41" s="899"/>
      <c r="EDT41" s="899"/>
      <c r="EDU41" s="899"/>
      <c r="EDV41" s="899"/>
      <c r="EDW41" s="899"/>
      <c r="EDX41" s="899"/>
      <c r="EDY41" s="899"/>
      <c r="EDZ41" s="899"/>
      <c r="EEA41" s="899"/>
      <c r="EEB41" s="899"/>
      <c r="EEC41" s="899"/>
      <c r="EED41" s="899"/>
      <c r="EEE41" s="899"/>
      <c r="EEF41" s="899"/>
      <c r="EEG41" s="899"/>
      <c r="EEH41" s="899"/>
      <c r="EEI41" s="899"/>
      <c r="EEJ41" s="899"/>
      <c r="EEK41" s="899"/>
      <c r="EEL41" s="899"/>
      <c r="EEM41" s="899"/>
      <c r="EEN41" s="899"/>
      <c r="EEO41" s="899"/>
      <c r="EEP41" s="899"/>
      <c r="EEQ41" s="899"/>
      <c r="EER41" s="899"/>
      <c r="EES41" s="899"/>
      <c r="EET41" s="899"/>
      <c r="EEU41" s="899"/>
      <c r="EEV41" s="899"/>
      <c r="EEW41" s="899"/>
      <c r="EEX41" s="899"/>
      <c r="EEY41" s="899"/>
      <c r="EEZ41" s="899"/>
      <c r="EFA41" s="899"/>
      <c r="EFB41" s="899"/>
      <c r="EFC41" s="899"/>
      <c r="EFD41" s="899"/>
      <c r="EFE41" s="899"/>
      <c r="EFF41" s="899"/>
      <c r="EFG41" s="899"/>
      <c r="EFH41" s="899"/>
      <c r="EFI41" s="899"/>
      <c r="EFJ41" s="899"/>
      <c r="EFK41" s="899"/>
      <c r="EFL41" s="899"/>
      <c r="EFM41" s="899"/>
      <c r="EFN41" s="899"/>
      <c r="EFO41" s="899"/>
      <c r="EFP41" s="899"/>
      <c r="EFQ41" s="899"/>
      <c r="EFR41" s="899"/>
      <c r="EFS41" s="899"/>
      <c r="EFT41" s="899"/>
      <c r="EFU41" s="899"/>
      <c r="EFV41" s="899"/>
      <c r="EFW41" s="899"/>
      <c r="EFX41" s="899"/>
      <c r="EFY41" s="899"/>
      <c r="EFZ41" s="899"/>
      <c r="EGA41" s="899"/>
      <c r="EGB41" s="899"/>
      <c r="EGC41" s="899"/>
      <c r="EGD41" s="899"/>
      <c r="EGE41" s="899"/>
      <c r="EGF41" s="899"/>
      <c r="EGG41" s="899"/>
      <c r="EGH41" s="899"/>
      <c r="EGI41" s="899"/>
      <c r="EGJ41" s="899"/>
      <c r="EGK41" s="899"/>
      <c r="EGL41" s="899"/>
      <c r="EGM41" s="899"/>
      <c r="EGN41" s="899"/>
      <c r="EGO41" s="899"/>
      <c r="EGP41" s="899"/>
      <c r="EGQ41" s="899"/>
      <c r="EGR41" s="899"/>
      <c r="EGS41" s="899"/>
      <c r="EGT41" s="899"/>
      <c r="EGU41" s="899"/>
      <c r="EGV41" s="899"/>
      <c r="EGW41" s="899"/>
      <c r="EGX41" s="899"/>
      <c r="EGY41" s="899"/>
      <c r="EGZ41" s="899"/>
      <c r="EHA41" s="899"/>
      <c r="EHB41" s="899"/>
      <c r="EHC41" s="899"/>
      <c r="EHD41" s="899"/>
      <c r="EHE41" s="899"/>
      <c r="EHF41" s="899"/>
      <c r="EHG41" s="899"/>
      <c r="EHH41" s="899"/>
      <c r="EHI41" s="899"/>
      <c r="EHJ41" s="899"/>
      <c r="EHK41" s="899"/>
      <c r="EHL41" s="899"/>
      <c r="EHM41" s="899"/>
      <c r="EHN41" s="899"/>
      <c r="EHO41" s="899"/>
      <c r="EHP41" s="899"/>
      <c r="EHQ41" s="899"/>
      <c r="EHR41" s="899"/>
      <c r="EHS41" s="899"/>
      <c r="EHT41" s="899"/>
      <c r="EHU41" s="899"/>
      <c r="EHV41" s="899"/>
      <c r="EHW41" s="899"/>
      <c r="EHX41" s="899"/>
      <c r="EHY41" s="899"/>
      <c r="EHZ41" s="899"/>
      <c r="EIA41" s="899"/>
      <c r="EIB41" s="899"/>
      <c r="EIC41" s="899"/>
      <c r="EID41" s="899"/>
      <c r="EIE41" s="899"/>
      <c r="EIF41" s="899"/>
      <c r="EIG41" s="899"/>
      <c r="EIH41" s="899"/>
      <c r="EII41" s="899"/>
      <c r="EIJ41" s="899"/>
      <c r="EIK41" s="899"/>
      <c r="EIL41" s="899"/>
      <c r="EIM41" s="899"/>
      <c r="EIN41" s="899"/>
      <c r="EIO41" s="899"/>
      <c r="EIP41" s="899"/>
      <c r="EIQ41" s="899"/>
      <c r="EIR41" s="899"/>
      <c r="EIS41" s="899"/>
      <c r="EIT41" s="899"/>
      <c r="EIU41" s="899"/>
      <c r="EIV41" s="899"/>
      <c r="EIW41" s="899"/>
      <c r="EIX41" s="899"/>
      <c r="EIY41" s="899"/>
      <c r="EIZ41" s="899"/>
      <c r="EJA41" s="899"/>
      <c r="EJB41" s="899"/>
      <c r="EJC41" s="899"/>
      <c r="EJD41" s="899"/>
      <c r="EJE41" s="899"/>
      <c r="EJF41" s="899"/>
      <c r="EJG41" s="899"/>
      <c r="EJH41" s="899"/>
      <c r="EJI41" s="899"/>
      <c r="EJJ41" s="899"/>
      <c r="EJK41" s="899"/>
      <c r="EJL41" s="899"/>
      <c r="EJM41" s="899"/>
      <c r="EJN41" s="899"/>
      <c r="EJO41" s="899"/>
      <c r="EJP41" s="899"/>
      <c r="EJQ41" s="899"/>
      <c r="EJR41" s="899"/>
      <c r="EJS41" s="899"/>
      <c r="EJT41" s="899"/>
      <c r="EJU41" s="899"/>
      <c r="EJV41" s="899"/>
      <c r="EJW41" s="899"/>
      <c r="EJX41" s="899"/>
      <c r="EJY41" s="899"/>
      <c r="EJZ41" s="899"/>
      <c r="EKA41" s="899"/>
      <c r="EKB41" s="899"/>
      <c r="EKC41" s="899"/>
      <c r="EKD41" s="899"/>
      <c r="EKE41" s="899"/>
      <c r="EKF41" s="899"/>
      <c r="EKG41" s="899"/>
      <c r="EKH41" s="899"/>
      <c r="EKI41" s="899"/>
      <c r="EKJ41" s="899"/>
      <c r="EKK41" s="899"/>
      <c r="EKL41" s="899"/>
      <c r="EKM41" s="899"/>
      <c r="EKN41" s="899"/>
      <c r="EKO41" s="899"/>
      <c r="EKP41" s="899"/>
      <c r="EKQ41" s="899"/>
      <c r="EKR41" s="899"/>
      <c r="EKS41" s="899"/>
      <c r="EKT41" s="899"/>
      <c r="EKU41" s="899"/>
      <c r="EKV41" s="899"/>
      <c r="EKW41" s="899"/>
      <c r="EKX41" s="899"/>
      <c r="EKY41" s="899"/>
      <c r="EKZ41" s="899"/>
      <c r="ELA41" s="899"/>
      <c r="ELB41" s="899"/>
      <c r="ELC41" s="899"/>
      <c r="ELD41" s="899"/>
      <c r="ELE41" s="899"/>
      <c r="ELF41" s="899"/>
      <c r="ELG41" s="899"/>
      <c r="ELH41" s="899"/>
      <c r="ELI41" s="899"/>
      <c r="ELJ41" s="899"/>
      <c r="ELK41" s="899"/>
      <c r="ELL41" s="899"/>
      <c r="ELM41" s="899"/>
      <c r="ELN41" s="899"/>
      <c r="ELO41" s="899"/>
      <c r="ELP41" s="899"/>
      <c r="ELQ41" s="899"/>
      <c r="ELR41" s="899"/>
      <c r="ELS41" s="899"/>
      <c r="ELT41" s="899"/>
      <c r="ELU41" s="899"/>
      <c r="ELV41" s="899"/>
      <c r="ELW41" s="899"/>
      <c r="ELX41" s="899"/>
      <c r="ELY41" s="899"/>
      <c r="ELZ41" s="899"/>
      <c r="EMA41" s="899"/>
      <c r="EMB41" s="899"/>
      <c r="EMC41" s="899"/>
      <c r="EMD41" s="899"/>
      <c r="EME41" s="899"/>
      <c r="EMF41" s="899"/>
      <c r="EMG41" s="899"/>
      <c r="EMH41" s="899"/>
      <c r="EMI41" s="899"/>
      <c r="EMJ41" s="899"/>
      <c r="EMK41" s="899"/>
      <c r="EML41" s="899"/>
      <c r="EMM41" s="899"/>
      <c r="EMN41" s="899"/>
      <c r="EMO41" s="899"/>
      <c r="EMP41" s="899"/>
      <c r="EMQ41" s="899"/>
      <c r="EMR41" s="899"/>
      <c r="EMS41" s="899"/>
      <c r="EMT41" s="899"/>
      <c r="EMU41" s="899"/>
      <c r="EMV41" s="899"/>
      <c r="EMW41" s="899"/>
      <c r="EMX41" s="899"/>
      <c r="EMY41" s="899"/>
      <c r="EMZ41" s="899"/>
      <c r="ENA41" s="899"/>
      <c r="ENB41" s="899"/>
      <c r="ENC41" s="899"/>
      <c r="END41" s="899"/>
      <c r="ENE41" s="899"/>
      <c r="ENF41" s="899"/>
      <c r="ENG41" s="899"/>
      <c r="ENH41" s="899"/>
      <c r="ENI41" s="899"/>
      <c r="ENJ41" s="899"/>
      <c r="ENK41" s="899"/>
      <c r="ENL41" s="899"/>
      <c r="ENM41" s="899"/>
      <c r="ENN41" s="899"/>
      <c r="ENO41" s="899"/>
      <c r="ENP41" s="899"/>
      <c r="ENQ41" s="899"/>
      <c r="ENR41" s="899"/>
      <c r="ENS41" s="899"/>
      <c r="ENT41" s="899"/>
      <c r="ENU41" s="899"/>
      <c r="ENV41" s="899"/>
      <c r="ENW41" s="899"/>
      <c r="ENX41" s="899"/>
      <c r="ENY41" s="899"/>
      <c r="ENZ41" s="899"/>
      <c r="EOA41" s="899"/>
      <c r="EOB41" s="899"/>
      <c r="EOC41" s="899"/>
      <c r="EOD41" s="899"/>
      <c r="EOE41" s="899"/>
      <c r="EOF41" s="899"/>
      <c r="EOG41" s="899"/>
      <c r="EOH41" s="899"/>
      <c r="EOI41" s="899"/>
      <c r="EOJ41" s="899"/>
      <c r="EOK41" s="899"/>
      <c r="EOL41" s="899"/>
      <c r="EOM41" s="899"/>
      <c r="EON41" s="899"/>
      <c r="EOO41" s="899"/>
      <c r="EOP41" s="899"/>
      <c r="EOQ41" s="899"/>
      <c r="EOR41" s="899"/>
      <c r="EOS41" s="899"/>
      <c r="EOT41" s="899"/>
      <c r="EOU41" s="899"/>
      <c r="EOV41" s="899"/>
      <c r="EOW41" s="899"/>
      <c r="EOX41" s="899"/>
      <c r="EOY41" s="899"/>
      <c r="EOZ41" s="899"/>
      <c r="EPA41" s="899"/>
      <c r="EPB41" s="899"/>
      <c r="EPC41" s="899"/>
      <c r="EPD41" s="899"/>
      <c r="EPE41" s="899"/>
      <c r="EPF41" s="899"/>
      <c r="EPG41" s="899"/>
      <c r="EPH41" s="899"/>
      <c r="EPI41" s="899"/>
      <c r="EPJ41" s="899"/>
      <c r="EPK41" s="899"/>
      <c r="EPL41" s="899"/>
      <c r="EPM41" s="899"/>
      <c r="EPN41" s="899"/>
      <c r="EPO41" s="899"/>
      <c r="EPP41" s="899"/>
      <c r="EPQ41" s="899"/>
      <c r="EPR41" s="899"/>
      <c r="EPS41" s="899"/>
      <c r="EPT41" s="899"/>
      <c r="EPU41" s="899"/>
      <c r="EPV41" s="899"/>
      <c r="EPW41" s="899"/>
      <c r="EPX41" s="899"/>
      <c r="EPY41" s="899"/>
      <c r="EPZ41" s="899"/>
      <c r="EQA41" s="899"/>
      <c r="EQB41" s="899"/>
      <c r="EQC41" s="899"/>
      <c r="EQD41" s="899"/>
      <c r="EQE41" s="899"/>
      <c r="EQF41" s="899"/>
      <c r="EQG41" s="899"/>
      <c r="EQH41" s="899"/>
      <c r="EQI41" s="899"/>
      <c r="EQJ41" s="899"/>
      <c r="EQK41" s="899"/>
      <c r="EQL41" s="899"/>
      <c r="EQM41" s="899"/>
      <c r="EQN41" s="899"/>
      <c r="EQO41" s="899"/>
      <c r="EQP41" s="899"/>
      <c r="EQQ41" s="899"/>
      <c r="EQR41" s="899"/>
      <c r="EQS41" s="899"/>
      <c r="EQT41" s="899"/>
      <c r="EQU41" s="899"/>
      <c r="EQV41" s="899"/>
      <c r="EQW41" s="899"/>
      <c r="EQX41" s="899"/>
      <c r="EQY41" s="899"/>
      <c r="EQZ41" s="899"/>
      <c r="ERA41" s="899"/>
      <c r="ERB41" s="899"/>
      <c r="ERC41" s="899"/>
      <c r="ERD41" s="899"/>
      <c r="ERE41" s="899"/>
      <c r="ERF41" s="899"/>
      <c r="ERG41" s="899"/>
      <c r="ERH41" s="899"/>
      <c r="ERI41" s="899"/>
      <c r="ERJ41" s="899"/>
      <c r="ERK41" s="899"/>
      <c r="ERL41" s="899"/>
      <c r="ERM41" s="899"/>
      <c r="ERN41" s="899"/>
      <c r="ERO41" s="899"/>
      <c r="ERP41" s="899"/>
      <c r="ERQ41" s="899"/>
      <c r="ERR41" s="899"/>
      <c r="ERS41" s="899"/>
      <c r="ERT41" s="899"/>
      <c r="ERU41" s="899"/>
      <c r="ERV41" s="899"/>
      <c r="ERW41" s="899"/>
      <c r="ERX41" s="899"/>
      <c r="ERY41" s="899"/>
      <c r="ERZ41" s="899"/>
      <c r="ESA41" s="899"/>
      <c r="ESB41" s="899"/>
      <c r="ESC41" s="899"/>
      <c r="ESD41" s="899"/>
      <c r="ESE41" s="899"/>
      <c r="ESF41" s="899"/>
      <c r="ESG41" s="899"/>
      <c r="ESH41" s="899"/>
      <c r="ESI41" s="899"/>
      <c r="ESJ41" s="899"/>
      <c r="ESK41" s="899"/>
      <c r="ESL41" s="899"/>
      <c r="ESM41" s="899"/>
      <c r="ESN41" s="899"/>
      <c r="ESO41" s="899"/>
      <c r="ESP41" s="899"/>
      <c r="ESQ41" s="899"/>
      <c r="ESR41" s="899"/>
      <c r="ESS41" s="899"/>
      <c r="EST41" s="899"/>
      <c r="ESU41" s="899"/>
      <c r="ESV41" s="899"/>
      <c r="ESW41" s="899"/>
      <c r="ESX41" s="899"/>
      <c r="ESY41" s="899"/>
      <c r="ESZ41" s="899"/>
      <c r="ETA41" s="899"/>
      <c r="ETB41" s="899"/>
      <c r="ETC41" s="899"/>
      <c r="ETD41" s="899"/>
      <c r="ETE41" s="899"/>
      <c r="ETF41" s="899"/>
      <c r="ETG41" s="899"/>
      <c r="ETH41" s="899"/>
      <c r="ETI41" s="899"/>
      <c r="ETJ41" s="899"/>
      <c r="ETK41" s="899"/>
      <c r="ETL41" s="899"/>
      <c r="ETM41" s="899"/>
      <c r="ETN41" s="899"/>
      <c r="ETO41" s="899"/>
      <c r="ETP41" s="899"/>
      <c r="ETQ41" s="899"/>
      <c r="ETR41" s="899"/>
      <c r="ETS41" s="899"/>
      <c r="ETT41" s="899"/>
      <c r="ETU41" s="899"/>
      <c r="ETV41" s="899"/>
      <c r="ETW41" s="899"/>
      <c r="ETX41" s="899"/>
      <c r="ETY41" s="899"/>
      <c r="ETZ41" s="899"/>
      <c r="EUA41" s="899"/>
      <c r="EUB41" s="899"/>
      <c r="EUC41" s="899"/>
      <c r="EUD41" s="899"/>
      <c r="EUE41" s="899"/>
      <c r="EUF41" s="899"/>
      <c r="EUG41" s="899"/>
      <c r="EUH41" s="899"/>
      <c r="EUI41" s="899"/>
      <c r="EUJ41" s="899"/>
      <c r="EUK41" s="899"/>
      <c r="EUL41" s="899"/>
      <c r="EUM41" s="899"/>
      <c r="EUN41" s="899"/>
      <c r="EUO41" s="899"/>
      <c r="EUP41" s="899"/>
      <c r="EUQ41" s="899"/>
      <c r="EUR41" s="899"/>
      <c r="EUS41" s="899"/>
      <c r="EUT41" s="899"/>
      <c r="EUU41" s="899"/>
      <c r="EUV41" s="899"/>
      <c r="EUW41" s="899"/>
      <c r="EUX41" s="899"/>
      <c r="EUY41" s="899"/>
      <c r="EUZ41" s="899"/>
      <c r="EVA41" s="899"/>
      <c r="EVB41" s="899"/>
      <c r="EVC41" s="899"/>
      <c r="EVD41" s="899"/>
      <c r="EVE41" s="899"/>
      <c r="EVF41" s="899"/>
      <c r="EVG41" s="899"/>
      <c r="EVH41" s="899"/>
      <c r="EVI41" s="899"/>
      <c r="EVJ41" s="899"/>
      <c r="EVK41" s="899"/>
      <c r="EVL41" s="899"/>
      <c r="EVM41" s="899"/>
      <c r="EVN41" s="899"/>
      <c r="EVO41" s="899"/>
      <c r="EVP41" s="899"/>
      <c r="EVQ41" s="899"/>
      <c r="EVR41" s="899"/>
      <c r="EVS41" s="899"/>
      <c r="EVT41" s="899"/>
      <c r="EVU41" s="899"/>
      <c r="EVV41" s="899"/>
      <c r="EVW41" s="899"/>
      <c r="EVX41" s="899"/>
      <c r="EVY41" s="899"/>
      <c r="EVZ41" s="899"/>
      <c r="EWA41" s="899"/>
      <c r="EWB41" s="899"/>
      <c r="EWC41" s="899"/>
      <c r="EWD41" s="899"/>
      <c r="EWE41" s="899"/>
      <c r="EWF41" s="899"/>
      <c r="EWG41" s="899"/>
      <c r="EWH41" s="899"/>
      <c r="EWI41" s="899"/>
      <c r="EWJ41" s="899"/>
      <c r="EWK41" s="899"/>
      <c r="EWL41" s="899"/>
      <c r="EWM41" s="899"/>
      <c r="EWN41" s="899"/>
      <c r="EWO41" s="899"/>
      <c r="EWP41" s="899"/>
      <c r="EWQ41" s="899"/>
      <c r="EWR41" s="899"/>
      <c r="EWS41" s="899"/>
      <c r="EWT41" s="899"/>
      <c r="EWU41" s="899"/>
      <c r="EWV41" s="899"/>
      <c r="EWW41" s="899"/>
      <c r="EWX41" s="899"/>
      <c r="EWY41" s="899"/>
      <c r="EWZ41" s="899"/>
      <c r="EXA41" s="899"/>
      <c r="EXB41" s="899"/>
      <c r="EXC41" s="899"/>
      <c r="EXD41" s="899"/>
      <c r="EXE41" s="899"/>
      <c r="EXF41" s="899"/>
      <c r="EXG41" s="899"/>
      <c r="EXH41" s="899"/>
      <c r="EXI41" s="899"/>
      <c r="EXJ41" s="899"/>
      <c r="EXK41" s="899"/>
      <c r="EXL41" s="899"/>
      <c r="EXM41" s="899"/>
      <c r="EXN41" s="899"/>
      <c r="EXO41" s="899"/>
      <c r="EXP41" s="899"/>
      <c r="EXQ41" s="899"/>
      <c r="EXR41" s="899"/>
      <c r="EXS41" s="899"/>
      <c r="EXT41" s="899"/>
      <c r="EXU41" s="899"/>
      <c r="EXV41" s="899"/>
      <c r="EXW41" s="899"/>
      <c r="EXX41" s="899"/>
      <c r="EXY41" s="899"/>
      <c r="EXZ41" s="899"/>
      <c r="EYA41" s="899"/>
      <c r="EYB41" s="899"/>
      <c r="EYC41" s="899"/>
      <c r="EYD41" s="899"/>
      <c r="EYE41" s="899"/>
      <c r="EYF41" s="899"/>
      <c r="EYG41" s="899"/>
      <c r="EYH41" s="899"/>
      <c r="EYI41" s="899"/>
      <c r="EYJ41" s="899"/>
      <c r="EYK41" s="899"/>
      <c r="EYL41" s="899"/>
      <c r="EYM41" s="899"/>
      <c r="EYN41" s="899"/>
      <c r="EYO41" s="899"/>
      <c r="EYP41" s="899"/>
      <c r="EYQ41" s="899"/>
      <c r="EYR41" s="899"/>
      <c r="EYS41" s="899"/>
      <c r="EYT41" s="899"/>
      <c r="EYU41" s="899"/>
      <c r="EYV41" s="899"/>
      <c r="EYW41" s="899"/>
      <c r="EYX41" s="899"/>
      <c r="EYY41" s="899"/>
      <c r="EYZ41" s="899"/>
      <c r="EZA41" s="899"/>
      <c r="EZB41" s="899"/>
      <c r="EZC41" s="899"/>
      <c r="EZD41" s="899"/>
      <c r="EZE41" s="899"/>
      <c r="EZF41" s="899"/>
      <c r="EZG41" s="899"/>
      <c r="EZH41" s="899"/>
      <c r="EZI41" s="899"/>
      <c r="EZJ41" s="899"/>
      <c r="EZK41" s="899"/>
      <c r="EZL41" s="899"/>
      <c r="EZM41" s="899"/>
      <c r="EZN41" s="899"/>
      <c r="EZO41" s="899"/>
      <c r="EZP41" s="899"/>
      <c r="EZQ41" s="899"/>
      <c r="EZR41" s="899"/>
      <c r="EZS41" s="899"/>
      <c r="EZT41" s="899"/>
      <c r="EZU41" s="899"/>
      <c r="EZV41" s="899"/>
      <c r="EZW41" s="899"/>
      <c r="EZX41" s="899"/>
      <c r="EZY41" s="899"/>
      <c r="EZZ41" s="899"/>
      <c r="FAA41" s="899"/>
      <c r="FAB41" s="899"/>
      <c r="FAC41" s="899"/>
      <c r="FAD41" s="899"/>
      <c r="FAE41" s="899"/>
      <c r="FAF41" s="899"/>
      <c r="FAG41" s="899"/>
      <c r="FAH41" s="899"/>
      <c r="FAI41" s="899"/>
      <c r="FAJ41" s="899"/>
      <c r="FAK41" s="899"/>
      <c r="FAL41" s="899"/>
      <c r="FAM41" s="899"/>
      <c r="FAN41" s="899"/>
      <c r="FAO41" s="899"/>
      <c r="FAP41" s="899"/>
      <c r="FAQ41" s="899"/>
      <c r="FAR41" s="899"/>
      <c r="FAS41" s="899"/>
      <c r="FAT41" s="899"/>
      <c r="FAU41" s="899"/>
      <c r="FAV41" s="899"/>
      <c r="FAW41" s="899"/>
      <c r="FAX41" s="899"/>
      <c r="FAY41" s="899"/>
      <c r="FAZ41" s="899"/>
      <c r="FBA41" s="899"/>
      <c r="FBB41" s="899"/>
      <c r="FBC41" s="899"/>
      <c r="FBD41" s="899"/>
      <c r="FBE41" s="899"/>
      <c r="FBF41" s="899"/>
      <c r="FBG41" s="899"/>
      <c r="FBH41" s="899"/>
      <c r="FBI41" s="899"/>
      <c r="FBJ41" s="899"/>
      <c r="FBK41" s="899"/>
      <c r="FBL41" s="899"/>
      <c r="FBM41" s="899"/>
      <c r="FBN41" s="899"/>
      <c r="FBO41" s="899"/>
      <c r="FBP41" s="899"/>
      <c r="FBQ41" s="899"/>
      <c r="FBR41" s="899"/>
      <c r="FBS41" s="899"/>
      <c r="FBT41" s="899"/>
      <c r="FBU41" s="899"/>
      <c r="FBV41" s="899"/>
      <c r="FBW41" s="899"/>
      <c r="FBX41" s="899"/>
      <c r="FBY41" s="899"/>
      <c r="FBZ41" s="899"/>
      <c r="FCA41" s="899"/>
      <c r="FCB41" s="899"/>
      <c r="FCC41" s="899"/>
      <c r="FCD41" s="899"/>
      <c r="FCE41" s="899"/>
      <c r="FCF41" s="899"/>
      <c r="FCG41" s="899"/>
      <c r="FCH41" s="899"/>
      <c r="FCI41" s="899"/>
      <c r="FCJ41" s="899"/>
      <c r="FCK41" s="899"/>
      <c r="FCL41" s="899"/>
      <c r="FCM41" s="899"/>
      <c r="FCN41" s="899"/>
      <c r="FCO41" s="899"/>
      <c r="FCP41" s="899"/>
      <c r="FCQ41" s="899"/>
      <c r="FCR41" s="899"/>
      <c r="FCS41" s="899"/>
      <c r="FCT41" s="899"/>
      <c r="FCU41" s="899"/>
      <c r="FCV41" s="899"/>
      <c r="FCW41" s="899"/>
      <c r="FCX41" s="899"/>
      <c r="FCY41" s="899"/>
      <c r="FCZ41" s="899"/>
      <c r="FDA41" s="899"/>
      <c r="FDB41" s="899"/>
      <c r="FDC41" s="899"/>
      <c r="FDD41" s="899"/>
      <c r="FDE41" s="899"/>
      <c r="FDF41" s="899"/>
      <c r="FDG41" s="899"/>
      <c r="FDH41" s="899"/>
      <c r="FDI41" s="899"/>
      <c r="FDJ41" s="899"/>
      <c r="FDK41" s="899"/>
      <c r="FDL41" s="899"/>
      <c r="FDM41" s="899"/>
      <c r="FDN41" s="899"/>
      <c r="FDO41" s="899"/>
      <c r="FDP41" s="899"/>
      <c r="FDQ41" s="899"/>
      <c r="FDR41" s="899"/>
      <c r="FDS41" s="899"/>
      <c r="FDT41" s="899"/>
      <c r="FDU41" s="899"/>
      <c r="FDV41" s="899"/>
      <c r="FDW41" s="899"/>
      <c r="FDX41" s="899"/>
      <c r="FDY41" s="899"/>
      <c r="FDZ41" s="899"/>
      <c r="FEA41" s="899"/>
      <c r="FEB41" s="899"/>
      <c r="FEC41" s="899"/>
      <c r="FED41" s="899"/>
      <c r="FEE41" s="899"/>
      <c r="FEF41" s="899"/>
      <c r="FEG41" s="899"/>
      <c r="FEH41" s="899"/>
      <c r="FEI41" s="899"/>
      <c r="FEJ41" s="899"/>
      <c r="FEK41" s="899"/>
      <c r="FEL41" s="899"/>
      <c r="FEM41" s="899"/>
      <c r="FEN41" s="899"/>
      <c r="FEO41" s="899"/>
      <c r="FEP41" s="899"/>
      <c r="FEQ41" s="899"/>
      <c r="FER41" s="899"/>
      <c r="FES41" s="899"/>
      <c r="FET41" s="899"/>
      <c r="FEU41" s="899"/>
      <c r="FEV41" s="899"/>
      <c r="FEW41" s="899"/>
      <c r="FEX41" s="899"/>
      <c r="FEY41" s="899"/>
      <c r="FEZ41" s="899"/>
      <c r="FFA41" s="899"/>
      <c r="FFB41" s="899"/>
      <c r="FFC41" s="899"/>
      <c r="FFD41" s="899"/>
      <c r="FFE41" s="899"/>
      <c r="FFF41" s="899"/>
      <c r="FFG41" s="899"/>
      <c r="FFH41" s="899"/>
      <c r="FFI41" s="899"/>
      <c r="FFJ41" s="899"/>
      <c r="FFK41" s="899"/>
      <c r="FFL41" s="899"/>
      <c r="FFM41" s="899"/>
      <c r="FFN41" s="899"/>
      <c r="FFO41" s="899"/>
      <c r="FFP41" s="899"/>
      <c r="FFQ41" s="899"/>
      <c r="FFR41" s="899"/>
      <c r="FFS41" s="899"/>
      <c r="FFT41" s="899"/>
      <c r="FFU41" s="899"/>
      <c r="FFV41" s="899"/>
      <c r="FFW41" s="899"/>
      <c r="FFX41" s="899"/>
      <c r="FFY41" s="899"/>
      <c r="FFZ41" s="899"/>
      <c r="FGA41" s="899"/>
      <c r="FGB41" s="899"/>
      <c r="FGC41" s="899"/>
      <c r="FGD41" s="899"/>
      <c r="FGE41" s="899"/>
      <c r="FGF41" s="899"/>
      <c r="FGG41" s="899"/>
      <c r="FGH41" s="899"/>
      <c r="FGI41" s="899"/>
      <c r="FGJ41" s="899"/>
      <c r="FGK41" s="899"/>
      <c r="FGL41" s="899"/>
      <c r="FGM41" s="899"/>
      <c r="FGN41" s="899"/>
      <c r="FGO41" s="899"/>
      <c r="FGP41" s="899"/>
      <c r="FGQ41" s="899"/>
      <c r="FGR41" s="899"/>
      <c r="FGS41" s="899"/>
      <c r="FGT41" s="899"/>
      <c r="FGU41" s="899"/>
      <c r="FGV41" s="899"/>
      <c r="FGW41" s="899"/>
      <c r="FGX41" s="899"/>
      <c r="FGY41" s="899"/>
      <c r="FGZ41" s="899"/>
      <c r="FHA41" s="899"/>
      <c r="FHB41" s="899"/>
      <c r="FHC41" s="899"/>
      <c r="FHD41" s="899"/>
      <c r="FHE41" s="899"/>
      <c r="FHF41" s="899"/>
      <c r="FHG41" s="899"/>
      <c r="FHH41" s="899"/>
      <c r="FHI41" s="899"/>
      <c r="FHJ41" s="899"/>
      <c r="FHK41" s="899"/>
      <c r="FHL41" s="899"/>
      <c r="FHM41" s="899"/>
      <c r="FHN41" s="899"/>
      <c r="FHO41" s="899"/>
      <c r="FHP41" s="899"/>
      <c r="FHQ41" s="899"/>
      <c r="FHR41" s="899"/>
      <c r="FHS41" s="899"/>
      <c r="FHT41" s="899"/>
      <c r="FHU41" s="899"/>
      <c r="FHV41" s="899"/>
      <c r="FHW41" s="899"/>
      <c r="FHX41" s="899"/>
      <c r="FHY41" s="899"/>
      <c r="FHZ41" s="899"/>
      <c r="FIA41" s="899"/>
      <c r="FIB41" s="899"/>
      <c r="FIC41" s="899"/>
      <c r="FID41" s="899"/>
      <c r="FIE41" s="899"/>
      <c r="FIF41" s="899"/>
      <c r="FIG41" s="899"/>
      <c r="FIH41" s="899"/>
      <c r="FII41" s="899"/>
      <c r="FIJ41" s="899"/>
      <c r="FIK41" s="899"/>
      <c r="FIL41" s="899"/>
      <c r="FIM41" s="899"/>
      <c r="FIN41" s="899"/>
      <c r="FIO41" s="899"/>
      <c r="FIP41" s="899"/>
      <c r="FIQ41" s="899"/>
      <c r="FIR41" s="899"/>
      <c r="FIS41" s="899"/>
      <c r="FIT41" s="899"/>
      <c r="FIU41" s="899"/>
      <c r="FIV41" s="899"/>
      <c r="FIW41" s="899"/>
      <c r="FIX41" s="899"/>
      <c r="FIY41" s="899"/>
      <c r="FIZ41" s="899"/>
      <c r="FJA41" s="899"/>
      <c r="FJB41" s="899"/>
      <c r="FJC41" s="899"/>
      <c r="FJD41" s="899"/>
      <c r="FJE41" s="899"/>
      <c r="FJF41" s="899"/>
      <c r="FJG41" s="899"/>
      <c r="FJH41" s="899"/>
      <c r="FJI41" s="899"/>
      <c r="FJJ41" s="899"/>
      <c r="FJK41" s="899"/>
      <c r="FJL41" s="899"/>
      <c r="FJM41" s="899"/>
      <c r="FJN41" s="899"/>
      <c r="FJO41" s="899"/>
      <c r="FJP41" s="899"/>
      <c r="FJQ41" s="899"/>
      <c r="FJR41" s="899"/>
      <c r="FJS41" s="899"/>
      <c r="FJT41" s="899"/>
      <c r="FJU41" s="899"/>
      <c r="FJV41" s="899"/>
      <c r="FJW41" s="899"/>
      <c r="FJX41" s="899"/>
      <c r="FJY41" s="899"/>
      <c r="FJZ41" s="899"/>
      <c r="FKA41" s="899"/>
      <c r="FKB41" s="899"/>
      <c r="FKC41" s="899"/>
      <c r="FKD41" s="899"/>
      <c r="FKE41" s="899"/>
      <c r="FKF41" s="899"/>
      <c r="FKG41" s="899"/>
      <c r="FKH41" s="899"/>
      <c r="FKI41" s="899"/>
      <c r="FKJ41" s="899"/>
      <c r="FKK41" s="899"/>
      <c r="FKL41" s="899"/>
      <c r="FKM41" s="899"/>
      <c r="FKN41" s="899"/>
      <c r="FKO41" s="899"/>
      <c r="FKP41" s="899"/>
      <c r="FKQ41" s="899"/>
      <c r="FKR41" s="899"/>
      <c r="FKS41" s="899"/>
      <c r="FKT41" s="899"/>
      <c r="FKU41" s="899"/>
      <c r="FKV41" s="899"/>
      <c r="FKW41" s="899"/>
      <c r="FKX41" s="899"/>
      <c r="FKY41" s="899"/>
      <c r="FKZ41" s="899"/>
      <c r="FLA41" s="899"/>
      <c r="FLB41" s="899"/>
      <c r="FLC41" s="899"/>
      <c r="FLD41" s="899"/>
      <c r="FLE41" s="899"/>
      <c r="FLF41" s="899"/>
      <c r="FLG41" s="899"/>
      <c r="FLH41" s="899"/>
      <c r="FLI41" s="899"/>
      <c r="FLJ41" s="899"/>
      <c r="FLK41" s="899"/>
      <c r="FLL41" s="899"/>
      <c r="FLM41" s="899"/>
      <c r="FLN41" s="899"/>
      <c r="FLO41" s="899"/>
      <c r="FLP41" s="899"/>
      <c r="FLQ41" s="899"/>
      <c r="FLR41" s="899"/>
      <c r="FLS41" s="899"/>
      <c r="FLT41" s="899"/>
      <c r="FLU41" s="899"/>
      <c r="FLV41" s="899"/>
      <c r="FLW41" s="899"/>
      <c r="FLX41" s="899"/>
      <c r="FLY41" s="899"/>
      <c r="FLZ41" s="899"/>
      <c r="FMA41" s="899"/>
      <c r="FMB41" s="899"/>
      <c r="FMC41" s="899"/>
      <c r="FMD41" s="899"/>
      <c r="FME41" s="899"/>
      <c r="FMF41" s="899"/>
      <c r="FMG41" s="899"/>
      <c r="FMH41" s="899"/>
      <c r="FMI41" s="899"/>
      <c r="FMJ41" s="899"/>
      <c r="FMK41" s="899"/>
      <c r="FML41" s="899"/>
      <c r="FMM41" s="899"/>
      <c r="FMN41" s="899"/>
      <c r="FMO41" s="899"/>
      <c r="FMP41" s="899"/>
      <c r="FMQ41" s="899"/>
      <c r="FMR41" s="899"/>
      <c r="FMS41" s="899"/>
      <c r="FMT41" s="899"/>
      <c r="FMU41" s="899"/>
      <c r="FMV41" s="899"/>
      <c r="FMW41" s="899"/>
      <c r="FMX41" s="899"/>
      <c r="FMY41" s="899"/>
      <c r="FMZ41" s="899"/>
      <c r="FNA41" s="899"/>
      <c r="FNB41" s="899"/>
      <c r="FNC41" s="899"/>
      <c r="FND41" s="899"/>
      <c r="FNE41" s="899"/>
      <c r="FNF41" s="899"/>
      <c r="FNG41" s="899"/>
      <c r="FNH41" s="899"/>
      <c r="FNI41" s="899"/>
      <c r="FNJ41" s="899"/>
      <c r="FNK41" s="899"/>
      <c r="FNL41" s="899"/>
      <c r="FNM41" s="899"/>
      <c r="FNN41" s="899"/>
      <c r="FNO41" s="899"/>
      <c r="FNP41" s="899"/>
      <c r="FNQ41" s="899"/>
      <c r="FNR41" s="899"/>
      <c r="FNS41" s="899"/>
      <c r="FNT41" s="899"/>
      <c r="FNU41" s="899"/>
      <c r="FNV41" s="899"/>
      <c r="FNW41" s="899"/>
      <c r="FNX41" s="899"/>
      <c r="FNY41" s="899"/>
      <c r="FNZ41" s="899"/>
      <c r="FOA41" s="899"/>
      <c r="FOB41" s="899"/>
      <c r="FOC41" s="899"/>
      <c r="FOD41" s="899"/>
      <c r="FOE41" s="899"/>
      <c r="FOF41" s="899"/>
      <c r="FOG41" s="899"/>
      <c r="FOH41" s="899"/>
      <c r="FOI41" s="899"/>
      <c r="FOJ41" s="899"/>
      <c r="FOK41" s="899"/>
      <c r="FOL41" s="899"/>
      <c r="FOM41" s="899"/>
      <c r="FON41" s="899"/>
      <c r="FOO41" s="899"/>
      <c r="FOP41" s="899"/>
      <c r="FOQ41" s="899"/>
      <c r="FOR41" s="899"/>
      <c r="FOS41" s="899"/>
      <c r="FOT41" s="899"/>
      <c r="FOU41" s="899"/>
      <c r="FOV41" s="899"/>
      <c r="FOW41" s="899"/>
      <c r="FOX41" s="899"/>
      <c r="FOY41" s="899"/>
      <c r="FOZ41" s="899"/>
      <c r="FPA41" s="899"/>
      <c r="FPB41" s="899"/>
      <c r="FPC41" s="899"/>
      <c r="FPD41" s="899"/>
      <c r="FPE41" s="899"/>
      <c r="FPF41" s="899"/>
      <c r="FPG41" s="899"/>
      <c r="FPH41" s="899"/>
      <c r="FPI41" s="899"/>
      <c r="FPJ41" s="899"/>
      <c r="FPK41" s="899"/>
      <c r="FPL41" s="899"/>
      <c r="FPM41" s="899"/>
      <c r="FPN41" s="899"/>
      <c r="FPO41" s="899"/>
      <c r="FPP41" s="899"/>
      <c r="FPQ41" s="899"/>
      <c r="FPR41" s="899"/>
      <c r="FPS41" s="899"/>
      <c r="FPT41" s="899"/>
      <c r="FPU41" s="899"/>
      <c r="FPV41" s="899"/>
      <c r="FPW41" s="899"/>
      <c r="FPX41" s="899"/>
      <c r="FPY41" s="899"/>
      <c r="FPZ41" s="899"/>
      <c r="FQA41" s="899"/>
      <c r="FQB41" s="899"/>
      <c r="FQC41" s="899"/>
      <c r="FQD41" s="899"/>
      <c r="FQE41" s="899"/>
      <c r="FQF41" s="899"/>
      <c r="FQG41" s="899"/>
      <c r="FQH41" s="899"/>
      <c r="FQI41" s="899"/>
      <c r="FQJ41" s="899"/>
      <c r="FQK41" s="899"/>
      <c r="FQL41" s="899"/>
      <c r="FQM41" s="899"/>
      <c r="FQN41" s="899"/>
      <c r="FQO41" s="899"/>
      <c r="FQP41" s="899"/>
      <c r="FQQ41" s="899"/>
      <c r="FQR41" s="899"/>
      <c r="FQS41" s="899"/>
      <c r="FQT41" s="899"/>
      <c r="FQU41" s="899"/>
      <c r="FQV41" s="899"/>
      <c r="FQW41" s="899"/>
      <c r="FQX41" s="899"/>
      <c r="FQY41" s="899"/>
      <c r="FQZ41" s="899"/>
      <c r="FRA41" s="899"/>
      <c r="FRB41" s="899"/>
      <c r="FRC41" s="899"/>
      <c r="FRD41" s="899"/>
      <c r="FRE41" s="899"/>
      <c r="FRF41" s="899"/>
      <c r="FRG41" s="899"/>
      <c r="FRH41" s="899"/>
      <c r="FRI41" s="899"/>
      <c r="FRJ41" s="899"/>
      <c r="FRK41" s="899"/>
      <c r="FRL41" s="899"/>
      <c r="FRM41" s="899"/>
      <c r="FRN41" s="899"/>
      <c r="FRO41" s="899"/>
      <c r="FRP41" s="899"/>
      <c r="FRQ41" s="899"/>
      <c r="FRR41" s="899"/>
      <c r="FRS41" s="899"/>
      <c r="FRT41" s="899"/>
      <c r="FRU41" s="899"/>
      <c r="FRV41" s="899"/>
      <c r="FRW41" s="899"/>
      <c r="FRX41" s="899"/>
      <c r="FRY41" s="899"/>
      <c r="FRZ41" s="899"/>
      <c r="FSA41" s="899"/>
      <c r="FSB41" s="899"/>
      <c r="FSC41" s="899"/>
      <c r="FSD41" s="899"/>
      <c r="FSE41" s="899"/>
      <c r="FSF41" s="899"/>
      <c r="FSG41" s="899"/>
      <c r="FSH41" s="899"/>
      <c r="FSI41" s="899"/>
      <c r="FSJ41" s="899"/>
      <c r="FSK41" s="899"/>
      <c r="FSL41" s="899"/>
      <c r="FSM41" s="899"/>
      <c r="FSN41" s="899"/>
      <c r="FSO41" s="899"/>
      <c r="FSP41" s="899"/>
      <c r="FSQ41" s="899"/>
      <c r="FSR41" s="899"/>
      <c r="FSS41" s="899"/>
      <c r="FST41" s="899"/>
      <c r="FSU41" s="899"/>
      <c r="FSV41" s="899"/>
      <c r="FSW41" s="899"/>
      <c r="FSX41" s="899"/>
      <c r="FSY41" s="899"/>
      <c r="FSZ41" s="899"/>
      <c r="FTA41" s="899"/>
      <c r="FTB41" s="899"/>
      <c r="FTC41" s="899"/>
      <c r="FTD41" s="899"/>
      <c r="FTE41" s="899"/>
      <c r="FTF41" s="899"/>
      <c r="FTG41" s="899"/>
      <c r="FTH41" s="899"/>
      <c r="FTI41" s="899"/>
      <c r="FTJ41" s="899"/>
      <c r="FTK41" s="899"/>
      <c r="FTL41" s="899"/>
      <c r="FTM41" s="899"/>
      <c r="FTN41" s="899"/>
      <c r="FTO41" s="899"/>
      <c r="FTP41" s="899"/>
      <c r="FTQ41" s="899"/>
      <c r="FTR41" s="899"/>
      <c r="FTS41" s="899"/>
      <c r="FTT41" s="899"/>
      <c r="FTU41" s="899"/>
      <c r="FTV41" s="899"/>
      <c r="FTW41" s="899"/>
      <c r="FTX41" s="899"/>
      <c r="FTY41" s="899"/>
      <c r="FTZ41" s="899"/>
      <c r="FUA41" s="899"/>
      <c r="FUB41" s="899"/>
      <c r="FUC41" s="899"/>
      <c r="FUD41" s="899"/>
      <c r="FUE41" s="899"/>
      <c r="FUF41" s="899"/>
      <c r="FUG41" s="899"/>
      <c r="FUH41" s="899"/>
      <c r="FUI41" s="899"/>
      <c r="FUJ41" s="899"/>
      <c r="FUK41" s="899"/>
      <c r="FUL41" s="899"/>
      <c r="FUM41" s="899"/>
      <c r="FUN41" s="899"/>
      <c r="FUO41" s="899"/>
      <c r="FUP41" s="899"/>
      <c r="FUQ41" s="899"/>
      <c r="FUR41" s="899"/>
      <c r="FUS41" s="899"/>
      <c r="FUT41" s="899"/>
      <c r="FUU41" s="899"/>
      <c r="FUV41" s="899"/>
      <c r="FUW41" s="899"/>
      <c r="FUX41" s="899"/>
      <c r="FUY41" s="899"/>
      <c r="FUZ41" s="899"/>
      <c r="FVA41" s="899"/>
      <c r="FVB41" s="899"/>
      <c r="FVC41" s="899"/>
      <c r="FVD41" s="899"/>
      <c r="FVE41" s="899"/>
      <c r="FVF41" s="899"/>
      <c r="FVG41" s="899"/>
      <c r="FVH41" s="899"/>
      <c r="FVI41" s="899"/>
      <c r="FVJ41" s="899"/>
      <c r="FVK41" s="899"/>
      <c r="FVL41" s="899"/>
      <c r="FVM41" s="899"/>
      <c r="FVN41" s="899"/>
      <c r="FVO41" s="899"/>
      <c r="FVP41" s="899"/>
      <c r="FVQ41" s="899"/>
      <c r="FVR41" s="899"/>
      <c r="FVS41" s="899"/>
      <c r="FVT41" s="899"/>
      <c r="FVU41" s="899"/>
      <c r="FVV41" s="899"/>
      <c r="FVW41" s="899"/>
      <c r="FVX41" s="899"/>
      <c r="FVY41" s="899"/>
      <c r="FVZ41" s="899"/>
      <c r="FWA41" s="899"/>
      <c r="FWB41" s="899"/>
      <c r="FWC41" s="899"/>
      <c r="FWD41" s="899"/>
      <c r="FWE41" s="899"/>
      <c r="FWF41" s="899"/>
      <c r="FWG41" s="899"/>
      <c r="FWH41" s="899"/>
      <c r="FWI41" s="899"/>
      <c r="FWJ41" s="899"/>
      <c r="FWK41" s="899"/>
      <c r="FWL41" s="899"/>
      <c r="FWM41" s="899"/>
      <c r="FWN41" s="899"/>
      <c r="FWO41" s="899"/>
      <c r="FWP41" s="899"/>
      <c r="FWQ41" s="899"/>
      <c r="FWR41" s="899"/>
      <c r="FWS41" s="899"/>
      <c r="FWT41" s="899"/>
      <c r="FWU41" s="899"/>
      <c r="FWV41" s="899"/>
      <c r="FWW41" s="899"/>
      <c r="FWX41" s="899"/>
      <c r="FWY41" s="899"/>
      <c r="FWZ41" s="899"/>
      <c r="FXA41" s="899"/>
      <c r="FXB41" s="899"/>
      <c r="FXC41" s="899"/>
      <c r="FXD41" s="899"/>
      <c r="FXE41" s="899"/>
      <c r="FXF41" s="899"/>
      <c r="FXG41" s="899"/>
      <c r="FXH41" s="899"/>
      <c r="FXI41" s="899"/>
      <c r="FXJ41" s="899"/>
      <c r="FXK41" s="899"/>
      <c r="FXL41" s="899"/>
      <c r="FXM41" s="899"/>
      <c r="FXN41" s="899"/>
      <c r="FXO41" s="899"/>
      <c r="FXP41" s="899"/>
      <c r="FXQ41" s="899"/>
      <c r="FXR41" s="899"/>
      <c r="FXS41" s="899"/>
      <c r="FXT41" s="899"/>
      <c r="FXU41" s="899"/>
      <c r="FXV41" s="899"/>
      <c r="FXW41" s="899"/>
      <c r="FXX41" s="899"/>
      <c r="FXY41" s="899"/>
      <c r="FXZ41" s="899"/>
      <c r="FYA41" s="899"/>
      <c r="FYB41" s="899"/>
      <c r="FYC41" s="899"/>
      <c r="FYD41" s="899"/>
      <c r="FYE41" s="899"/>
      <c r="FYF41" s="899"/>
      <c r="FYG41" s="899"/>
      <c r="FYH41" s="899"/>
      <c r="FYI41" s="899"/>
      <c r="FYJ41" s="899"/>
      <c r="FYK41" s="899"/>
      <c r="FYL41" s="899"/>
      <c r="FYM41" s="899"/>
      <c r="FYN41" s="899"/>
      <c r="FYO41" s="899"/>
      <c r="FYP41" s="899"/>
      <c r="FYQ41" s="899"/>
      <c r="FYR41" s="899"/>
      <c r="FYS41" s="899"/>
      <c r="FYT41" s="899"/>
      <c r="FYU41" s="899"/>
      <c r="FYV41" s="899"/>
      <c r="FYW41" s="899"/>
      <c r="FYX41" s="899"/>
      <c r="FYY41" s="899"/>
      <c r="FYZ41" s="899"/>
      <c r="FZA41" s="899"/>
      <c r="FZB41" s="899"/>
      <c r="FZC41" s="899"/>
      <c r="FZD41" s="899"/>
      <c r="FZE41" s="899"/>
      <c r="FZF41" s="899"/>
      <c r="FZG41" s="899"/>
      <c r="FZH41" s="899"/>
      <c r="FZI41" s="899"/>
      <c r="FZJ41" s="899"/>
      <c r="FZK41" s="899"/>
      <c r="FZL41" s="899"/>
      <c r="FZM41" s="899"/>
      <c r="FZN41" s="899"/>
      <c r="FZO41" s="899"/>
      <c r="FZP41" s="899"/>
      <c r="FZQ41" s="899"/>
      <c r="FZR41" s="899"/>
      <c r="FZS41" s="899"/>
      <c r="FZT41" s="899"/>
      <c r="FZU41" s="899"/>
      <c r="FZV41" s="899"/>
      <c r="FZW41" s="899"/>
      <c r="FZX41" s="899"/>
      <c r="FZY41" s="899"/>
      <c r="FZZ41" s="899"/>
      <c r="GAA41" s="899"/>
      <c r="GAB41" s="899"/>
      <c r="GAC41" s="899"/>
      <c r="GAD41" s="899"/>
      <c r="GAE41" s="899"/>
      <c r="GAF41" s="899"/>
      <c r="GAG41" s="899"/>
      <c r="GAH41" s="899"/>
      <c r="GAI41" s="899"/>
      <c r="GAJ41" s="899"/>
      <c r="GAK41" s="899"/>
      <c r="GAL41" s="899"/>
      <c r="GAM41" s="899"/>
      <c r="GAN41" s="899"/>
      <c r="GAO41" s="899"/>
      <c r="GAP41" s="899"/>
      <c r="GAQ41" s="899"/>
      <c r="GAR41" s="899"/>
      <c r="GAS41" s="899"/>
      <c r="GAT41" s="899"/>
      <c r="GAU41" s="899"/>
      <c r="GAV41" s="899"/>
      <c r="GAW41" s="899"/>
      <c r="GAX41" s="899"/>
      <c r="GAY41" s="899"/>
      <c r="GAZ41" s="899"/>
      <c r="GBA41" s="899"/>
      <c r="GBB41" s="899"/>
      <c r="GBC41" s="899"/>
      <c r="GBD41" s="899"/>
      <c r="GBE41" s="899"/>
      <c r="GBF41" s="899"/>
      <c r="GBG41" s="899"/>
      <c r="GBH41" s="899"/>
      <c r="GBI41" s="899"/>
      <c r="GBJ41" s="899"/>
      <c r="GBK41" s="899"/>
      <c r="GBL41" s="899"/>
      <c r="GBM41" s="899"/>
      <c r="GBN41" s="899"/>
      <c r="GBO41" s="899"/>
      <c r="GBP41" s="899"/>
      <c r="GBQ41" s="899"/>
      <c r="GBR41" s="899"/>
      <c r="GBS41" s="899"/>
      <c r="GBT41" s="899"/>
      <c r="GBU41" s="899"/>
      <c r="GBV41" s="899"/>
      <c r="GBW41" s="899"/>
      <c r="GBX41" s="899"/>
      <c r="GBY41" s="899"/>
      <c r="GBZ41" s="899"/>
      <c r="GCA41" s="899"/>
      <c r="GCB41" s="899"/>
      <c r="GCC41" s="899"/>
      <c r="GCD41" s="899"/>
      <c r="GCE41" s="899"/>
      <c r="GCF41" s="899"/>
      <c r="GCG41" s="899"/>
      <c r="GCH41" s="899"/>
      <c r="GCI41" s="899"/>
      <c r="GCJ41" s="899"/>
      <c r="GCK41" s="899"/>
      <c r="GCL41" s="899"/>
      <c r="GCM41" s="899"/>
      <c r="GCN41" s="899"/>
      <c r="GCO41" s="899"/>
      <c r="GCP41" s="899"/>
      <c r="GCQ41" s="899"/>
      <c r="GCR41" s="899"/>
      <c r="GCS41" s="899"/>
      <c r="GCT41" s="899"/>
      <c r="GCU41" s="899"/>
      <c r="GCV41" s="899"/>
      <c r="GCW41" s="899"/>
      <c r="GCX41" s="899"/>
      <c r="GCY41" s="899"/>
      <c r="GCZ41" s="899"/>
      <c r="GDA41" s="899"/>
      <c r="GDB41" s="899"/>
      <c r="GDC41" s="899"/>
      <c r="GDD41" s="899"/>
      <c r="GDE41" s="899"/>
      <c r="GDF41" s="899"/>
      <c r="GDG41" s="899"/>
      <c r="GDH41" s="899"/>
      <c r="GDI41" s="899"/>
      <c r="GDJ41" s="899"/>
      <c r="GDK41" s="899"/>
      <c r="GDL41" s="899"/>
      <c r="GDM41" s="899"/>
      <c r="GDN41" s="899"/>
      <c r="GDO41" s="899"/>
      <c r="GDP41" s="899"/>
      <c r="GDQ41" s="899"/>
      <c r="GDR41" s="899"/>
      <c r="GDS41" s="899"/>
      <c r="GDT41" s="899"/>
      <c r="GDU41" s="899"/>
      <c r="GDV41" s="899"/>
      <c r="GDW41" s="899"/>
      <c r="GDX41" s="899"/>
      <c r="GDY41" s="899"/>
      <c r="GDZ41" s="899"/>
      <c r="GEA41" s="899"/>
      <c r="GEB41" s="899"/>
      <c r="GEC41" s="899"/>
      <c r="GED41" s="899"/>
      <c r="GEE41" s="899"/>
      <c r="GEF41" s="899"/>
      <c r="GEG41" s="899"/>
      <c r="GEH41" s="899"/>
      <c r="GEI41" s="899"/>
      <c r="GEJ41" s="899"/>
      <c r="GEK41" s="899"/>
      <c r="GEL41" s="899"/>
      <c r="GEM41" s="899"/>
      <c r="GEN41" s="899"/>
      <c r="GEO41" s="899"/>
      <c r="GEP41" s="899"/>
      <c r="GEQ41" s="899"/>
      <c r="GER41" s="899"/>
      <c r="GES41" s="899"/>
      <c r="GET41" s="899"/>
      <c r="GEU41" s="899"/>
      <c r="GEV41" s="899"/>
      <c r="GEW41" s="899"/>
      <c r="GEX41" s="899"/>
      <c r="GEY41" s="899"/>
      <c r="GEZ41" s="899"/>
      <c r="GFA41" s="899"/>
      <c r="GFB41" s="899"/>
      <c r="GFC41" s="899"/>
      <c r="GFD41" s="899"/>
      <c r="GFE41" s="899"/>
      <c r="GFF41" s="899"/>
      <c r="GFG41" s="899"/>
      <c r="GFH41" s="899"/>
      <c r="GFI41" s="899"/>
      <c r="GFJ41" s="899"/>
      <c r="GFK41" s="899"/>
      <c r="GFL41" s="899"/>
      <c r="GFM41" s="899"/>
      <c r="GFN41" s="899"/>
      <c r="GFO41" s="899"/>
      <c r="GFP41" s="899"/>
      <c r="GFQ41" s="899"/>
      <c r="GFR41" s="899"/>
      <c r="GFS41" s="899"/>
      <c r="GFT41" s="899"/>
      <c r="GFU41" s="899"/>
      <c r="GFV41" s="899"/>
      <c r="GFW41" s="899"/>
      <c r="GFX41" s="899"/>
      <c r="GFY41" s="899"/>
      <c r="GFZ41" s="899"/>
      <c r="GGA41" s="899"/>
      <c r="GGB41" s="899"/>
      <c r="GGC41" s="899"/>
      <c r="GGD41" s="899"/>
      <c r="GGE41" s="899"/>
      <c r="GGF41" s="899"/>
      <c r="GGG41" s="899"/>
      <c r="GGH41" s="899"/>
      <c r="GGI41" s="899"/>
      <c r="GGJ41" s="899"/>
      <c r="GGK41" s="899"/>
      <c r="GGL41" s="899"/>
      <c r="GGM41" s="899"/>
      <c r="GGN41" s="899"/>
      <c r="GGO41" s="899"/>
      <c r="GGP41" s="899"/>
      <c r="GGQ41" s="899"/>
      <c r="GGR41" s="899"/>
      <c r="GGS41" s="899"/>
      <c r="GGT41" s="899"/>
      <c r="GGU41" s="899"/>
      <c r="GGV41" s="899"/>
      <c r="GGW41" s="899"/>
      <c r="GGX41" s="899"/>
      <c r="GGY41" s="899"/>
      <c r="GGZ41" s="899"/>
      <c r="GHA41" s="899"/>
      <c r="GHB41" s="899"/>
      <c r="GHC41" s="899"/>
      <c r="GHD41" s="899"/>
      <c r="GHE41" s="899"/>
      <c r="GHF41" s="899"/>
      <c r="GHG41" s="899"/>
      <c r="GHH41" s="899"/>
      <c r="GHI41" s="899"/>
      <c r="GHJ41" s="899"/>
      <c r="GHK41" s="899"/>
      <c r="GHL41" s="899"/>
      <c r="GHM41" s="899"/>
      <c r="GHN41" s="899"/>
      <c r="GHO41" s="899"/>
      <c r="GHP41" s="899"/>
      <c r="GHQ41" s="899"/>
      <c r="GHR41" s="899"/>
      <c r="GHS41" s="899"/>
      <c r="GHT41" s="899"/>
      <c r="GHU41" s="899"/>
      <c r="GHV41" s="899"/>
      <c r="GHW41" s="899"/>
      <c r="GHX41" s="899"/>
      <c r="GHY41" s="899"/>
      <c r="GHZ41" s="899"/>
      <c r="GIA41" s="899"/>
      <c r="GIB41" s="899"/>
      <c r="GIC41" s="899"/>
      <c r="GID41" s="899"/>
      <c r="GIE41" s="899"/>
      <c r="GIF41" s="899"/>
      <c r="GIG41" s="899"/>
      <c r="GIH41" s="899"/>
      <c r="GII41" s="899"/>
      <c r="GIJ41" s="899"/>
      <c r="GIK41" s="899"/>
      <c r="GIL41" s="899"/>
      <c r="GIM41" s="899"/>
      <c r="GIN41" s="899"/>
      <c r="GIO41" s="899"/>
      <c r="GIP41" s="899"/>
      <c r="GIQ41" s="899"/>
      <c r="GIR41" s="899"/>
      <c r="GIS41" s="899"/>
      <c r="GIT41" s="899"/>
      <c r="GIU41" s="899"/>
      <c r="GIV41" s="899"/>
      <c r="GIW41" s="899"/>
      <c r="GIX41" s="899"/>
      <c r="GIY41" s="899"/>
      <c r="GIZ41" s="899"/>
      <c r="GJA41" s="899"/>
      <c r="GJB41" s="899"/>
      <c r="GJC41" s="899"/>
      <c r="GJD41" s="899"/>
      <c r="GJE41" s="899"/>
      <c r="GJF41" s="899"/>
      <c r="GJG41" s="899"/>
      <c r="GJH41" s="899"/>
      <c r="GJI41" s="899"/>
      <c r="GJJ41" s="899"/>
      <c r="GJK41" s="899"/>
      <c r="GJL41" s="899"/>
      <c r="GJM41" s="899"/>
      <c r="GJN41" s="899"/>
      <c r="GJO41" s="899"/>
      <c r="GJP41" s="899"/>
      <c r="GJQ41" s="899"/>
      <c r="GJR41" s="899"/>
      <c r="GJS41" s="899"/>
      <c r="GJT41" s="899"/>
      <c r="GJU41" s="899"/>
      <c r="GJV41" s="899"/>
      <c r="GJW41" s="899"/>
      <c r="GJX41" s="899"/>
      <c r="GJY41" s="899"/>
      <c r="GJZ41" s="899"/>
      <c r="GKA41" s="899"/>
      <c r="GKB41" s="899"/>
      <c r="GKC41" s="899"/>
      <c r="GKD41" s="899"/>
      <c r="GKE41" s="899"/>
      <c r="GKF41" s="899"/>
      <c r="GKG41" s="899"/>
      <c r="GKH41" s="899"/>
      <c r="GKI41" s="899"/>
      <c r="GKJ41" s="899"/>
      <c r="GKK41" s="899"/>
      <c r="GKL41" s="899"/>
      <c r="GKM41" s="899"/>
      <c r="GKN41" s="899"/>
      <c r="GKO41" s="899"/>
      <c r="GKP41" s="899"/>
      <c r="GKQ41" s="899"/>
      <c r="GKR41" s="899"/>
      <c r="GKS41" s="899"/>
      <c r="GKT41" s="899"/>
      <c r="GKU41" s="899"/>
      <c r="GKV41" s="899"/>
      <c r="GKW41" s="899"/>
      <c r="GKX41" s="899"/>
      <c r="GKY41" s="899"/>
      <c r="GKZ41" s="899"/>
      <c r="GLA41" s="899"/>
      <c r="GLB41" s="899"/>
      <c r="GLC41" s="899"/>
      <c r="GLD41" s="899"/>
      <c r="GLE41" s="899"/>
      <c r="GLF41" s="899"/>
      <c r="GLG41" s="899"/>
      <c r="GLH41" s="899"/>
      <c r="GLI41" s="899"/>
      <c r="GLJ41" s="899"/>
      <c r="GLK41" s="899"/>
      <c r="GLL41" s="899"/>
      <c r="GLM41" s="899"/>
      <c r="GLN41" s="899"/>
      <c r="GLO41" s="899"/>
      <c r="GLP41" s="899"/>
      <c r="GLQ41" s="899"/>
      <c r="GLR41" s="899"/>
      <c r="GLS41" s="899"/>
      <c r="GLT41" s="899"/>
      <c r="GLU41" s="899"/>
      <c r="GLV41" s="899"/>
      <c r="GLW41" s="899"/>
      <c r="GLX41" s="899"/>
      <c r="GLY41" s="899"/>
      <c r="GLZ41" s="899"/>
      <c r="GMA41" s="899"/>
      <c r="GMB41" s="899"/>
      <c r="GMC41" s="899"/>
      <c r="GMD41" s="899"/>
      <c r="GME41" s="899"/>
      <c r="GMF41" s="899"/>
      <c r="GMG41" s="899"/>
      <c r="GMH41" s="899"/>
      <c r="GMI41" s="899"/>
      <c r="GMJ41" s="899"/>
      <c r="GMK41" s="899"/>
      <c r="GML41" s="899"/>
      <c r="GMM41" s="899"/>
      <c r="GMN41" s="899"/>
      <c r="GMO41" s="899"/>
      <c r="GMP41" s="899"/>
      <c r="GMQ41" s="899"/>
      <c r="GMR41" s="899"/>
      <c r="GMS41" s="899"/>
      <c r="GMT41" s="899"/>
      <c r="GMU41" s="899"/>
      <c r="GMV41" s="899"/>
      <c r="GMW41" s="899"/>
      <c r="GMX41" s="899"/>
      <c r="GMY41" s="899"/>
      <c r="GMZ41" s="899"/>
      <c r="GNA41" s="899"/>
      <c r="GNB41" s="899"/>
      <c r="GNC41" s="899"/>
      <c r="GND41" s="899"/>
      <c r="GNE41" s="899"/>
      <c r="GNF41" s="899"/>
      <c r="GNG41" s="899"/>
      <c r="GNH41" s="899"/>
      <c r="GNI41" s="899"/>
      <c r="GNJ41" s="899"/>
      <c r="GNK41" s="899"/>
      <c r="GNL41" s="899"/>
      <c r="GNM41" s="899"/>
      <c r="GNN41" s="899"/>
      <c r="GNO41" s="899"/>
      <c r="GNP41" s="899"/>
      <c r="GNQ41" s="899"/>
      <c r="GNR41" s="899"/>
      <c r="GNS41" s="899"/>
      <c r="GNT41" s="899"/>
      <c r="GNU41" s="899"/>
      <c r="GNV41" s="899"/>
      <c r="GNW41" s="899"/>
      <c r="GNX41" s="899"/>
      <c r="GNY41" s="899"/>
      <c r="GNZ41" s="899"/>
      <c r="GOA41" s="899"/>
      <c r="GOB41" s="899"/>
      <c r="GOC41" s="899"/>
      <c r="GOD41" s="899"/>
      <c r="GOE41" s="899"/>
      <c r="GOF41" s="899"/>
      <c r="GOG41" s="899"/>
      <c r="GOH41" s="899"/>
      <c r="GOI41" s="899"/>
      <c r="GOJ41" s="899"/>
      <c r="GOK41" s="899"/>
      <c r="GOL41" s="899"/>
      <c r="GOM41" s="899"/>
      <c r="GON41" s="899"/>
      <c r="GOO41" s="899"/>
      <c r="GOP41" s="899"/>
      <c r="GOQ41" s="899"/>
      <c r="GOR41" s="899"/>
      <c r="GOS41" s="899"/>
      <c r="GOT41" s="899"/>
      <c r="GOU41" s="899"/>
      <c r="GOV41" s="899"/>
      <c r="GOW41" s="899"/>
      <c r="GOX41" s="899"/>
      <c r="GOY41" s="899"/>
      <c r="GOZ41" s="899"/>
      <c r="GPA41" s="899"/>
      <c r="GPB41" s="899"/>
      <c r="GPC41" s="899"/>
      <c r="GPD41" s="899"/>
      <c r="GPE41" s="899"/>
      <c r="GPF41" s="899"/>
      <c r="GPG41" s="899"/>
      <c r="GPH41" s="899"/>
      <c r="GPI41" s="899"/>
      <c r="GPJ41" s="899"/>
      <c r="GPK41" s="899"/>
      <c r="GPL41" s="899"/>
      <c r="GPM41" s="899"/>
      <c r="GPN41" s="899"/>
      <c r="GPO41" s="899"/>
      <c r="GPP41" s="899"/>
      <c r="GPQ41" s="899"/>
      <c r="GPR41" s="899"/>
      <c r="GPS41" s="899"/>
      <c r="GPT41" s="899"/>
      <c r="GPU41" s="899"/>
      <c r="GPV41" s="899"/>
      <c r="GPW41" s="899"/>
      <c r="GPX41" s="899"/>
      <c r="GPY41" s="899"/>
      <c r="GPZ41" s="899"/>
      <c r="GQA41" s="899"/>
      <c r="GQB41" s="899"/>
      <c r="GQC41" s="899"/>
      <c r="GQD41" s="899"/>
      <c r="GQE41" s="899"/>
      <c r="GQF41" s="899"/>
      <c r="GQG41" s="899"/>
      <c r="GQH41" s="899"/>
      <c r="GQI41" s="899"/>
      <c r="GQJ41" s="899"/>
      <c r="GQK41" s="899"/>
      <c r="GQL41" s="899"/>
      <c r="GQM41" s="899"/>
      <c r="GQN41" s="899"/>
      <c r="GQO41" s="899"/>
      <c r="GQP41" s="899"/>
      <c r="GQQ41" s="899"/>
      <c r="GQR41" s="899"/>
      <c r="GQS41" s="899"/>
      <c r="GQT41" s="899"/>
      <c r="GQU41" s="899"/>
      <c r="GQV41" s="899"/>
      <c r="GQW41" s="899"/>
      <c r="GQX41" s="899"/>
      <c r="GQY41" s="899"/>
      <c r="GQZ41" s="899"/>
      <c r="GRA41" s="899"/>
      <c r="GRB41" s="899"/>
      <c r="GRC41" s="899"/>
      <c r="GRD41" s="899"/>
      <c r="GRE41" s="899"/>
      <c r="GRF41" s="899"/>
      <c r="GRG41" s="899"/>
      <c r="GRH41" s="899"/>
      <c r="GRI41" s="899"/>
      <c r="GRJ41" s="899"/>
      <c r="GRK41" s="899"/>
      <c r="GRL41" s="899"/>
      <c r="GRM41" s="899"/>
      <c r="GRN41" s="899"/>
      <c r="GRO41" s="899"/>
      <c r="GRP41" s="899"/>
      <c r="GRQ41" s="899"/>
      <c r="GRR41" s="899"/>
      <c r="GRS41" s="899"/>
      <c r="GRT41" s="899"/>
      <c r="GRU41" s="899"/>
      <c r="GRV41" s="899"/>
      <c r="GRW41" s="899"/>
      <c r="GRX41" s="899"/>
      <c r="GRY41" s="899"/>
      <c r="GRZ41" s="899"/>
      <c r="GSA41" s="899"/>
      <c r="GSB41" s="899"/>
      <c r="GSC41" s="899"/>
      <c r="GSD41" s="899"/>
      <c r="GSE41" s="899"/>
      <c r="GSF41" s="899"/>
      <c r="GSG41" s="899"/>
      <c r="GSH41" s="899"/>
      <c r="GSI41" s="899"/>
      <c r="GSJ41" s="899"/>
      <c r="GSK41" s="899"/>
      <c r="GSL41" s="899"/>
      <c r="GSM41" s="899"/>
      <c r="GSN41" s="899"/>
      <c r="GSO41" s="899"/>
      <c r="GSP41" s="899"/>
      <c r="GSQ41" s="899"/>
      <c r="GSR41" s="899"/>
      <c r="GSS41" s="899"/>
      <c r="GST41" s="899"/>
      <c r="GSU41" s="899"/>
      <c r="GSV41" s="899"/>
      <c r="GSW41" s="899"/>
      <c r="GSX41" s="899"/>
      <c r="GSY41" s="899"/>
      <c r="GSZ41" s="899"/>
      <c r="GTA41" s="899"/>
      <c r="GTB41" s="899"/>
      <c r="GTC41" s="899"/>
      <c r="GTD41" s="899"/>
      <c r="GTE41" s="899"/>
      <c r="GTF41" s="899"/>
      <c r="GTG41" s="899"/>
      <c r="GTH41" s="899"/>
      <c r="GTI41" s="899"/>
      <c r="GTJ41" s="899"/>
      <c r="GTK41" s="899"/>
      <c r="GTL41" s="899"/>
      <c r="GTM41" s="899"/>
      <c r="GTN41" s="899"/>
      <c r="GTO41" s="899"/>
      <c r="GTP41" s="899"/>
      <c r="GTQ41" s="899"/>
      <c r="GTR41" s="899"/>
      <c r="GTS41" s="899"/>
      <c r="GTT41" s="899"/>
      <c r="GTU41" s="899"/>
      <c r="GTV41" s="899"/>
      <c r="GTW41" s="899"/>
      <c r="GTX41" s="899"/>
      <c r="GTY41" s="899"/>
      <c r="GTZ41" s="899"/>
      <c r="GUA41" s="899"/>
      <c r="GUB41" s="899"/>
      <c r="GUC41" s="899"/>
      <c r="GUD41" s="899"/>
      <c r="GUE41" s="899"/>
      <c r="GUF41" s="899"/>
      <c r="GUG41" s="899"/>
      <c r="GUH41" s="899"/>
      <c r="GUI41" s="899"/>
      <c r="GUJ41" s="899"/>
      <c r="GUK41" s="899"/>
      <c r="GUL41" s="899"/>
      <c r="GUM41" s="899"/>
      <c r="GUN41" s="899"/>
      <c r="GUO41" s="899"/>
      <c r="GUP41" s="899"/>
      <c r="GUQ41" s="899"/>
      <c r="GUR41" s="899"/>
      <c r="GUS41" s="899"/>
      <c r="GUT41" s="899"/>
      <c r="GUU41" s="899"/>
      <c r="GUV41" s="899"/>
      <c r="GUW41" s="899"/>
      <c r="GUX41" s="899"/>
      <c r="GUY41" s="899"/>
      <c r="GUZ41" s="899"/>
      <c r="GVA41" s="899"/>
      <c r="GVB41" s="899"/>
      <c r="GVC41" s="899"/>
      <c r="GVD41" s="899"/>
      <c r="GVE41" s="899"/>
      <c r="GVF41" s="899"/>
      <c r="GVG41" s="899"/>
      <c r="GVH41" s="899"/>
      <c r="GVI41" s="899"/>
      <c r="GVJ41" s="899"/>
      <c r="GVK41" s="899"/>
      <c r="GVL41" s="899"/>
      <c r="GVM41" s="899"/>
      <c r="GVN41" s="899"/>
      <c r="GVO41" s="899"/>
      <c r="GVP41" s="899"/>
      <c r="GVQ41" s="899"/>
      <c r="GVR41" s="899"/>
      <c r="GVS41" s="899"/>
      <c r="GVT41" s="899"/>
      <c r="GVU41" s="899"/>
      <c r="GVV41" s="899"/>
      <c r="GVW41" s="899"/>
      <c r="GVX41" s="899"/>
      <c r="GVY41" s="899"/>
      <c r="GVZ41" s="899"/>
      <c r="GWA41" s="899"/>
      <c r="GWB41" s="899"/>
      <c r="GWC41" s="899"/>
      <c r="GWD41" s="899"/>
      <c r="GWE41" s="899"/>
      <c r="GWF41" s="899"/>
      <c r="GWG41" s="899"/>
      <c r="GWH41" s="899"/>
      <c r="GWI41" s="899"/>
      <c r="GWJ41" s="899"/>
      <c r="GWK41" s="899"/>
      <c r="GWL41" s="899"/>
      <c r="GWM41" s="899"/>
      <c r="GWN41" s="899"/>
      <c r="GWO41" s="899"/>
      <c r="GWP41" s="899"/>
      <c r="GWQ41" s="899"/>
      <c r="GWR41" s="899"/>
      <c r="GWS41" s="899"/>
      <c r="GWT41" s="899"/>
      <c r="GWU41" s="899"/>
      <c r="GWV41" s="899"/>
      <c r="GWW41" s="899"/>
      <c r="GWX41" s="899"/>
      <c r="GWY41" s="899"/>
      <c r="GWZ41" s="899"/>
      <c r="GXA41" s="899"/>
      <c r="GXB41" s="899"/>
      <c r="GXC41" s="899"/>
      <c r="GXD41" s="899"/>
      <c r="GXE41" s="899"/>
      <c r="GXF41" s="899"/>
      <c r="GXG41" s="899"/>
      <c r="GXH41" s="899"/>
      <c r="GXI41" s="899"/>
      <c r="GXJ41" s="899"/>
      <c r="GXK41" s="899"/>
      <c r="GXL41" s="899"/>
      <c r="GXM41" s="899"/>
      <c r="GXN41" s="899"/>
      <c r="GXO41" s="899"/>
      <c r="GXP41" s="899"/>
      <c r="GXQ41" s="899"/>
      <c r="GXR41" s="899"/>
      <c r="GXS41" s="899"/>
      <c r="GXT41" s="899"/>
      <c r="GXU41" s="899"/>
      <c r="GXV41" s="899"/>
      <c r="GXW41" s="899"/>
      <c r="GXX41" s="899"/>
      <c r="GXY41" s="899"/>
      <c r="GXZ41" s="899"/>
      <c r="GYA41" s="899"/>
      <c r="GYB41" s="899"/>
      <c r="GYC41" s="899"/>
      <c r="GYD41" s="899"/>
      <c r="GYE41" s="899"/>
      <c r="GYF41" s="899"/>
      <c r="GYG41" s="899"/>
      <c r="GYH41" s="899"/>
      <c r="GYI41" s="899"/>
      <c r="GYJ41" s="899"/>
      <c r="GYK41" s="899"/>
      <c r="GYL41" s="899"/>
      <c r="GYM41" s="899"/>
      <c r="GYN41" s="899"/>
      <c r="GYO41" s="899"/>
      <c r="GYP41" s="899"/>
      <c r="GYQ41" s="899"/>
      <c r="GYR41" s="899"/>
      <c r="GYS41" s="899"/>
      <c r="GYT41" s="899"/>
      <c r="GYU41" s="899"/>
      <c r="GYV41" s="899"/>
      <c r="GYW41" s="899"/>
      <c r="GYX41" s="899"/>
      <c r="GYY41" s="899"/>
      <c r="GYZ41" s="899"/>
      <c r="GZA41" s="899"/>
      <c r="GZB41" s="899"/>
      <c r="GZC41" s="899"/>
      <c r="GZD41" s="899"/>
      <c r="GZE41" s="899"/>
      <c r="GZF41" s="899"/>
      <c r="GZG41" s="899"/>
      <c r="GZH41" s="899"/>
      <c r="GZI41" s="899"/>
      <c r="GZJ41" s="899"/>
      <c r="GZK41" s="899"/>
      <c r="GZL41" s="899"/>
      <c r="GZM41" s="899"/>
      <c r="GZN41" s="899"/>
      <c r="GZO41" s="899"/>
      <c r="GZP41" s="899"/>
      <c r="GZQ41" s="899"/>
      <c r="GZR41" s="899"/>
      <c r="GZS41" s="899"/>
      <c r="GZT41" s="899"/>
      <c r="GZU41" s="899"/>
      <c r="GZV41" s="899"/>
      <c r="GZW41" s="899"/>
      <c r="GZX41" s="899"/>
      <c r="GZY41" s="899"/>
      <c r="GZZ41" s="899"/>
      <c r="HAA41" s="899"/>
      <c r="HAB41" s="899"/>
      <c r="HAC41" s="899"/>
      <c r="HAD41" s="899"/>
      <c r="HAE41" s="899"/>
      <c r="HAF41" s="899"/>
      <c r="HAG41" s="899"/>
      <c r="HAH41" s="899"/>
      <c r="HAI41" s="899"/>
      <c r="HAJ41" s="899"/>
      <c r="HAK41" s="899"/>
      <c r="HAL41" s="899"/>
      <c r="HAM41" s="899"/>
      <c r="HAN41" s="899"/>
      <c r="HAO41" s="899"/>
      <c r="HAP41" s="899"/>
      <c r="HAQ41" s="899"/>
      <c r="HAR41" s="899"/>
      <c r="HAS41" s="899"/>
      <c r="HAT41" s="899"/>
      <c r="HAU41" s="899"/>
      <c r="HAV41" s="899"/>
      <c r="HAW41" s="899"/>
      <c r="HAX41" s="899"/>
      <c r="HAY41" s="899"/>
      <c r="HAZ41" s="899"/>
      <c r="HBA41" s="899"/>
      <c r="HBB41" s="899"/>
      <c r="HBC41" s="899"/>
      <c r="HBD41" s="899"/>
      <c r="HBE41" s="899"/>
      <c r="HBF41" s="899"/>
      <c r="HBG41" s="899"/>
      <c r="HBH41" s="899"/>
      <c r="HBI41" s="899"/>
      <c r="HBJ41" s="899"/>
      <c r="HBK41" s="899"/>
      <c r="HBL41" s="899"/>
      <c r="HBM41" s="899"/>
      <c r="HBN41" s="899"/>
      <c r="HBO41" s="899"/>
      <c r="HBP41" s="899"/>
      <c r="HBQ41" s="899"/>
      <c r="HBR41" s="899"/>
      <c r="HBS41" s="899"/>
      <c r="HBT41" s="899"/>
      <c r="HBU41" s="899"/>
      <c r="HBV41" s="899"/>
      <c r="HBW41" s="899"/>
      <c r="HBX41" s="899"/>
      <c r="HBY41" s="899"/>
      <c r="HBZ41" s="899"/>
      <c r="HCA41" s="899"/>
      <c r="HCB41" s="899"/>
      <c r="HCC41" s="899"/>
      <c r="HCD41" s="899"/>
      <c r="HCE41" s="899"/>
      <c r="HCF41" s="899"/>
      <c r="HCG41" s="899"/>
      <c r="HCH41" s="899"/>
      <c r="HCI41" s="899"/>
      <c r="HCJ41" s="899"/>
      <c r="HCK41" s="899"/>
      <c r="HCL41" s="899"/>
      <c r="HCM41" s="899"/>
      <c r="HCN41" s="899"/>
      <c r="HCO41" s="899"/>
      <c r="HCP41" s="899"/>
      <c r="HCQ41" s="899"/>
      <c r="HCR41" s="899"/>
      <c r="HCS41" s="899"/>
      <c r="HCT41" s="899"/>
      <c r="HCU41" s="899"/>
      <c r="HCV41" s="899"/>
      <c r="HCW41" s="899"/>
      <c r="HCX41" s="899"/>
      <c r="HCY41" s="899"/>
      <c r="HCZ41" s="899"/>
      <c r="HDA41" s="899"/>
      <c r="HDB41" s="899"/>
      <c r="HDC41" s="899"/>
      <c r="HDD41" s="899"/>
      <c r="HDE41" s="899"/>
      <c r="HDF41" s="899"/>
      <c r="HDG41" s="899"/>
      <c r="HDH41" s="899"/>
      <c r="HDI41" s="899"/>
      <c r="HDJ41" s="899"/>
      <c r="HDK41" s="899"/>
      <c r="HDL41" s="899"/>
      <c r="HDM41" s="899"/>
      <c r="HDN41" s="899"/>
      <c r="HDO41" s="899"/>
      <c r="HDP41" s="899"/>
      <c r="HDQ41" s="899"/>
      <c r="HDR41" s="899"/>
      <c r="HDS41" s="899"/>
      <c r="HDT41" s="899"/>
      <c r="HDU41" s="899"/>
      <c r="HDV41" s="899"/>
      <c r="HDW41" s="899"/>
      <c r="HDX41" s="899"/>
      <c r="HDY41" s="899"/>
      <c r="HDZ41" s="899"/>
      <c r="HEA41" s="899"/>
      <c r="HEB41" s="899"/>
      <c r="HEC41" s="899"/>
      <c r="HED41" s="899"/>
      <c r="HEE41" s="899"/>
      <c r="HEF41" s="899"/>
      <c r="HEG41" s="899"/>
      <c r="HEH41" s="899"/>
      <c r="HEI41" s="899"/>
      <c r="HEJ41" s="899"/>
      <c r="HEK41" s="899"/>
      <c r="HEL41" s="899"/>
      <c r="HEM41" s="899"/>
      <c r="HEN41" s="899"/>
      <c r="HEO41" s="899"/>
      <c r="HEP41" s="899"/>
      <c r="HEQ41" s="899"/>
      <c r="HER41" s="899"/>
      <c r="HES41" s="899"/>
      <c r="HET41" s="899"/>
      <c r="HEU41" s="899"/>
      <c r="HEV41" s="899"/>
      <c r="HEW41" s="899"/>
      <c r="HEX41" s="899"/>
      <c r="HEY41" s="899"/>
      <c r="HEZ41" s="899"/>
      <c r="HFA41" s="899"/>
      <c r="HFB41" s="899"/>
      <c r="HFC41" s="899"/>
      <c r="HFD41" s="899"/>
      <c r="HFE41" s="899"/>
      <c r="HFF41" s="899"/>
      <c r="HFG41" s="899"/>
      <c r="HFH41" s="899"/>
      <c r="HFI41" s="899"/>
      <c r="HFJ41" s="899"/>
      <c r="HFK41" s="899"/>
      <c r="HFL41" s="899"/>
      <c r="HFM41" s="899"/>
      <c r="HFN41" s="899"/>
      <c r="HFO41" s="899"/>
      <c r="HFP41" s="899"/>
      <c r="HFQ41" s="899"/>
      <c r="HFR41" s="899"/>
      <c r="HFS41" s="899"/>
      <c r="HFT41" s="899"/>
      <c r="HFU41" s="899"/>
      <c r="HFV41" s="899"/>
      <c r="HFW41" s="899"/>
      <c r="HFX41" s="899"/>
      <c r="HFY41" s="899"/>
      <c r="HFZ41" s="899"/>
      <c r="HGA41" s="899"/>
      <c r="HGB41" s="899"/>
      <c r="HGC41" s="899"/>
      <c r="HGD41" s="899"/>
      <c r="HGE41" s="899"/>
      <c r="HGF41" s="899"/>
      <c r="HGG41" s="899"/>
      <c r="HGH41" s="899"/>
      <c r="HGI41" s="899"/>
      <c r="HGJ41" s="899"/>
      <c r="HGK41" s="899"/>
      <c r="HGL41" s="899"/>
      <c r="HGM41" s="899"/>
      <c r="HGN41" s="899"/>
      <c r="HGO41" s="899"/>
      <c r="HGP41" s="899"/>
      <c r="HGQ41" s="899"/>
      <c r="HGR41" s="899"/>
      <c r="HGS41" s="899"/>
      <c r="HGT41" s="899"/>
      <c r="HGU41" s="899"/>
      <c r="HGV41" s="899"/>
      <c r="HGW41" s="899"/>
      <c r="HGX41" s="899"/>
      <c r="HGY41" s="899"/>
      <c r="HGZ41" s="899"/>
      <c r="HHA41" s="899"/>
      <c r="HHB41" s="899"/>
      <c r="HHC41" s="899"/>
      <c r="HHD41" s="899"/>
      <c r="HHE41" s="899"/>
      <c r="HHF41" s="899"/>
      <c r="HHG41" s="899"/>
      <c r="HHH41" s="899"/>
      <c r="HHI41" s="899"/>
      <c r="HHJ41" s="899"/>
      <c r="HHK41" s="899"/>
      <c r="HHL41" s="899"/>
      <c r="HHM41" s="899"/>
      <c r="HHN41" s="899"/>
      <c r="HHO41" s="899"/>
      <c r="HHP41" s="899"/>
      <c r="HHQ41" s="899"/>
      <c r="HHR41" s="899"/>
      <c r="HHS41" s="899"/>
      <c r="HHT41" s="899"/>
      <c r="HHU41" s="899"/>
      <c r="HHV41" s="899"/>
      <c r="HHW41" s="899"/>
      <c r="HHX41" s="899"/>
      <c r="HHY41" s="899"/>
      <c r="HHZ41" s="899"/>
      <c r="HIA41" s="899"/>
      <c r="HIB41" s="899"/>
      <c r="HIC41" s="899"/>
      <c r="HID41" s="899"/>
      <c r="HIE41" s="899"/>
      <c r="HIF41" s="899"/>
      <c r="HIG41" s="899"/>
      <c r="HIH41" s="899"/>
      <c r="HII41" s="899"/>
      <c r="HIJ41" s="899"/>
      <c r="HIK41" s="899"/>
      <c r="HIL41" s="899"/>
      <c r="HIM41" s="899"/>
      <c r="HIN41" s="899"/>
      <c r="HIO41" s="899"/>
      <c r="HIP41" s="899"/>
      <c r="HIQ41" s="899"/>
      <c r="HIR41" s="899"/>
      <c r="HIS41" s="899"/>
      <c r="HIT41" s="899"/>
      <c r="HIU41" s="899"/>
      <c r="HIV41" s="899"/>
      <c r="HIW41" s="899"/>
      <c r="HIX41" s="899"/>
      <c r="HIY41" s="899"/>
      <c r="HIZ41" s="899"/>
      <c r="HJA41" s="899"/>
      <c r="HJB41" s="899"/>
      <c r="HJC41" s="899"/>
      <c r="HJD41" s="899"/>
      <c r="HJE41" s="899"/>
      <c r="HJF41" s="899"/>
      <c r="HJG41" s="899"/>
      <c r="HJH41" s="899"/>
      <c r="HJI41" s="899"/>
      <c r="HJJ41" s="899"/>
      <c r="HJK41" s="899"/>
      <c r="HJL41" s="899"/>
      <c r="HJM41" s="899"/>
      <c r="HJN41" s="899"/>
      <c r="HJO41" s="899"/>
      <c r="HJP41" s="899"/>
      <c r="HJQ41" s="899"/>
      <c r="HJR41" s="899"/>
      <c r="HJS41" s="899"/>
      <c r="HJT41" s="899"/>
      <c r="HJU41" s="899"/>
      <c r="HJV41" s="899"/>
      <c r="HJW41" s="899"/>
      <c r="HJX41" s="899"/>
      <c r="HJY41" s="899"/>
      <c r="HJZ41" s="899"/>
      <c r="HKA41" s="899"/>
      <c r="HKB41" s="899"/>
      <c r="HKC41" s="899"/>
      <c r="HKD41" s="899"/>
      <c r="HKE41" s="899"/>
      <c r="HKF41" s="899"/>
      <c r="HKG41" s="899"/>
      <c r="HKH41" s="899"/>
      <c r="HKI41" s="899"/>
      <c r="HKJ41" s="899"/>
      <c r="HKK41" s="899"/>
      <c r="HKL41" s="899"/>
      <c r="HKM41" s="899"/>
      <c r="HKN41" s="899"/>
      <c r="HKO41" s="899"/>
      <c r="HKP41" s="899"/>
      <c r="HKQ41" s="899"/>
      <c r="HKR41" s="899"/>
      <c r="HKS41" s="899"/>
      <c r="HKT41" s="899"/>
      <c r="HKU41" s="899"/>
      <c r="HKV41" s="899"/>
      <c r="HKW41" s="899"/>
      <c r="HKX41" s="899"/>
      <c r="HKY41" s="899"/>
      <c r="HKZ41" s="899"/>
      <c r="HLA41" s="899"/>
      <c r="HLB41" s="899"/>
      <c r="HLC41" s="899"/>
      <c r="HLD41" s="899"/>
      <c r="HLE41" s="899"/>
      <c r="HLF41" s="899"/>
      <c r="HLG41" s="899"/>
      <c r="HLH41" s="899"/>
      <c r="HLI41" s="899"/>
      <c r="HLJ41" s="899"/>
      <c r="HLK41" s="899"/>
      <c r="HLL41" s="899"/>
      <c r="HLM41" s="899"/>
      <c r="HLN41" s="899"/>
      <c r="HLO41" s="899"/>
      <c r="HLP41" s="899"/>
      <c r="HLQ41" s="899"/>
      <c r="HLR41" s="899"/>
      <c r="HLS41" s="899"/>
      <c r="HLT41" s="899"/>
      <c r="HLU41" s="899"/>
      <c r="HLV41" s="899"/>
      <c r="HLW41" s="899"/>
      <c r="HLX41" s="899"/>
      <c r="HLY41" s="899"/>
      <c r="HLZ41" s="899"/>
      <c r="HMA41" s="899"/>
      <c r="HMB41" s="899"/>
      <c r="HMC41" s="899"/>
      <c r="HMD41" s="899"/>
      <c r="HME41" s="899"/>
      <c r="HMF41" s="899"/>
      <c r="HMG41" s="899"/>
      <c r="HMH41" s="899"/>
      <c r="HMI41" s="899"/>
      <c r="HMJ41" s="899"/>
      <c r="HMK41" s="899"/>
      <c r="HML41" s="899"/>
      <c r="HMM41" s="899"/>
      <c r="HMN41" s="899"/>
      <c r="HMO41" s="899"/>
      <c r="HMP41" s="899"/>
      <c r="HMQ41" s="899"/>
      <c r="HMR41" s="899"/>
      <c r="HMS41" s="899"/>
      <c r="HMT41" s="899"/>
      <c r="HMU41" s="899"/>
      <c r="HMV41" s="899"/>
      <c r="HMW41" s="899"/>
      <c r="HMX41" s="899"/>
      <c r="HMY41" s="899"/>
      <c r="HMZ41" s="899"/>
      <c r="HNA41" s="899"/>
      <c r="HNB41" s="899"/>
      <c r="HNC41" s="899"/>
      <c r="HND41" s="899"/>
      <c r="HNE41" s="899"/>
      <c r="HNF41" s="899"/>
      <c r="HNG41" s="899"/>
      <c r="HNH41" s="899"/>
      <c r="HNI41" s="899"/>
      <c r="HNJ41" s="899"/>
      <c r="HNK41" s="899"/>
      <c r="HNL41" s="899"/>
      <c r="HNM41" s="899"/>
      <c r="HNN41" s="899"/>
      <c r="HNO41" s="899"/>
      <c r="HNP41" s="899"/>
      <c r="HNQ41" s="899"/>
      <c r="HNR41" s="899"/>
      <c r="HNS41" s="899"/>
      <c r="HNT41" s="899"/>
      <c r="HNU41" s="899"/>
      <c r="HNV41" s="899"/>
      <c r="HNW41" s="899"/>
      <c r="HNX41" s="899"/>
      <c r="HNY41" s="899"/>
      <c r="HNZ41" s="899"/>
      <c r="HOA41" s="899"/>
      <c r="HOB41" s="899"/>
      <c r="HOC41" s="899"/>
      <c r="HOD41" s="899"/>
      <c r="HOE41" s="899"/>
      <c r="HOF41" s="899"/>
      <c r="HOG41" s="899"/>
      <c r="HOH41" s="899"/>
      <c r="HOI41" s="899"/>
      <c r="HOJ41" s="899"/>
      <c r="HOK41" s="899"/>
      <c r="HOL41" s="899"/>
      <c r="HOM41" s="899"/>
      <c r="HON41" s="899"/>
      <c r="HOO41" s="899"/>
      <c r="HOP41" s="899"/>
      <c r="HOQ41" s="899"/>
      <c r="HOR41" s="899"/>
      <c r="HOS41" s="899"/>
      <c r="HOT41" s="899"/>
      <c r="HOU41" s="899"/>
      <c r="HOV41" s="899"/>
      <c r="HOW41" s="899"/>
      <c r="HOX41" s="899"/>
      <c r="HOY41" s="899"/>
      <c r="HOZ41" s="899"/>
      <c r="HPA41" s="899"/>
      <c r="HPB41" s="899"/>
      <c r="HPC41" s="899"/>
      <c r="HPD41" s="899"/>
      <c r="HPE41" s="899"/>
      <c r="HPF41" s="899"/>
      <c r="HPG41" s="899"/>
      <c r="HPH41" s="899"/>
      <c r="HPI41" s="899"/>
      <c r="HPJ41" s="899"/>
      <c r="HPK41" s="899"/>
      <c r="HPL41" s="899"/>
      <c r="HPM41" s="899"/>
      <c r="HPN41" s="899"/>
      <c r="HPO41" s="899"/>
      <c r="HPP41" s="899"/>
      <c r="HPQ41" s="899"/>
      <c r="HPR41" s="899"/>
      <c r="HPS41" s="899"/>
      <c r="HPT41" s="899"/>
      <c r="HPU41" s="899"/>
      <c r="HPV41" s="899"/>
      <c r="HPW41" s="899"/>
      <c r="HPX41" s="899"/>
      <c r="HPY41" s="899"/>
      <c r="HPZ41" s="899"/>
      <c r="HQA41" s="899"/>
      <c r="HQB41" s="899"/>
      <c r="HQC41" s="899"/>
      <c r="HQD41" s="899"/>
      <c r="HQE41" s="899"/>
      <c r="HQF41" s="899"/>
      <c r="HQG41" s="899"/>
      <c r="HQH41" s="899"/>
      <c r="HQI41" s="899"/>
      <c r="HQJ41" s="899"/>
      <c r="HQK41" s="899"/>
      <c r="HQL41" s="899"/>
      <c r="HQM41" s="899"/>
      <c r="HQN41" s="899"/>
      <c r="HQO41" s="899"/>
      <c r="HQP41" s="899"/>
      <c r="HQQ41" s="899"/>
      <c r="HQR41" s="899"/>
      <c r="HQS41" s="899"/>
      <c r="HQT41" s="899"/>
      <c r="HQU41" s="899"/>
      <c r="HQV41" s="899"/>
      <c r="HQW41" s="899"/>
      <c r="HQX41" s="899"/>
      <c r="HQY41" s="899"/>
      <c r="HQZ41" s="899"/>
      <c r="HRA41" s="899"/>
      <c r="HRB41" s="899"/>
      <c r="HRC41" s="899"/>
      <c r="HRD41" s="899"/>
      <c r="HRE41" s="899"/>
      <c r="HRF41" s="899"/>
      <c r="HRG41" s="899"/>
      <c r="HRH41" s="899"/>
      <c r="HRI41" s="899"/>
      <c r="HRJ41" s="899"/>
      <c r="HRK41" s="899"/>
      <c r="HRL41" s="899"/>
      <c r="HRM41" s="899"/>
      <c r="HRN41" s="899"/>
      <c r="HRO41" s="899"/>
      <c r="HRP41" s="899"/>
      <c r="HRQ41" s="899"/>
      <c r="HRR41" s="899"/>
      <c r="HRS41" s="899"/>
      <c r="HRT41" s="899"/>
      <c r="HRU41" s="899"/>
      <c r="HRV41" s="899"/>
      <c r="HRW41" s="899"/>
      <c r="HRX41" s="899"/>
      <c r="HRY41" s="899"/>
      <c r="HRZ41" s="899"/>
      <c r="HSA41" s="899"/>
      <c r="HSB41" s="899"/>
      <c r="HSC41" s="899"/>
      <c r="HSD41" s="899"/>
      <c r="HSE41" s="899"/>
      <c r="HSF41" s="899"/>
      <c r="HSG41" s="899"/>
      <c r="HSH41" s="899"/>
      <c r="HSI41" s="899"/>
      <c r="HSJ41" s="899"/>
      <c r="HSK41" s="899"/>
      <c r="HSL41" s="899"/>
      <c r="HSM41" s="899"/>
      <c r="HSN41" s="899"/>
      <c r="HSO41" s="899"/>
      <c r="HSP41" s="899"/>
      <c r="HSQ41" s="899"/>
      <c r="HSR41" s="899"/>
      <c r="HSS41" s="899"/>
      <c r="HST41" s="899"/>
      <c r="HSU41" s="899"/>
      <c r="HSV41" s="899"/>
      <c r="HSW41" s="899"/>
      <c r="HSX41" s="899"/>
      <c r="HSY41" s="899"/>
      <c r="HSZ41" s="899"/>
      <c r="HTA41" s="899"/>
      <c r="HTB41" s="899"/>
      <c r="HTC41" s="899"/>
      <c r="HTD41" s="899"/>
      <c r="HTE41" s="899"/>
      <c r="HTF41" s="899"/>
      <c r="HTG41" s="899"/>
      <c r="HTH41" s="899"/>
      <c r="HTI41" s="899"/>
      <c r="HTJ41" s="899"/>
      <c r="HTK41" s="899"/>
      <c r="HTL41" s="899"/>
      <c r="HTM41" s="899"/>
      <c r="HTN41" s="899"/>
      <c r="HTO41" s="899"/>
      <c r="HTP41" s="899"/>
      <c r="HTQ41" s="899"/>
      <c r="HTR41" s="899"/>
      <c r="HTS41" s="899"/>
      <c r="HTT41" s="899"/>
      <c r="HTU41" s="899"/>
      <c r="HTV41" s="899"/>
      <c r="HTW41" s="899"/>
      <c r="HTX41" s="899"/>
      <c r="HTY41" s="899"/>
      <c r="HTZ41" s="899"/>
      <c r="HUA41" s="899"/>
      <c r="HUB41" s="899"/>
      <c r="HUC41" s="899"/>
      <c r="HUD41" s="899"/>
      <c r="HUE41" s="899"/>
      <c r="HUF41" s="899"/>
      <c r="HUG41" s="899"/>
      <c r="HUH41" s="899"/>
      <c r="HUI41" s="899"/>
      <c r="HUJ41" s="899"/>
      <c r="HUK41" s="899"/>
      <c r="HUL41" s="899"/>
      <c r="HUM41" s="899"/>
      <c r="HUN41" s="899"/>
      <c r="HUO41" s="899"/>
      <c r="HUP41" s="899"/>
      <c r="HUQ41" s="899"/>
      <c r="HUR41" s="899"/>
      <c r="HUS41" s="899"/>
      <c r="HUT41" s="899"/>
      <c r="HUU41" s="899"/>
      <c r="HUV41" s="899"/>
      <c r="HUW41" s="899"/>
      <c r="HUX41" s="899"/>
      <c r="HUY41" s="899"/>
      <c r="HUZ41" s="899"/>
      <c r="HVA41" s="899"/>
      <c r="HVB41" s="899"/>
      <c r="HVC41" s="899"/>
      <c r="HVD41" s="899"/>
      <c r="HVE41" s="899"/>
      <c r="HVF41" s="899"/>
      <c r="HVG41" s="899"/>
      <c r="HVH41" s="899"/>
      <c r="HVI41" s="899"/>
      <c r="HVJ41" s="899"/>
      <c r="HVK41" s="899"/>
      <c r="HVL41" s="899"/>
      <c r="HVM41" s="899"/>
      <c r="HVN41" s="899"/>
      <c r="HVO41" s="899"/>
      <c r="HVP41" s="899"/>
      <c r="HVQ41" s="899"/>
      <c r="HVR41" s="899"/>
      <c r="HVS41" s="899"/>
      <c r="HVT41" s="899"/>
      <c r="HVU41" s="899"/>
      <c r="HVV41" s="899"/>
      <c r="HVW41" s="899"/>
      <c r="HVX41" s="899"/>
      <c r="HVY41" s="899"/>
      <c r="HVZ41" s="899"/>
      <c r="HWA41" s="899"/>
      <c r="HWB41" s="899"/>
      <c r="HWC41" s="899"/>
      <c r="HWD41" s="899"/>
      <c r="HWE41" s="899"/>
      <c r="HWF41" s="899"/>
      <c r="HWG41" s="899"/>
      <c r="HWH41" s="899"/>
      <c r="HWI41" s="899"/>
      <c r="HWJ41" s="899"/>
      <c r="HWK41" s="899"/>
      <c r="HWL41" s="899"/>
      <c r="HWM41" s="899"/>
      <c r="HWN41" s="899"/>
      <c r="HWO41" s="899"/>
      <c r="HWP41" s="899"/>
      <c r="HWQ41" s="899"/>
      <c r="HWR41" s="899"/>
      <c r="HWS41" s="899"/>
      <c r="HWT41" s="899"/>
      <c r="HWU41" s="899"/>
      <c r="HWV41" s="899"/>
      <c r="HWW41" s="899"/>
      <c r="HWX41" s="899"/>
      <c r="HWY41" s="899"/>
      <c r="HWZ41" s="899"/>
      <c r="HXA41" s="899"/>
      <c r="HXB41" s="899"/>
      <c r="HXC41" s="899"/>
      <c r="HXD41" s="899"/>
      <c r="HXE41" s="899"/>
      <c r="HXF41" s="899"/>
      <c r="HXG41" s="899"/>
      <c r="HXH41" s="899"/>
      <c r="HXI41" s="899"/>
      <c r="HXJ41" s="899"/>
      <c r="HXK41" s="899"/>
      <c r="HXL41" s="899"/>
      <c r="HXM41" s="899"/>
      <c r="HXN41" s="899"/>
      <c r="HXO41" s="899"/>
      <c r="HXP41" s="899"/>
      <c r="HXQ41" s="899"/>
      <c r="HXR41" s="899"/>
      <c r="HXS41" s="899"/>
      <c r="HXT41" s="899"/>
      <c r="HXU41" s="899"/>
      <c r="HXV41" s="899"/>
      <c r="HXW41" s="899"/>
      <c r="HXX41" s="899"/>
      <c r="HXY41" s="899"/>
      <c r="HXZ41" s="899"/>
      <c r="HYA41" s="899"/>
      <c r="HYB41" s="899"/>
      <c r="HYC41" s="899"/>
      <c r="HYD41" s="899"/>
      <c r="HYE41" s="899"/>
      <c r="HYF41" s="899"/>
      <c r="HYG41" s="899"/>
      <c r="HYH41" s="899"/>
      <c r="HYI41" s="899"/>
      <c r="HYJ41" s="899"/>
      <c r="HYK41" s="899"/>
      <c r="HYL41" s="899"/>
      <c r="HYM41" s="899"/>
      <c r="HYN41" s="899"/>
      <c r="HYO41" s="899"/>
      <c r="HYP41" s="899"/>
      <c r="HYQ41" s="899"/>
      <c r="HYR41" s="899"/>
      <c r="HYS41" s="899"/>
      <c r="HYT41" s="899"/>
      <c r="HYU41" s="899"/>
      <c r="HYV41" s="899"/>
      <c r="HYW41" s="899"/>
      <c r="HYX41" s="899"/>
      <c r="HYY41" s="899"/>
      <c r="HYZ41" s="899"/>
      <c r="HZA41" s="899"/>
      <c r="HZB41" s="899"/>
      <c r="HZC41" s="899"/>
      <c r="HZD41" s="899"/>
      <c r="HZE41" s="899"/>
      <c r="HZF41" s="899"/>
      <c r="HZG41" s="899"/>
      <c r="HZH41" s="899"/>
      <c r="HZI41" s="899"/>
      <c r="HZJ41" s="899"/>
      <c r="HZK41" s="899"/>
      <c r="HZL41" s="899"/>
      <c r="HZM41" s="899"/>
      <c r="HZN41" s="899"/>
      <c r="HZO41" s="899"/>
      <c r="HZP41" s="899"/>
      <c r="HZQ41" s="899"/>
      <c r="HZR41" s="899"/>
      <c r="HZS41" s="899"/>
      <c r="HZT41" s="899"/>
      <c r="HZU41" s="899"/>
      <c r="HZV41" s="899"/>
      <c r="HZW41" s="899"/>
      <c r="HZX41" s="899"/>
      <c r="HZY41" s="899"/>
      <c r="HZZ41" s="899"/>
      <c r="IAA41" s="899"/>
      <c r="IAB41" s="899"/>
      <c r="IAC41" s="899"/>
      <c r="IAD41" s="899"/>
      <c r="IAE41" s="899"/>
      <c r="IAF41" s="899"/>
      <c r="IAG41" s="899"/>
      <c r="IAH41" s="899"/>
      <c r="IAI41" s="899"/>
      <c r="IAJ41" s="899"/>
      <c r="IAK41" s="899"/>
      <c r="IAL41" s="899"/>
      <c r="IAM41" s="899"/>
      <c r="IAN41" s="899"/>
      <c r="IAO41" s="899"/>
      <c r="IAP41" s="899"/>
      <c r="IAQ41" s="899"/>
      <c r="IAR41" s="899"/>
      <c r="IAS41" s="899"/>
      <c r="IAT41" s="899"/>
      <c r="IAU41" s="899"/>
      <c r="IAV41" s="899"/>
      <c r="IAW41" s="899"/>
      <c r="IAX41" s="899"/>
      <c r="IAY41" s="899"/>
      <c r="IAZ41" s="899"/>
      <c r="IBA41" s="899"/>
      <c r="IBB41" s="899"/>
      <c r="IBC41" s="899"/>
      <c r="IBD41" s="899"/>
      <c r="IBE41" s="899"/>
      <c r="IBF41" s="899"/>
      <c r="IBG41" s="899"/>
      <c r="IBH41" s="899"/>
      <c r="IBI41" s="899"/>
      <c r="IBJ41" s="899"/>
      <c r="IBK41" s="899"/>
      <c r="IBL41" s="899"/>
      <c r="IBM41" s="899"/>
      <c r="IBN41" s="899"/>
      <c r="IBO41" s="899"/>
      <c r="IBP41" s="899"/>
      <c r="IBQ41" s="899"/>
      <c r="IBR41" s="899"/>
      <c r="IBS41" s="899"/>
      <c r="IBT41" s="899"/>
      <c r="IBU41" s="899"/>
      <c r="IBV41" s="899"/>
      <c r="IBW41" s="899"/>
      <c r="IBX41" s="899"/>
      <c r="IBY41" s="899"/>
      <c r="IBZ41" s="899"/>
      <c r="ICA41" s="899"/>
      <c r="ICB41" s="899"/>
      <c r="ICC41" s="899"/>
      <c r="ICD41" s="899"/>
      <c r="ICE41" s="899"/>
      <c r="ICF41" s="899"/>
      <c r="ICG41" s="899"/>
      <c r="ICH41" s="899"/>
      <c r="ICI41" s="899"/>
      <c r="ICJ41" s="899"/>
      <c r="ICK41" s="899"/>
      <c r="ICL41" s="899"/>
      <c r="ICM41" s="899"/>
      <c r="ICN41" s="899"/>
      <c r="ICO41" s="899"/>
      <c r="ICP41" s="899"/>
      <c r="ICQ41" s="899"/>
      <c r="ICR41" s="899"/>
      <c r="ICS41" s="899"/>
      <c r="ICT41" s="899"/>
      <c r="ICU41" s="899"/>
      <c r="ICV41" s="899"/>
      <c r="ICW41" s="899"/>
      <c r="ICX41" s="899"/>
      <c r="ICY41" s="899"/>
      <c r="ICZ41" s="899"/>
      <c r="IDA41" s="899"/>
      <c r="IDB41" s="899"/>
      <c r="IDC41" s="899"/>
      <c r="IDD41" s="899"/>
      <c r="IDE41" s="899"/>
      <c r="IDF41" s="899"/>
      <c r="IDG41" s="899"/>
      <c r="IDH41" s="899"/>
      <c r="IDI41" s="899"/>
      <c r="IDJ41" s="899"/>
      <c r="IDK41" s="899"/>
      <c r="IDL41" s="899"/>
      <c r="IDM41" s="899"/>
      <c r="IDN41" s="899"/>
      <c r="IDO41" s="899"/>
      <c r="IDP41" s="899"/>
      <c r="IDQ41" s="899"/>
      <c r="IDR41" s="899"/>
      <c r="IDS41" s="899"/>
      <c r="IDT41" s="899"/>
      <c r="IDU41" s="899"/>
      <c r="IDV41" s="899"/>
      <c r="IDW41" s="899"/>
      <c r="IDX41" s="899"/>
      <c r="IDY41" s="899"/>
      <c r="IDZ41" s="899"/>
      <c r="IEA41" s="899"/>
      <c r="IEB41" s="899"/>
      <c r="IEC41" s="899"/>
      <c r="IED41" s="899"/>
      <c r="IEE41" s="899"/>
      <c r="IEF41" s="899"/>
      <c r="IEG41" s="899"/>
      <c r="IEH41" s="899"/>
      <c r="IEI41" s="899"/>
      <c r="IEJ41" s="899"/>
      <c r="IEK41" s="899"/>
      <c r="IEL41" s="899"/>
      <c r="IEM41" s="899"/>
      <c r="IEN41" s="899"/>
      <c r="IEO41" s="899"/>
      <c r="IEP41" s="899"/>
      <c r="IEQ41" s="899"/>
      <c r="IER41" s="899"/>
      <c r="IES41" s="899"/>
      <c r="IET41" s="899"/>
      <c r="IEU41" s="899"/>
      <c r="IEV41" s="899"/>
      <c r="IEW41" s="899"/>
      <c r="IEX41" s="899"/>
      <c r="IEY41" s="899"/>
      <c r="IEZ41" s="899"/>
      <c r="IFA41" s="899"/>
      <c r="IFB41" s="899"/>
      <c r="IFC41" s="899"/>
      <c r="IFD41" s="899"/>
      <c r="IFE41" s="899"/>
      <c r="IFF41" s="899"/>
      <c r="IFG41" s="899"/>
      <c r="IFH41" s="899"/>
      <c r="IFI41" s="899"/>
      <c r="IFJ41" s="899"/>
      <c r="IFK41" s="899"/>
      <c r="IFL41" s="899"/>
      <c r="IFM41" s="899"/>
      <c r="IFN41" s="899"/>
      <c r="IFO41" s="899"/>
      <c r="IFP41" s="899"/>
      <c r="IFQ41" s="899"/>
      <c r="IFR41" s="899"/>
      <c r="IFS41" s="899"/>
      <c r="IFT41" s="899"/>
      <c r="IFU41" s="899"/>
      <c r="IFV41" s="899"/>
      <c r="IFW41" s="899"/>
      <c r="IFX41" s="899"/>
      <c r="IFY41" s="899"/>
      <c r="IFZ41" s="899"/>
      <c r="IGA41" s="899"/>
      <c r="IGB41" s="899"/>
      <c r="IGC41" s="899"/>
      <c r="IGD41" s="899"/>
      <c r="IGE41" s="899"/>
      <c r="IGF41" s="899"/>
      <c r="IGG41" s="899"/>
      <c r="IGH41" s="899"/>
      <c r="IGI41" s="899"/>
      <c r="IGJ41" s="899"/>
      <c r="IGK41" s="899"/>
      <c r="IGL41" s="899"/>
      <c r="IGM41" s="899"/>
      <c r="IGN41" s="899"/>
      <c r="IGO41" s="899"/>
      <c r="IGP41" s="899"/>
      <c r="IGQ41" s="899"/>
      <c r="IGR41" s="899"/>
      <c r="IGS41" s="899"/>
      <c r="IGT41" s="899"/>
      <c r="IGU41" s="899"/>
      <c r="IGV41" s="899"/>
      <c r="IGW41" s="899"/>
      <c r="IGX41" s="899"/>
      <c r="IGY41" s="899"/>
      <c r="IGZ41" s="899"/>
      <c r="IHA41" s="899"/>
      <c r="IHB41" s="899"/>
      <c r="IHC41" s="899"/>
      <c r="IHD41" s="899"/>
      <c r="IHE41" s="899"/>
      <c r="IHF41" s="899"/>
      <c r="IHG41" s="899"/>
      <c r="IHH41" s="899"/>
      <c r="IHI41" s="899"/>
      <c r="IHJ41" s="899"/>
      <c r="IHK41" s="899"/>
      <c r="IHL41" s="899"/>
      <c r="IHM41" s="899"/>
      <c r="IHN41" s="899"/>
      <c r="IHO41" s="899"/>
      <c r="IHP41" s="899"/>
      <c r="IHQ41" s="899"/>
      <c r="IHR41" s="899"/>
      <c r="IHS41" s="899"/>
      <c r="IHT41" s="899"/>
      <c r="IHU41" s="899"/>
      <c r="IHV41" s="899"/>
      <c r="IHW41" s="899"/>
      <c r="IHX41" s="899"/>
      <c r="IHY41" s="899"/>
      <c r="IHZ41" s="899"/>
      <c r="IIA41" s="899"/>
      <c r="IIB41" s="899"/>
      <c r="IIC41" s="899"/>
      <c r="IID41" s="899"/>
      <c r="IIE41" s="899"/>
      <c r="IIF41" s="899"/>
      <c r="IIG41" s="899"/>
      <c r="IIH41" s="899"/>
      <c r="III41" s="899"/>
      <c r="IIJ41" s="899"/>
      <c r="IIK41" s="899"/>
      <c r="IIL41" s="899"/>
      <c r="IIM41" s="899"/>
      <c r="IIN41" s="899"/>
      <c r="IIO41" s="899"/>
      <c r="IIP41" s="899"/>
      <c r="IIQ41" s="899"/>
      <c r="IIR41" s="899"/>
      <c r="IIS41" s="899"/>
      <c r="IIT41" s="899"/>
      <c r="IIU41" s="899"/>
      <c r="IIV41" s="899"/>
      <c r="IIW41" s="899"/>
      <c r="IIX41" s="899"/>
      <c r="IIY41" s="899"/>
      <c r="IIZ41" s="899"/>
      <c r="IJA41" s="899"/>
      <c r="IJB41" s="899"/>
      <c r="IJC41" s="899"/>
      <c r="IJD41" s="899"/>
      <c r="IJE41" s="899"/>
      <c r="IJF41" s="899"/>
      <c r="IJG41" s="899"/>
      <c r="IJH41" s="899"/>
      <c r="IJI41" s="899"/>
      <c r="IJJ41" s="899"/>
      <c r="IJK41" s="899"/>
      <c r="IJL41" s="899"/>
      <c r="IJM41" s="899"/>
      <c r="IJN41" s="899"/>
      <c r="IJO41" s="899"/>
      <c r="IJP41" s="899"/>
      <c r="IJQ41" s="899"/>
      <c r="IJR41" s="899"/>
      <c r="IJS41" s="899"/>
      <c r="IJT41" s="899"/>
      <c r="IJU41" s="899"/>
      <c r="IJV41" s="899"/>
      <c r="IJW41" s="899"/>
      <c r="IJX41" s="899"/>
      <c r="IJY41" s="899"/>
      <c r="IJZ41" s="899"/>
      <c r="IKA41" s="899"/>
      <c r="IKB41" s="899"/>
      <c r="IKC41" s="899"/>
      <c r="IKD41" s="899"/>
      <c r="IKE41" s="899"/>
      <c r="IKF41" s="899"/>
      <c r="IKG41" s="899"/>
      <c r="IKH41" s="899"/>
      <c r="IKI41" s="899"/>
      <c r="IKJ41" s="899"/>
      <c r="IKK41" s="899"/>
      <c r="IKL41" s="899"/>
      <c r="IKM41" s="899"/>
      <c r="IKN41" s="899"/>
      <c r="IKO41" s="899"/>
      <c r="IKP41" s="899"/>
      <c r="IKQ41" s="899"/>
      <c r="IKR41" s="899"/>
      <c r="IKS41" s="899"/>
      <c r="IKT41" s="899"/>
      <c r="IKU41" s="899"/>
      <c r="IKV41" s="899"/>
      <c r="IKW41" s="899"/>
      <c r="IKX41" s="899"/>
      <c r="IKY41" s="899"/>
      <c r="IKZ41" s="899"/>
      <c r="ILA41" s="899"/>
      <c r="ILB41" s="899"/>
      <c r="ILC41" s="899"/>
      <c r="ILD41" s="899"/>
      <c r="ILE41" s="899"/>
      <c r="ILF41" s="899"/>
      <c r="ILG41" s="899"/>
      <c r="ILH41" s="899"/>
      <c r="ILI41" s="899"/>
      <c r="ILJ41" s="899"/>
      <c r="ILK41" s="899"/>
      <c r="ILL41" s="899"/>
      <c r="ILM41" s="899"/>
      <c r="ILN41" s="899"/>
      <c r="ILO41" s="899"/>
      <c r="ILP41" s="899"/>
      <c r="ILQ41" s="899"/>
      <c r="ILR41" s="899"/>
      <c r="ILS41" s="899"/>
      <c r="ILT41" s="899"/>
      <c r="ILU41" s="899"/>
      <c r="ILV41" s="899"/>
      <c r="ILW41" s="899"/>
      <c r="ILX41" s="899"/>
      <c r="ILY41" s="899"/>
      <c r="ILZ41" s="899"/>
      <c r="IMA41" s="899"/>
      <c r="IMB41" s="899"/>
      <c r="IMC41" s="899"/>
      <c r="IMD41" s="899"/>
      <c r="IME41" s="899"/>
      <c r="IMF41" s="899"/>
      <c r="IMG41" s="899"/>
      <c r="IMH41" s="899"/>
      <c r="IMI41" s="899"/>
      <c r="IMJ41" s="899"/>
      <c r="IMK41" s="899"/>
      <c r="IML41" s="899"/>
      <c r="IMM41" s="899"/>
      <c r="IMN41" s="899"/>
      <c r="IMO41" s="899"/>
      <c r="IMP41" s="899"/>
      <c r="IMQ41" s="899"/>
      <c r="IMR41" s="899"/>
      <c r="IMS41" s="899"/>
      <c r="IMT41" s="899"/>
      <c r="IMU41" s="899"/>
      <c r="IMV41" s="899"/>
      <c r="IMW41" s="899"/>
      <c r="IMX41" s="899"/>
      <c r="IMY41" s="899"/>
      <c r="IMZ41" s="899"/>
      <c r="INA41" s="899"/>
      <c r="INB41" s="899"/>
      <c r="INC41" s="899"/>
      <c r="IND41" s="899"/>
      <c r="INE41" s="899"/>
      <c r="INF41" s="899"/>
      <c r="ING41" s="899"/>
      <c r="INH41" s="899"/>
      <c r="INI41" s="899"/>
      <c r="INJ41" s="899"/>
      <c r="INK41" s="899"/>
      <c r="INL41" s="899"/>
      <c r="INM41" s="899"/>
      <c r="INN41" s="899"/>
      <c r="INO41" s="899"/>
      <c r="INP41" s="899"/>
      <c r="INQ41" s="899"/>
      <c r="INR41" s="899"/>
      <c r="INS41" s="899"/>
      <c r="INT41" s="899"/>
      <c r="INU41" s="899"/>
      <c r="INV41" s="899"/>
      <c r="INW41" s="899"/>
      <c r="INX41" s="899"/>
      <c r="INY41" s="899"/>
      <c r="INZ41" s="899"/>
      <c r="IOA41" s="899"/>
      <c r="IOB41" s="899"/>
      <c r="IOC41" s="899"/>
      <c r="IOD41" s="899"/>
      <c r="IOE41" s="899"/>
      <c r="IOF41" s="899"/>
      <c r="IOG41" s="899"/>
      <c r="IOH41" s="899"/>
      <c r="IOI41" s="899"/>
      <c r="IOJ41" s="899"/>
      <c r="IOK41" s="899"/>
      <c r="IOL41" s="899"/>
      <c r="IOM41" s="899"/>
      <c r="ION41" s="899"/>
      <c r="IOO41" s="899"/>
      <c r="IOP41" s="899"/>
      <c r="IOQ41" s="899"/>
      <c r="IOR41" s="899"/>
      <c r="IOS41" s="899"/>
      <c r="IOT41" s="899"/>
      <c r="IOU41" s="899"/>
      <c r="IOV41" s="899"/>
      <c r="IOW41" s="899"/>
      <c r="IOX41" s="899"/>
      <c r="IOY41" s="899"/>
      <c r="IOZ41" s="899"/>
      <c r="IPA41" s="899"/>
      <c r="IPB41" s="899"/>
      <c r="IPC41" s="899"/>
      <c r="IPD41" s="899"/>
      <c r="IPE41" s="899"/>
      <c r="IPF41" s="899"/>
      <c r="IPG41" s="899"/>
      <c r="IPH41" s="899"/>
      <c r="IPI41" s="899"/>
      <c r="IPJ41" s="899"/>
      <c r="IPK41" s="899"/>
      <c r="IPL41" s="899"/>
      <c r="IPM41" s="899"/>
      <c r="IPN41" s="899"/>
      <c r="IPO41" s="899"/>
      <c r="IPP41" s="899"/>
      <c r="IPQ41" s="899"/>
      <c r="IPR41" s="899"/>
      <c r="IPS41" s="899"/>
      <c r="IPT41" s="899"/>
      <c r="IPU41" s="899"/>
      <c r="IPV41" s="899"/>
      <c r="IPW41" s="899"/>
      <c r="IPX41" s="899"/>
      <c r="IPY41" s="899"/>
      <c r="IPZ41" s="899"/>
      <c r="IQA41" s="899"/>
      <c r="IQB41" s="899"/>
      <c r="IQC41" s="899"/>
      <c r="IQD41" s="899"/>
      <c r="IQE41" s="899"/>
      <c r="IQF41" s="899"/>
      <c r="IQG41" s="899"/>
      <c r="IQH41" s="899"/>
      <c r="IQI41" s="899"/>
      <c r="IQJ41" s="899"/>
      <c r="IQK41" s="899"/>
      <c r="IQL41" s="899"/>
      <c r="IQM41" s="899"/>
      <c r="IQN41" s="899"/>
      <c r="IQO41" s="899"/>
      <c r="IQP41" s="899"/>
      <c r="IQQ41" s="899"/>
      <c r="IQR41" s="899"/>
      <c r="IQS41" s="899"/>
      <c r="IQT41" s="899"/>
      <c r="IQU41" s="899"/>
      <c r="IQV41" s="899"/>
      <c r="IQW41" s="899"/>
      <c r="IQX41" s="899"/>
      <c r="IQY41" s="899"/>
      <c r="IQZ41" s="899"/>
      <c r="IRA41" s="899"/>
      <c r="IRB41" s="899"/>
      <c r="IRC41" s="899"/>
      <c r="IRD41" s="899"/>
      <c r="IRE41" s="899"/>
      <c r="IRF41" s="899"/>
      <c r="IRG41" s="899"/>
      <c r="IRH41" s="899"/>
      <c r="IRI41" s="899"/>
      <c r="IRJ41" s="899"/>
      <c r="IRK41" s="899"/>
      <c r="IRL41" s="899"/>
      <c r="IRM41" s="899"/>
      <c r="IRN41" s="899"/>
      <c r="IRO41" s="899"/>
      <c r="IRP41" s="899"/>
      <c r="IRQ41" s="899"/>
      <c r="IRR41" s="899"/>
      <c r="IRS41" s="899"/>
      <c r="IRT41" s="899"/>
      <c r="IRU41" s="899"/>
      <c r="IRV41" s="899"/>
      <c r="IRW41" s="899"/>
      <c r="IRX41" s="899"/>
      <c r="IRY41" s="899"/>
      <c r="IRZ41" s="899"/>
      <c r="ISA41" s="899"/>
      <c r="ISB41" s="899"/>
      <c r="ISC41" s="899"/>
      <c r="ISD41" s="899"/>
      <c r="ISE41" s="899"/>
      <c r="ISF41" s="899"/>
      <c r="ISG41" s="899"/>
      <c r="ISH41" s="899"/>
      <c r="ISI41" s="899"/>
      <c r="ISJ41" s="899"/>
      <c r="ISK41" s="899"/>
      <c r="ISL41" s="899"/>
      <c r="ISM41" s="899"/>
      <c r="ISN41" s="899"/>
      <c r="ISO41" s="899"/>
      <c r="ISP41" s="899"/>
      <c r="ISQ41" s="899"/>
      <c r="ISR41" s="899"/>
      <c r="ISS41" s="899"/>
      <c r="IST41" s="899"/>
      <c r="ISU41" s="899"/>
      <c r="ISV41" s="899"/>
      <c r="ISW41" s="899"/>
      <c r="ISX41" s="899"/>
      <c r="ISY41" s="899"/>
      <c r="ISZ41" s="899"/>
      <c r="ITA41" s="899"/>
      <c r="ITB41" s="899"/>
      <c r="ITC41" s="899"/>
      <c r="ITD41" s="899"/>
      <c r="ITE41" s="899"/>
      <c r="ITF41" s="899"/>
      <c r="ITG41" s="899"/>
      <c r="ITH41" s="899"/>
      <c r="ITI41" s="899"/>
      <c r="ITJ41" s="899"/>
      <c r="ITK41" s="899"/>
      <c r="ITL41" s="899"/>
      <c r="ITM41" s="899"/>
      <c r="ITN41" s="899"/>
      <c r="ITO41" s="899"/>
      <c r="ITP41" s="899"/>
      <c r="ITQ41" s="899"/>
      <c r="ITR41" s="899"/>
      <c r="ITS41" s="899"/>
      <c r="ITT41" s="899"/>
      <c r="ITU41" s="899"/>
      <c r="ITV41" s="899"/>
      <c r="ITW41" s="899"/>
      <c r="ITX41" s="899"/>
      <c r="ITY41" s="899"/>
      <c r="ITZ41" s="899"/>
      <c r="IUA41" s="899"/>
      <c r="IUB41" s="899"/>
      <c r="IUC41" s="899"/>
      <c r="IUD41" s="899"/>
      <c r="IUE41" s="899"/>
      <c r="IUF41" s="899"/>
      <c r="IUG41" s="899"/>
      <c r="IUH41" s="899"/>
      <c r="IUI41" s="899"/>
      <c r="IUJ41" s="899"/>
      <c r="IUK41" s="899"/>
      <c r="IUL41" s="899"/>
      <c r="IUM41" s="899"/>
      <c r="IUN41" s="899"/>
      <c r="IUO41" s="899"/>
      <c r="IUP41" s="899"/>
      <c r="IUQ41" s="899"/>
      <c r="IUR41" s="899"/>
      <c r="IUS41" s="899"/>
      <c r="IUT41" s="899"/>
      <c r="IUU41" s="899"/>
      <c r="IUV41" s="899"/>
      <c r="IUW41" s="899"/>
      <c r="IUX41" s="899"/>
      <c r="IUY41" s="899"/>
      <c r="IUZ41" s="899"/>
      <c r="IVA41" s="899"/>
      <c r="IVB41" s="899"/>
      <c r="IVC41" s="899"/>
      <c r="IVD41" s="899"/>
      <c r="IVE41" s="899"/>
      <c r="IVF41" s="899"/>
      <c r="IVG41" s="899"/>
      <c r="IVH41" s="899"/>
      <c r="IVI41" s="899"/>
      <c r="IVJ41" s="899"/>
      <c r="IVK41" s="899"/>
      <c r="IVL41" s="899"/>
      <c r="IVM41" s="899"/>
      <c r="IVN41" s="899"/>
      <c r="IVO41" s="899"/>
      <c r="IVP41" s="899"/>
      <c r="IVQ41" s="899"/>
      <c r="IVR41" s="899"/>
      <c r="IVS41" s="899"/>
      <c r="IVT41" s="899"/>
      <c r="IVU41" s="899"/>
      <c r="IVV41" s="899"/>
      <c r="IVW41" s="899"/>
      <c r="IVX41" s="899"/>
      <c r="IVY41" s="899"/>
      <c r="IVZ41" s="899"/>
      <c r="IWA41" s="899"/>
      <c r="IWB41" s="899"/>
      <c r="IWC41" s="899"/>
      <c r="IWD41" s="899"/>
      <c r="IWE41" s="899"/>
      <c r="IWF41" s="899"/>
      <c r="IWG41" s="899"/>
      <c r="IWH41" s="899"/>
      <c r="IWI41" s="899"/>
      <c r="IWJ41" s="899"/>
      <c r="IWK41" s="899"/>
      <c r="IWL41" s="899"/>
      <c r="IWM41" s="899"/>
      <c r="IWN41" s="899"/>
      <c r="IWO41" s="899"/>
      <c r="IWP41" s="899"/>
      <c r="IWQ41" s="899"/>
      <c r="IWR41" s="899"/>
      <c r="IWS41" s="899"/>
      <c r="IWT41" s="899"/>
      <c r="IWU41" s="899"/>
      <c r="IWV41" s="899"/>
      <c r="IWW41" s="899"/>
      <c r="IWX41" s="899"/>
      <c r="IWY41" s="899"/>
      <c r="IWZ41" s="899"/>
      <c r="IXA41" s="899"/>
      <c r="IXB41" s="899"/>
      <c r="IXC41" s="899"/>
      <c r="IXD41" s="899"/>
      <c r="IXE41" s="899"/>
      <c r="IXF41" s="899"/>
      <c r="IXG41" s="899"/>
      <c r="IXH41" s="899"/>
      <c r="IXI41" s="899"/>
      <c r="IXJ41" s="899"/>
      <c r="IXK41" s="899"/>
      <c r="IXL41" s="899"/>
      <c r="IXM41" s="899"/>
      <c r="IXN41" s="899"/>
      <c r="IXO41" s="899"/>
      <c r="IXP41" s="899"/>
      <c r="IXQ41" s="899"/>
      <c r="IXR41" s="899"/>
      <c r="IXS41" s="899"/>
      <c r="IXT41" s="899"/>
      <c r="IXU41" s="899"/>
      <c r="IXV41" s="899"/>
      <c r="IXW41" s="899"/>
      <c r="IXX41" s="899"/>
      <c r="IXY41" s="899"/>
      <c r="IXZ41" s="899"/>
      <c r="IYA41" s="899"/>
      <c r="IYB41" s="899"/>
      <c r="IYC41" s="899"/>
      <c r="IYD41" s="899"/>
      <c r="IYE41" s="899"/>
      <c r="IYF41" s="899"/>
      <c r="IYG41" s="899"/>
      <c r="IYH41" s="899"/>
      <c r="IYI41" s="899"/>
      <c r="IYJ41" s="899"/>
      <c r="IYK41" s="899"/>
      <c r="IYL41" s="899"/>
      <c r="IYM41" s="899"/>
      <c r="IYN41" s="899"/>
      <c r="IYO41" s="899"/>
      <c r="IYP41" s="899"/>
      <c r="IYQ41" s="899"/>
      <c r="IYR41" s="899"/>
      <c r="IYS41" s="899"/>
      <c r="IYT41" s="899"/>
      <c r="IYU41" s="899"/>
      <c r="IYV41" s="899"/>
      <c r="IYW41" s="899"/>
      <c r="IYX41" s="899"/>
      <c r="IYY41" s="899"/>
      <c r="IYZ41" s="899"/>
      <c r="IZA41" s="899"/>
      <c r="IZB41" s="899"/>
      <c r="IZC41" s="899"/>
      <c r="IZD41" s="899"/>
      <c r="IZE41" s="899"/>
      <c r="IZF41" s="899"/>
      <c r="IZG41" s="899"/>
      <c r="IZH41" s="899"/>
      <c r="IZI41" s="899"/>
      <c r="IZJ41" s="899"/>
      <c r="IZK41" s="899"/>
      <c r="IZL41" s="899"/>
      <c r="IZM41" s="899"/>
      <c r="IZN41" s="899"/>
      <c r="IZO41" s="899"/>
      <c r="IZP41" s="899"/>
      <c r="IZQ41" s="899"/>
      <c r="IZR41" s="899"/>
      <c r="IZS41" s="899"/>
      <c r="IZT41" s="899"/>
      <c r="IZU41" s="899"/>
      <c r="IZV41" s="899"/>
      <c r="IZW41" s="899"/>
      <c r="IZX41" s="899"/>
      <c r="IZY41" s="899"/>
      <c r="IZZ41" s="899"/>
      <c r="JAA41" s="899"/>
      <c r="JAB41" s="899"/>
      <c r="JAC41" s="899"/>
      <c r="JAD41" s="899"/>
      <c r="JAE41" s="899"/>
      <c r="JAF41" s="899"/>
      <c r="JAG41" s="899"/>
      <c r="JAH41" s="899"/>
      <c r="JAI41" s="899"/>
      <c r="JAJ41" s="899"/>
      <c r="JAK41" s="899"/>
      <c r="JAL41" s="899"/>
      <c r="JAM41" s="899"/>
      <c r="JAN41" s="899"/>
      <c r="JAO41" s="899"/>
      <c r="JAP41" s="899"/>
      <c r="JAQ41" s="899"/>
      <c r="JAR41" s="899"/>
      <c r="JAS41" s="899"/>
      <c r="JAT41" s="899"/>
      <c r="JAU41" s="899"/>
      <c r="JAV41" s="899"/>
      <c r="JAW41" s="899"/>
      <c r="JAX41" s="899"/>
      <c r="JAY41" s="899"/>
      <c r="JAZ41" s="899"/>
      <c r="JBA41" s="899"/>
      <c r="JBB41" s="899"/>
      <c r="JBC41" s="899"/>
      <c r="JBD41" s="899"/>
      <c r="JBE41" s="899"/>
      <c r="JBF41" s="899"/>
      <c r="JBG41" s="899"/>
      <c r="JBH41" s="899"/>
      <c r="JBI41" s="899"/>
      <c r="JBJ41" s="899"/>
      <c r="JBK41" s="899"/>
      <c r="JBL41" s="899"/>
      <c r="JBM41" s="899"/>
      <c r="JBN41" s="899"/>
      <c r="JBO41" s="899"/>
      <c r="JBP41" s="899"/>
      <c r="JBQ41" s="899"/>
      <c r="JBR41" s="899"/>
      <c r="JBS41" s="899"/>
      <c r="JBT41" s="899"/>
      <c r="JBU41" s="899"/>
      <c r="JBV41" s="899"/>
      <c r="JBW41" s="899"/>
      <c r="JBX41" s="899"/>
      <c r="JBY41" s="899"/>
      <c r="JBZ41" s="899"/>
      <c r="JCA41" s="899"/>
      <c r="JCB41" s="899"/>
      <c r="JCC41" s="899"/>
      <c r="JCD41" s="899"/>
      <c r="JCE41" s="899"/>
      <c r="JCF41" s="899"/>
      <c r="JCG41" s="899"/>
      <c r="JCH41" s="899"/>
      <c r="JCI41" s="899"/>
      <c r="JCJ41" s="899"/>
      <c r="JCK41" s="899"/>
      <c r="JCL41" s="899"/>
      <c r="JCM41" s="899"/>
      <c r="JCN41" s="899"/>
      <c r="JCO41" s="899"/>
      <c r="JCP41" s="899"/>
      <c r="JCQ41" s="899"/>
      <c r="JCR41" s="899"/>
      <c r="JCS41" s="899"/>
      <c r="JCT41" s="899"/>
      <c r="JCU41" s="899"/>
      <c r="JCV41" s="899"/>
      <c r="JCW41" s="899"/>
      <c r="JCX41" s="899"/>
      <c r="JCY41" s="899"/>
      <c r="JCZ41" s="899"/>
      <c r="JDA41" s="899"/>
      <c r="JDB41" s="899"/>
      <c r="JDC41" s="899"/>
      <c r="JDD41" s="899"/>
      <c r="JDE41" s="899"/>
      <c r="JDF41" s="899"/>
      <c r="JDG41" s="899"/>
      <c r="JDH41" s="899"/>
      <c r="JDI41" s="899"/>
      <c r="JDJ41" s="899"/>
      <c r="JDK41" s="899"/>
      <c r="JDL41" s="899"/>
      <c r="JDM41" s="899"/>
      <c r="JDN41" s="899"/>
      <c r="JDO41" s="899"/>
      <c r="JDP41" s="899"/>
      <c r="JDQ41" s="899"/>
      <c r="JDR41" s="899"/>
      <c r="JDS41" s="899"/>
      <c r="JDT41" s="899"/>
      <c r="JDU41" s="899"/>
      <c r="JDV41" s="899"/>
      <c r="JDW41" s="899"/>
      <c r="JDX41" s="899"/>
      <c r="JDY41" s="899"/>
      <c r="JDZ41" s="899"/>
      <c r="JEA41" s="899"/>
      <c r="JEB41" s="899"/>
      <c r="JEC41" s="899"/>
      <c r="JED41" s="899"/>
      <c r="JEE41" s="899"/>
      <c r="JEF41" s="899"/>
      <c r="JEG41" s="899"/>
      <c r="JEH41" s="899"/>
      <c r="JEI41" s="899"/>
      <c r="JEJ41" s="899"/>
      <c r="JEK41" s="899"/>
      <c r="JEL41" s="899"/>
      <c r="JEM41" s="899"/>
      <c r="JEN41" s="899"/>
      <c r="JEO41" s="899"/>
      <c r="JEP41" s="899"/>
      <c r="JEQ41" s="899"/>
      <c r="JER41" s="899"/>
      <c r="JES41" s="899"/>
      <c r="JET41" s="899"/>
      <c r="JEU41" s="899"/>
      <c r="JEV41" s="899"/>
      <c r="JEW41" s="899"/>
      <c r="JEX41" s="899"/>
      <c r="JEY41" s="899"/>
      <c r="JEZ41" s="899"/>
      <c r="JFA41" s="899"/>
      <c r="JFB41" s="899"/>
      <c r="JFC41" s="899"/>
      <c r="JFD41" s="899"/>
      <c r="JFE41" s="899"/>
      <c r="JFF41" s="899"/>
      <c r="JFG41" s="899"/>
      <c r="JFH41" s="899"/>
      <c r="JFI41" s="899"/>
      <c r="JFJ41" s="899"/>
      <c r="JFK41" s="899"/>
      <c r="JFL41" s="899"/>
      <c r="JFM41" s="899"/>
      <c r="JFN41" s="899"/>
      <c r="JFO41" s="899"/>
      <c r="JFP41" s="899"/>
      <c r="JFQ41" s="899"/>
      <c r="JFR41" s="899"/>
      <c r="JFS41" s="899"/>
      <c r="JFT41" s="899"/>
      <c r="JFU41" s="899"/>
      <c r="JFV41" s="899"/>
      <c r="JFW41" s="899"/>
      <c r="JFX41" s="899"/>
      <c r="JFY41" s="899"/>
      <c r="JFZ41" s="899"/>
      <c r="JGA41" s="899"/>
      <c r="JGB41" s="899"/>
      <c r="JGC41" s="899"/>
      <c r="JGD41" s="899"/>
      <c r="JGE41" s="899"/>
      <c r="JGF41" s="899"/>
      <c r="JGG41" s="899"/>
      <c r="JGH41" s="899"/>
      <c r="JGI41" s="899"/>
      <c r="JGJ41" s="899"/>
      <c r="JGK41" s="899"/>
      <c r="JGL41" s="899"/>
      <c r="JGM41" s="899"/>
      <c r="JGN41" s="899"/>
      <c r="JGO41" s="899"/>
      <c r="JGP41" s="899"/>
      <c r="JGQ41" s="899"/>
      <c r="JGR41" s="899"/>
      <c r="JGS41" s="899"/>
      <c r="JGT41" s="899"/>
      <c r="JGU41" s="899"/>
      <c r="JGV41" s="899"/>
      <c r="JGW41" s="899"/>
      <c r="JGX41" s="899"/>
      <c r="JGY41" s="899"/>
      <c r="JGZ41" s="899"/>
      <c r="JHA41" s="899"/>
      <c r="JHB41" s="899"/>
      <c r="JHC41" s="899"/>
      <c r="JHD41" s="899"/>
      <c r="JHE41" s="899"/>
      <c r="JHF41" s="899"/>
      <c r="JHG41" s="899"/>
      <c r="JHH41" s="899"/>
      <c r="JHI41" s="899"/>
      <c r="JHJ41" s="899"/>
      <c r="JHK41" s="899"/>
      <c r="JHL41" s="899"/>
      <c r="JHM41" s="899"/>
      <c r="JHN41" s="899"/>
      <c r="JHO41" s="899"/>
      <c r="JHP41" s="899"/>
      <c r="JHQ41" s="899"/>
      <c r="JHR41" s="899"/>
      <c r="JHS41" s="899"/>
      <c r="JHT41" s="899"/>
      <c r="JHU41" s="899"/>
      <c r="JHV41" s="899"/>
      <c r="JHW41" s="899"/>
      <c r="JHX41" s="899"/>
      <c r="JHY41" s="899"/>
      <c r="JHZ41" s="899"/>
      <c r="JIA41" s="899"/>
      <c r="JIB41" s="899"/>
      <c r="JIC41" s="899"/>
      <c r="JID41" s="899"/>
      <c r="JIE41" s="899"/>
      <c r="JIF41" s="899"/>
      <c r="JIG41" s="899"/>
      <c r="JIH41" s="899"/>
      <c r="JII41" s="899"/>
      <c r="JIJ41" s="899"/>
      <c r="JIK41" s="899"/>
      <c r="JIL41" s="899"/>
      <c r="JIM41" s="899"/>
      <c r="JIN41" s="899"/>
      <c r="JIO41" s="899"/>
      <c r="JIP41" s="899"/>
      <c r="JIQ41" s="899"/>
      <c r="JIR41" s="899"/>
      <c r="JIS41" s="899"/>
      <c r="JIT41" s="899"/>
      <c r="JIU41" s="899"/>
      <c r="JIV41" s="899"/>
      <c r="JIW41" s="899"/>
      <c r="JIX41" s="899"/>
      <c r="JIY41" s="899"/>
      <c r="JIZ41" s="899"/>
      <c r="JJA41" s="899"/>
      <c r="JJB41" s="899"/>
      <c r="JJC41" s="899"/>
      <c r="JJD41" s="899"/>
      <c r="JJE41" s="899"/>
      <c r="JJF41" s="899"/>
      <c r="JJG41" s="899"/>
      <c r="JJH41" s="899"/>
      <c r="JJI41" s="899"/>
      <c r="JJJ41" s="899"/>
      <c r="JJK41" s="899"/>
      <c r="JJL41" s="899"/>
      <c r="JJM41" s="899"/>
      <c r="JJN41" s="899"/>
      <c r="JJO41" s="899"/>
      <c r="JJP41" s="899"/>
      <c r="JJQ41" s="899"/>
      <c r="JJR41" s="899"/>
      <c r="JJS41" s="899"/>
      <c r="JJT41" s="899"/>
      <c r="JJU41" s="899"/>
      <c r="JJV41" s="899"/>
      <c r="JJW41" s="899"/>
      <c r="JJX41" s="899"/>
      <c r="JJY41" s="899"/>
      <c r="JJZ41" s="899"/>
      <c r="JKA41" s="899"/>
      <c r="JKB41" s="899"/>
      <c r="JKC41" s="899"/>
      <c r="JKD41" s="899"/>
      <c r="JKE41" s="899"/>
      <c r="JKF41" s="899"/>
      <c r="JKG41" s="899"/>
      <c r="JKH41" s="899"/>
      <c r="JKI41" s="899"/>
      <c r="JKJ41" s="899"/>
      <c r="JKK41" s="899"/>
      <c r="JKL41" s="899"/>
      <c r="JKM41" s="899"/>
      <c r="JKN41" s="899"/>
      <c r="JKO41" s="899"/>
      <c r="JKP41" s="899"/>
      <c r="JKQ41" s="899"/>
      <c r="JKR41" s="899"/>
      <c r="JKS41" s="899"/>
      <c r="JKT41" s="899"/>
      <c r="JKU41" s="899"/>
      <c r="JKV41" s="899"/>
      <c r="JKW41" s="899"/>
      <c r="JKX41" s="899"/>
      <c r="JKY41" s="899"/>
      <c r="JKZ41" s="899"/>
      <c r="JLA41" s="899"/>
      <c r="JLB41" s="899"/>
      <c r="JLC41" s="899"/>
      <c r="JLD41" s="899"/>
      <c r="JLE41" s="899"/>
      <c r="JLF41" s="899"/>
      <c r="JLG41" s="899"/>
      <c r="JLH41" s="899"/>
      <c r="JLI41" s="899"/>
      <c r="JLJ41" s="899"/>
      <c r="JLK41" s="899"/>
      <c r="JLL41" s="899"/>
      <c r="JLM41" s="899"/>
      <c r="JLN41" s="899"/>
      <c r="JLO41" s="899"/>
      <c r="JLP41" s="899"/>
      <c r="JLQ41" s="899"/>
      <c r="JLR41" s="899"/>
      <c r="JLS41" s="899"/>
      <c r="JLT41" s="899"/>
      <c r="JLU41" s="899"/>
      <c r="JLV41" s="899"/>
      <c r="JLW41" s="899"/>
      <c r="JLX41" s="899"/>
      <c r="JLY41" s="899"/>
      <c r="JLZ41" s="899"/>
      <c r="JMA41" s="899"/>
      <c r="JMB41" s="899"/>
      <c r="JMC41" s="899"/>
      <c r="JMD41" s="899"/>
      <c r="JME41" s="899"/>
      <c r="JMF41" s="899"/>
      <c r="JMG41" s="899"/>
      <c r="JMH41" s="899"/>
      <c r="JMI41" s="899"/>
      <c r="JMJ41" s="899"/>
      <c r="JMK41" s="899"/>
      <c r="JML41" s="899"/>
      <c r="JMM41" s="899"/>
      <c r="JMN41" s="899"/>
      <c r="JMO41" s="899"/>
      <c r="JMP41" s="899"/>
      <c r="JMQ41" s="899"/>
      <c r="JMR41" s="899"/>
      <c r="JMS41" s="899"/>
      <c r="JMT41" s="899"/>
      <c r="JMU41" s="899"/>
      <c r="JMV41" s="899"/>
      <c r="JMW41" s="899"/>
      <c r="JMX41" s="899"/>
      <c r="JMY41" s="899"/>
      <c r="JMZ41" s="899"/>
      <c r="JNA41" s="899"/>
      <c r="JNB41" s="899"/>
      <c r="JNC41" s="899"/>
      <c r="JND41" s="899"/>
      <c r="JNE41" s="899"/>
      <c r="JNF41" s="899"/>
      <c r="JNG41" s="899"/>
      <c r="JNH41" s="899"/>
      <c r="JNI41" s="899"/>
      <c r="JNJ41" s="899"/>
      <c r="JNK41" s="899"/>
      <c r="JNL41" s="899"/>
      <c r="JNM41" s="899"/>
      <c r="JNN41" s="899"/>
      <c r="JNO41" s="899"/>
      <c r="JNP41" s="899"/>
      <c r="JNQ41" s="899"/>
      <c r="JNR41" s="899"/>
      <c r="JNS41" s="899"/>
      <c r="JNT41" s="899"/>
      <c r="JNU41" s="899"/>
      <c r="JNV41" s="899"/>
      <c r="JNW41" s="899"/>
      <c r="JNX41" s="899"/>
      <c r="JNY41" s="899"/>
      <c r="JNZ41" s="899"/>
      <c r="JOA41" s="899"/>
      <c r="JOB41" s="899"/>
      <c r="JOC41" s="899"/>
      <c r="JOD41" s="899"/>
      <c r="JOE41" s="899"/>
      <c r="JOF41" s="899"/>
      <c r="JOG41" s="899"/>
      <c r="JOH41" s="899"/>
      <c r="JOI41" s="899"/>
      <c r="JOJ41" s="899"/>
      <c r="JOK41" s="899"/>
      <c r="JOL41" s="899"/>
      <c r="JOM41" s="899"/>
      <c r="JON41" s="899"/>
      <c r="JOO41" s="899"/>
      <c r="JOP41" s="899"/>
      <c r="JOQ41" s="899"/>
      <c r="JOR41" s="899"/>
      <c r="JOS41" s="899"/>
      <c r="JOT41" s="899"/>
      <c r="JOU41" s="899"/>
      <c r="JOV41" s="899"/>
      <c r="JOW41" s="899"/>
      <c r="JOX41" s="899"/>
      <c r="JOY41" s="899"/>
      <c r="JOZ41" s="899"/>
      <c r="JPA41" s="899"/>
      <c r="JPB41" s="899"/>
      <c r="JPC41" s="899"/>
      <c r="JPD41" s="899"/>
      <c r="JPE41" s="899"/>
      <c r="JPF41" s="899"/>
      <c r="JPG41" s="899"/>
      <c r="JPH41" s="899"/>
      <c r="JPI41" s="899"/>
      <c r="JPJ41" s="899"/>
      <c r="JPK41" s="899"/>
      <c r="JPL41" s="899"/>
      <c r="JPM41" s="899"/>
      <c r="JPN41" s="899"/>
      <c r="JPO41" s="899"/>
      <c r="JPP41" s="899"/>
      <c r="JPQ41" s="899"/>
      <c r="JPR41" s="899"/>
      <c r="JPS41" s="899"/>
      <c r="JPT41" s="899"/>
      <c r="JPU41" s="899"/>
      <c r="JPV41" s="899"/>
      <c r="JPW41" s="899"/>
      <c r="JPX41" s="899"/>
      <c r="JPY41" s="899"/>
      <c r="JPZ41" s="899"/>
      <c r="JQA41" s="899"/>
      <c r="JQB41" s="899"/>
      <c r="JQC41" s="899"/>
      <c r="JQD41" s="899"/>
      <c r="JQE41" s="899"/>
      <c r="JQF41" s="899"/>
      <c r="JQG41" s="899"/>
      <c r="JQH41" s="899"/>
      <c r="JQI41" s="899"/>
      <c r="JQJ41" s="899"/>
      <c r="JQK41" s="899"/>
      <c r="JQL41" s="899"/>
      <c r="JQM41" s="899"/>
      <c r="JQN41" s="899"/>
      <c r="JQO41" s="899"/>
      <c r="JQP41" s="899"/>
      <c r="JQQ41" s="899"/>
      <c r="JQR41" s="899"/>
      <c r="JQS41" s="899"/>
      <c r="JQT41" s="899"/>
      <c r="JQU41" s="899"/>
      <c r="JQV41" s="899"/>
      <c r="JQW41" s="899"/>
      <c r="JQX41" s="899"/>
      <c r="JQY41" s="899"/>
      <c r="JQZ41" s="899"/>
      <c r="JRA41" s="899"/>
      <c r="JRB41" s="899"/>
      <c r="JRC41" s="899"/>
      <c r="JRD41" s="899"/>
      <c r="JRE41" s="899"/>
      <c r="JRF41" s="899"/>
      <c r="JRG41" s="899"/>
      <c r="JRH41" s="899"/>
      <c r="JRI41" s="899"/>
      <c r="JRJ41" s="899"/>
      <c r="JRK41" s="899"/>
      <c r="JRL41" s="899"/>
      <c r="JRM41" s="899"/>
      <c r="JRN41" s="899"/>
      <c r="JRO41" s="899"/>
      <c r="JRP41" s="899"/>
      <c r="JRQ41" s="899"/>
      <c r="JRR41" s="899"/>
      <c r="JRS41" s="899"/>
      <c r="JRT41" s="899"/>
      <c r="JRU41" s="899"/>
      <c r="JRV41" s="899"/>
      <c r="JRW41" s="899"/>
      <c r="JRX41" s="899"/>
      <c r="JRY41" s="899"/>
      <c r="JRZ41" s="899"/>
      <c r="JSA41" s="899"/>
      <c r="JSB41" s="899"/>
      <c r="JSC41" s="899"/>
      <c r="JSD41" s="899"/>
      <c r="JSE41" s="899"/>
      <c r="JSF41" s="899"/>
      <c r="JSG41" s="899"/>
      <c r="JSH41" s="899"/>
      <c r="JSI41" s="899"/>
      <c r="JSJ41" s="899"/>
      <c r="JSK41" s="899"/>
      <c r="JSL41" s="899"/>
      <c r="JSM41" s="899"/>
      <c r="JSN41" s="899"/>
      <c r="JSO41" s="899"/>
      <c r="JSP41" s="899"/>
      <c r="JSQ41" s="899"/>
      <c r="JSR41" s="899"/>
      <c r="JSS41" s="899"/>
      <c r="JST41" s="899"/>
      <c r="JSU41" s="899"/>
      <c r="JSV41" s="899"/>
      <c r="JSW41" s="899"/>
      <c r="JSX41" s="899"/>
      <c r="JSY41" s="899"/>
      <c r="JSZ41" s="899"/>
      <c r="JTA41" s="899"/>
      <c r="JTB41" s="899"/>
      <c r="JTC41" s="899"/>
      <c r="JTD41" s="899"/>
      <c r="JTE41" s="899"/>
      <c r="JTF41" s="899"/>
      <c r="JTG41" s="899"/>
      <c r="JTH41" s="899"/>
      <c r="JTI41" s="899"/>
      <c r="JTJ41" s="899"/>
      <c r="JTK41" s="899"/>
      <c r="JTL41" s="899"/>
      <c r="JTM41" s="899"/>
      <c r="JTN41" s="899"/>
      <c r="JTO41" s="899"/>
      <c r="JTP41" s="899"/>
      <c r="JTQ41" s="899"/>
      <c r="JTR41" s="899"/>
      <c r="JTS41" s="899"/>
      <c r="JTT41" s="899"/>
      <c r="JTU41" s="899"/>
      <c r="JTV41" s="899"/>
      <c r="JTW41" s="899"/>
      <c r="JTX41" s="899"/>
      <c r="JTY41" s="899"/>
      <c r="JTZ41" s="899"/>
      <c r="JUA41" s="899"/>
      <c r="JUB41" s="899"/>
      <c r="JUC41" s="899"/>
      <c r="JUD41" s="899"/>
      <c r="JUE41" s="899"/>
      <c r="JUF41" s="899"/>
      <c r="JUG41" s="899"/>
      <c r="JUH41" s="899"/>
      <c r="JUI41" s="899"/>
      <c r="JUJ41" s="899"/>
      <c r="JUK41" s="899"/>
      <c r="JUL41" s="899"/>
      <c r="JUM41" s="899"/>
      <c r="JUN41" s="899"/>
      <c r="JUO41" s="899"/>
      <c r="JUP41" s="899"/>
      <c r="JUQ41" s="899"/>
      <c r="JUR41" s="899"/>
      <c r="JUS41" s="899"/>
      <c r="JUT41" s="899"/>
      <c r="JUU41" s="899"/>
      <c r="JUV41" s="899"/>
      <c r="JUW41" s="899"/>
      <c r="JUX41" s="899"/>
      <c r="JUY41" s="899"/>
      <c r="JUZ41" s="899"/>
      <c r="JVA41" s="899"/>
      <c r="JVB41" s="899"/>
      <c r="JVC41" s="899"/>
      <c r="JVD41" s="899"/>
      <c r="JVE41" s="899"/>
      <c r="JVF41" s="899"/>
      <c r="JVG41" s="899"/>
      <c r="JVH41" s="899"/>
      <c r="JVI41" s="899"/>
      <c r="JVJ41" s="899"/>
      <c r="JVK41" s="899"/>
      <c r="JVL41" s="899"/>
      <c r="JVM41" s="899"/>
      <c r="JVN41" s="899"/>
      <c r="JVO41" s="899"/>
      <c r="JVP41" s="899"/>
      <c r="JVQ41" s="899"/>
      <c r="JVR41" s="899"/>
      <c r="JVS41" s="899"/>
      <c r="JVT41" s="899"/>
      <c r="JVU41" s="899"/>
      <c r="JVV41" s="899"/>
      <c r="JVW41" s="899"/>
      <c r="JVX41" s="899"/>
      <c r="JVY41" s="899"/>
      <c r="JVZ41" s="899"/>
      <c r="JWA41" s="899"/>
      <c r="JWB41" s="899"/>
      <c r="JWC41" s="899"/>
      <c r="JWD41" s="899"/>
      <c r="JWE41" s="899"/>
      <c r="JWF41" s="899"/>
      <c r="JWG41" s="899"/>
      <c r="JWH41" s="899"/>
      <c r="JWI41" s="899"/>
      <c r="JWJ41" s="899"/>
      <c r="JWK41" s="899"/>
      <c r="JWL41" s="899"/>
      <c r="JWM41" s="899"/>
      <c r="JWN41" s="899"/>
      <c r="JWO41" s="899"/>
      <c r="JWP41" s="899"/>
      <c r="JWQ41" s="899"/>
      <c r="JWR41" s="899"/>
      <c r="JWS41" s="899"/>
      <c r="JWT41" s="899"/>
      <c r="JWU41" s="899"/>
      <c r="JWV41" s="899"/>
      <c r="JWW41" s="899"/>
      <c r="JWX41" s="899"/>
      <c r="JWY41" s="899"/>
      <c r="JWZ41" s="899"/>
      <c r="JXA41" s="899"/>
      <c r="JXB41" s="899"/>
      <c r="JXC41" s="899"/>
      <c r="JXD41" s="899"/>
      <c r="JXE41" s="899"/>
      <c r="JXF41" s="899"/>
      <c r="JXG41" s="899"/>
      <c r="JXH41" s="899"/>
      <c r="JXI41" s="899"/>
      <c r="JXJ41" s="899"/>
      <c r="JXK41" s="899"/>
      <c r="JXL41" s="899"/>
      <c r="JXM41" s="899"/>
      <c r="JXN41" s="899"/>
      <c r="JXO41" s="899"/>
      <c r="JXP41" s="899"/>
      <c r="JXQ41" s="899"/>
      <c r="JXR41" s="899"/>
      <c r="JXS41" s="899"/>
      <c r="JXT41" s="899"/>
      <c r="JXU41" s="899"/>
      <c r="JXV41" s="899"/>
      <c r="JXW41" s="899"/>
      <c r="JXX41" s="899"/>
      <c r="JXY41" s="899"/>
      <c r="JXZ41" s="899"/>
      <c r="JYA41" s="899"/>
      <c r="JYB41" s="899"/>
      <c r="JYC41" s="899"/>
      <c r="JYD41" s="899"/>
      <c r="JYE41" s="899"/>
      <c r="JYF41" s="899"/>
      <c r="JYG41" s="899"/>
      <c r="JYH41" s="899"/>
      <c r="JYI41" s="899"/>
      <c r="JYJ41" s="899"/>
      <c r="JYK41" s="899"/>
      <c r="JYL41" s="899"/>
      <c r="JYM41" s="899"/>
      <c r="JYN41" s="899"/>
      <c r="JYO41" s="899"/>
      <c r="JYP41" s="899"/>
      <c r="JYQ41" s="899"/>
      <c r="JYR41" s="899"/>
      <c r="JYS41" s="899"/>
      <c r="JYT41" s="899"/>
      <c r="JYU41" s="899"/>
      <c r="JYV41" s="899"/>
      <c r="JYW41" s="899"/>
      <c r="JYX41" s="899"/>
      <c r="JYY41" s="899"/>
      <c r="JYZ41" s="899"/>
      <c r="JZA41" s="899"/>
      <c r="JZB41" s="899"/>
      <c r="JZC41" s="899"/>
      <c r="JZD41" s="899"/>
      <c r="JZE41" s="899"/>
      <c r="JZF41" s="899"/>
      <c r="JZG41" s="899"/>
      <c r="JZH41" s="899"/>
      <c r="JZI41" s="899"/>
      <c r="JZJ41" s="899"/>
      <c r="JZK41" s="899"/>
      <c r="JZL41" s="899"/>
      <c r="JZM41" s="899"/>
      <c r="JZN41" s="899"/>
      <c r="JZO41" s="899"/>
      <c r="JZP41" s="899"/>
      <c r="JZQ41" s="899"/>
      <c r="JZR41" s="899"/>
      <c r="JZS41" s="899"/>
      <c r="JZT41" s="899"/>
      <c r="JZU41" s="899"/>
      <c r="JZV41" s="899"/>
      <c r="JZW41" s="899"/>
      <c r="JZX41" s="899"/>
      <c r="JZY41" s="899"/>
      <c r="JZZ41" s="899"/>
      <c r="KAA41" s="899"/>
      <c r="KAB41" s="899"/>
      <c r="KAC41" s="899"/>
      <c r="KAD41" s="899"/>
      <c r="KAE41" s="899"/>
      <c r="KAF41" s="899"/>
      <c r="KAG41" s="899"/>
      <c r="KAH41" s="899"/>
      <c r="KAI41" s="899"/>
      <c r="KAJ41" s="899"/>
      <c r="KAK41" s="899"/>
      <c r="KAL41" s="899"/>
      <c r="KAM41" s="899"/>
      <c r="KAN41" s="899"/>
      <c r="KAO41" s="899"/>
      <c r="KAP41" s="899"/>
      <c r="KAQ41" s="899"/>
      <c r="KAR41" s="899"/>
      <c r="KAS41" s="899"/>
      <c r="KAT41" s="899"/>
      <c r="KAU41" s="899"/>
      <c r="KAV41" s="899"/>
      <c r="KAW41" s="899"/>
      <c r="KAX41" s="899"/>
      <c r="KAY41" s="899"/>
      <c r="KAZ41" s="899"/>
      <c r="KBA41" s="899"/>
      <c r="KBB41" s="899"/>
      <c r="KBC41" s="899"/>
      <c r="KBD41" s="899"/>
      <c r="KBE41" s="899"/>
      <c r="KBF41" s="899"/>
      <c r="KBG41" s="899"/>
      <c r="KBH41" s="899"/>
      <c r="KBI41" s="899"/>
      <c r="KBJ41" s="899"/>
      <c r="KBK41" s="899"/>
      <c r="KBL41" s="899"/>
      <c r="KBM41" s="899"/>
      <c r="KBN41" s="899"/>
      <c r="KBO41" s="899"/>
      <c r="KBP41" s="899"/>
      <c r="KBQ41" s="899"/>
      <c r="KBR41" s="899"/>
      <c r="KBS41" s="899"/>
      <c r="KBT41" s="899"/>
      <c r="KBU41" s="899"/>
      <c r="KBV41" s="899"/>
      <c r="KBW41" s="899"/>
      <c r="KBX41" s="899"/>
      <c r="KBY41" s="899"/>
      <c r="KBZ41" s="899"/>
      <c r="KCA41" s="899"/>
      <c r="KCB41" s="899"/>
      <c r="KCC41" s="899"/>
      <c r="KCD41" s="899"/>
      <c r="KCE41" s="899"/>
      <c r="KCF41" s="899"/>
      <c r="KCG41" s="899"/>
      <c r="KCH41" s="899"/>
      <c r="KCI41" s="899"/>
      <c r="KCJ41" s="899"/>
      <c r="KCK41" s="899"/>
      <c r="KCL41" s="899"/>
      <c r="KCM41" s="899"/>
      <c r="KCN41" s="899"/>
      <c r="KCO41" s="899"/>
      <c r="KCP41" s="899"/>
      <c r="KCQ41" s="899"/>
      <c r="KCR41" s="899"/>
      <c r="KCS41" s="899"/>
      <c r="KCT41" s="899"/>
      <c r="KCU41" s="899"/>
      <c r="KCV41" s="899"/>
      <c r="KCW41" s="899"/>
      <c r="KCX41" s="899"/>
      <c r="KCY41" s="899"/>
      <c r="KCZ41" s="899"/>
      <c r="KDA41" s="899"/>
      <c r="KDB41" s="899"/>
      <c r="KDC41" s="899"/>
      <c r="KDD41" s="899"/>
      <c r="KDE41" s="899"/>
      <c r="KDF41" s="899"/>
      <c r="KDG41" s="899"/>
      <c r="KDH41" s="899"/>
      <c r="KDI41" s="899"/>
      <c r="KDJ41" s="899"/>
      <c r="KDK41" s="899"/>
      <c r="KDL41" s="899"/>
      <c r="KDM41" s="899"/>
      <c r="KDN41" s="899"/>
      <c r="KDO41" s="899"/>
      <c r="KDP41" s="899"/>
      <c r="KDQ41" s="899"/>
      <c r="KDR41" s="899"/>
      <c r="KDS41" s="899"/>
      <c r="KDT41" s="899"/>
      <c r="KDU41" s="899"/>
      <c r="KDV41" s="899"/>
      <c r="KDW41" s="899"/>
      <c r="KDX41" s="899"/>
      <c r="KDY41" s="899"/>
      <c r="KDZ41" s="899"/>
      <c r="KEA41" s="899"/>
      <c r="KEB41" s="899"/>
      <c r="KEC41" s="899"/>
      <c r="KED41" s="899"/>
      <c r="KEE41" s="899"/>
      <c r="KEF41" s="899"/>
      <c r="KEG41" s="899"/>
      <c r="KEH41" s="899"/>
      <c r="KEI41" s="899"/>
      <c r="KEJ41" s="899"/>
      <c r="KEK41" s="899"/>
      <c r="KEL41" s="899"/>
      <c r="KEM41" s="899"/>
      <c r="KEN41" s="899"/>
      <c r="KEO41" s="899"/>
      <c r="KEP41" s="899"/>
      <c r="KEQ41" s="899"/>
      <c r="KER41" s="899"/>
      <c r="KES41" s="899"/>
      <c r="KET41" s="899"/>
      <c r="KEU41" s="899"/>
      <c r="KEV41" s="899"/>
      <c r="KEW41" s="899"/>
      <c r="KEX41" s="899"/>
      <c r="KEY41" s="899"/>
      <c r="KEZ41" s="899"/>
      <c r="KFA41" s="899"/>
      <c r="KFB41" s="899"/>
      <c r="KFC41" s="899"/>
      <c r="KFD41" s="899"/>
      <c r="KFE41" s="899"/>
      <c r="KFF41" s="899"/>
      <c r="KFG41" s="899"/>
      <c r="KFH41" s="899"/>
      <c r="KFI41" s="899"/>
      <c r="KFJ41" s="899"/>
      <c r="KFK41" s="899"/>
      <c r="KFL41" s="899"/>
      <c r="KFM41" s="899"/>
      <c r="KFN41" s="899"/>
      <c r="KFO41" s="899"/>
      <c r="KFP41" s="899"/>
      <c r="KFQ41" s="899"/>
      <c r="KFR41" s="899"/>
      <c r="KFS41" s="899"/>
      <c r="KFT41" s="899"/>
      <c r="KFU41" s="899"/>
      <c r="KFV41" s="899"/>
      <c r="KFW41" s="899"/>
      <c r="KFX41" s="899"/>
      <c r="KFY41" s="899"/>
      <c r="KFZ41" s="899"/>
      <c r="KGA41" s="899"/>
      <c r="KGB41" s="899"/>
      <c r="KGC41" s="899"/>
      <c r="KGD41" s="899"/>
      <c r="KGE41" s="899"/>
      <c r="KGF41" s="899"/>
      <c r="KGG41" s="899"/>
      <c r="KGH41" s="899"/>
      <c r="KGI41" s="899"/>
      <c r="KGJ41" s="899"/>
      <c r="KGK41" s="899"/>
      <c r="KGL41" s="899"/>
      <c r="KGM41" s="899"/>
      <c r="KGN41" s="899"/>
      <c r="KGO41" s="899"/>
      <c r="KGP41" s="899"/>
      <c r="KGQ41" s="899"/>
      <c r="KGR41" s="899"/>
      <c r="KGS41" s="899"/>
      <c r="KGT41" s="899"/>
      <c r="KGU41" s="899"/>
      <c r="KGV41" s="899"/>
      <c r="KGW41" s="899"/>
      <c r="KGX41" s="899"/>
      <c r="KGY41" s="899"/>
      <c r="KGZ41" s="899"/>
      <c r="KHA41" s="899"/>
      <c r="KHB41" s="899"/>
      <c r="KHC41" s="899"/>
      <c r="KHD41" s="899"/>
      <c r="KHE41" s="899"/>
      <c r="KHF41" s="899"/>
      <c r="KHG41" s="899"/>
      <c r="KHH41" s="899"/>
      <c r="KHI41" s="899"/>
      <c r="KHJ41" s="899"/>
      <c r="KHK41" s="899"/>
      <c r="KHL41" s="899"/>
      <c r="KHM41" s="899"/>
      <c r="KHN41" s="899"/>
      <c r="KHO41" s="899"/>
      <c r="KHP41" s="899"/>
      <c r="KHQ41" s="899"/>
      <c r="KHR41" s="899"/>
      <c r="KHS41" s="899"/>
      <c r="KHT41" s="899"/>
      <c r="KHU41" s="899"/>
      <c r="KHV41" s="899"/>
      <c r="KHW41" s="899"/>
      <c r="KHX41" s="899"/>
      <c r="KHY41" s="899"/>
      <c r="KHZ41" s="899"/>
      <c r="KIA41" s="899"/>
      <c r="KIB41" s="899"/>
      <c r="KIC41" s="899"/>
      <c r="KID41" s="899"/>
      <c r="KIE41" s="899"/>
      <c r="KIF41" s="899"/>
      <c r="KIG41" s="899"/>
      <c r="KIH41" s="899"/>
      <c r="KII41" s="899"/>
      <c r="KIJ41" s="899"/>
      <c r="KIK41" s="899"/>
      <c r="KIL41" s="899"/>
      <c r="KIM41" s="899"/>
      <c r="KIN41" s="899"/>
      <c r="KIO41" s="899"/>
      <c r="KIP41" s="899"/>
      <c r="KIQ41" s="899"/>
      <c r="KIR41" s="899"/>
      <c r="KIS41" s="899"/>
      <c r="KIT41" s="899"/>
      <c r="KIU41" s="899"/>
      <c r="KIV41" s="899"/>
      <c r="KIW41" s="899"/>
      <c r="KIX41" s="899"/>
      <c r="KIY41" s="899"/>
      <c r="KIZ41" s="899"/>
      <c r="KJA41" s="899"/>
      <c r="KJB41" s="899"/>
      <c r="KJC41" s="899"/>
      <c r="KJD41" s="899"/>
      <c r="KJE41" s="899"/>
      <c r="KJF41" s="899"/>
      <c r="KJG41" s="899"/>
      <c r="KJH41" s="899"/>
      <c r="KJI41" s="899"/>
      <c r="KJJ41" s="899"/>
      <c r="KJK41" s="899"/>
      <c r="KJL41" s="899"/>
      <c r="KJM41" s="899"/>
      <c r="KJN41" s="899"/>
      <c r="KJO41" s="899"/>
      <c r="KJP41" s="899"/>
      <c r="KJQ41" s="899"/>
      <c r="KJR41" s="899"/>
      <c r="KJS41" s="899"/>
      <c r="KJT41" s="899"/>
      <c r="KJU41" s="899"/>
      <c r="KJV41" s="899"/>
      <c r="KJW41" s="899"/>
      <c r="KJX41" s="899"/>
      <c r="KJY41" s="899"/>
      <c r="KJZ41" s="899"/>
      <c r="KKA41" s="899"/>
      <c r="KKB41" s="899"/>
      <c r="KKC41" s="899"/>
      <c r="KKD41" s="899"/>
      <c r="KKE41" s="899"/>
      <c r="KKF41" s="899"/>
      <c r="KKG41" s="899"/>
      <c r="KKH41" s="899"/>
      <c r="KKI41" s="899"/>
      <c r="KKJ41" s="899"/>
      <c r="KKK41" s="899"/>
      <c r="KKL41" s="899"/>
      <c r="KKM41" s="899"/>
      <c r="KKN41" s="899"/>
      <c r="KKO41" s="899"/>
      <c r="KKP41" s="899"/>
      <c r="KKQ41" s="899"/>
      <c r="KKR41" s="899"/>
      <c r="KKS41" s="899"/>
      <c r="KKT41" s="899"/>
      <c r="KKU41" s="899"/>
      <c r="KKV41" s="899"/>
      <c r="KKW41" s="899"/>
      <c r="KKX41" s="899"/>
      <c r="KKY41" s="899"/>
      <c r="KKZ41" s="899"/>
      <c r="KLA41" s="899"/>
      <c r="KLB41" s="899"/>
      <c r="KLC41" s="899"/>
      <c r="KLD41" s="899"/>
      <c r="KLE41" s="899"/>
      <c r="KLF41" s="899"/>
      <c r="KLG41" s="899"/>
      <c r="KLH41" s="899"/>
      <c r="KLI41" s="899"/>
      <c r="KLJ41" s="899"/>
      <c r="KLK41" s="899"/>
      <c r="KLL41" s="899"/>
      <c r="KLM41" s="899"/>
      <c r="KLN41" s="899"/>
      <c r="KLO41" s="899"/>
      <c r="KLP41" s="899"/>
      <c r="KLQ41" s="899"/>
      <c r="KLR41" s="899"/>
      <c r="KLS41" s="899"/>
      <c r="KLT41" s="899"/>
      <c r="KLU41" s="899"/>
      <c r="KLV41" s="899"/>
      <c r="KLW41" s="899"/>
      <c r="KLX41" s="899"/>
      <c r="KLY41" s="899"/>
      <c r="KLZ41" s="899"/>
      <c r="KMA41" s="899"/>
      <c r="KMB41" s="899"/>
      <c r="KMC41" s="899"/>
      <c r="KMD41" s="899"/>
      <c r="KME41" s="899"/>
      <c r="KMF41" s="899"/>
      <c r="KMG41" s="899"/>
      <c r="KMH41" s="899"/>
      <c r="KMI41" s="899"/>
      <c r="KMJ41" s="899"/>
      <c r="KMK41" s="899"/>
      <c r="KML41" s="899"/>
      <c r="KMM41" s="899"/>
      <c r="KMN41" s="899"/>
      <c r="KMO41" s="899"/>
      <c r="KMP41" s="899"/>
      <c r="KMQ41" s="899"/>
      <c r="KMR41" s="899"/>
      <c r="KMS41" s="899"/>
      <c r="KMT41" s="899"/>
      <c r="KMU41" s="899"/>
      <c r="KMV41" s="899"/>
      <c r="KMW41" s="899"/>
      <c r="KMX41" s="899"/>
      <c r="KMY41" s="899"/>
      <c r="KMZ41" s="899"/>
      <c r="KNA41" s="899"/>
      <c r="KNB41" s="899"/>
      <c r="KNC41" s="899"/>
      <c r="KND41" s="899"/>
      <c r="KNE41" s="899"/>
      <c r="KNF41" s="899"/>
      <c r="KNG41" s="899"/>
      <c r="KNH41" s="899"/>
      <c r="KNI41" s="899"/>
      <c r="KNJ41" s="899"/>
      <c r="KNK41" s="899"/>
      <c r="KNL41" s="899"/>
      <c r="KNM41" s="899"/>
      <c r="KNN41" s="899"/>
      <c r="KNO41" s="899"/>
      <c r="KNP41" s="899"/>
      <c r="KNQ41" s="899"/>
      <c r="KNR41" s="899"/>
      <c r="KNS41" s="899"/>
      <c r="KNT41" s="899"/>
      <c r="KNU41" s="899"/>
      <c r="KNV41" s="899"/>
      <c r="KNW41" s="899"/>
      <c r="KNX41" s="899"/>
      <c r="KNY41" s="899"/>
      <c r="KNZ41" s="899"/>
      <c r="KOA41" s="899"/>
      <c r="KOB41" s="899"/>
      <c r="KOC41" s="899"/>
      <c r="KOD41" s="899"/>
      <c r="KOE41" s="899"/>
      <c r="KOF41" s="899"/>
      <c r="KOG41" s="899"/>
      <c r="KOH41" s="899"/>
      <c r="KOI41" s="899"/>
      <c r="KOJ41" s="899"/>
      <c r="KOK41" s="899"/>
      <c r="KOL41" s="899"/>
      <c r="KOM41" s="899"/>
      <c r="KON41" s="899"/>
      <c r="KOO41" s="899"/>
      <c r="KOP41" s="899"/>
      <c r="KOQ41" s="899"/>
      <c r="KOR41" s="899"/>
      <c r="KOS41" s="899"/>
      <c r="KOT41" s="899"/>
      <c r="KOU41" s="899"/>
      <c r="KOV41" s="899"/>
      <c r="KOW41" s="899"/>
      <c r="KOX41" s="899"/>
      <c r="KOY41" s="899"/>
      <c r="KOZ41" s="899"/>
      <c r="KPA41" s="899"/>
      <c r="KPB41" s="899"/>
      <c r="KPC41" s="899"/>
      <c r="KPD41" s="899"/>
      <c r="KPE41" s="899"/>
      <c r="KPF41" s="899"/>
      <c r="KPG41" s="899"/>
      <c r="KPH41" s="899"/>
      <c r="KPI41" s="899"/>
      <c r="KPJ41" s="899"/>
      <c r="KPK41" s="899"/>
      <c r="KPL41" s="899"/>
      <c r="KPM41" s="899"/>
      <c r="KPN41" s="899"/>
      <c r="KPO41" s="899"/>
      <c r="KPP41" s="899"/>
      <c r="KPQ41" s="899"/>
      <c r="KPR41" s="899"/>
      <c r="KPS41" s="899"/>
      <c r="KPT41" s="899"/>
      <c r="KPU41" s="899"/>
      <c r="KPV41" s="899"/>
      <c r="KPW41" s="899"/>
      <c r="KPX41" s="899"/>
      <c r="KPY41" s="899"/>
      <c r="KPZ41" s="899"/>
      <c r="KQA41" s="899"/>
      <c r="KQB41" s="899"/>
      <c r="KQC41" s="899"/>
      <c r="KQD41" s="899"/>
      <c r="KQE41" s="899"/>
      <c r="KQF41" s="899"/>
      <c r="KQG41" s="899"/>
      <c r="KQH41" s="899"/>
      <c r="KQI41" s="899"/>
      <c r="KQJ41" s="899"/>
      <c r="KQK41" s="899"/>
      <c r="KQL41" s="899"/>
      <c r="KQM41" s="899"/>
      <c r="KQN41" s="899"/>
      <c r="KQO41" s="899"/>
      <c r="KQP41" s="899"/>
      <c r="KQQ41" s="899"/>
      <c r="KQR41" s="899"/>
      <c r="KQS41" s="899"/>
      <c r="KQT41" s="899"/>
      <c r="KQU41" s="899"/>
      <c r="KQV41" s="899"/>
      <c r="KQW41" s="899"/>
      <c r="KQX41" s="899"/>
      <c r="KQY41" s="899"/>
      <c r="KQZ41" s="899"/>
      <c r="KRA41" s="899"/>
      <c r="KRB41" s="899"/>
      <c r="KRC41" s="899"/>
      <c r="KRD41" s="899"/>
      <c r="KRE41" s="899"/>
      <c r="KRF41" s="899"/>
      <c r="KRG41" s="899"/>
      <c r="KRH41" s="899"/>
      <c r="KRI41" s="899"/>
      <c r="KRJ41" s="899"/>
      <c r="KRK41" s="899"/>
      <c r="KRL41" s="899"/>
      <c r="KRM41" s="899"/>
      <c r="KRN41" s="899"/>
      <c r="KRO41" s="899"/>
      <c r="KRP41" s="899"/>
      <c r="KRQ41" s="899"/>
      <c r="KRR41" s="899"/>
      <c r="KRS41" s="899"/>
      <c r="KRT41" s="899"/>
      <c r="KRU41" s="899"/>
      <c r="KRV41" s="899"/>
      <c r="KRW41" s="899"/>
      <c r="KRX41" s="899"/>
      <c r="KRY41" s="899"/>
      <c r="KRZ41" s="899"/>
      <c r="KSA41" s="899"/>
      <c r="KSB41" s="899"/>
      <c r="KSC41" s="899"/>
      <c r="KSD41" s="899"/>
      <c r="KSE41" s="899"/>
      <c r="KSF41" s="899"/>
      <c r="KSG41" s="899"/>
      <c r="KSH41" s="899"/>
      <c r="KSI41" s="899"/>
      <c r="KSJ41" s="899"/>
      <c r="KSK41" s="899"/>
      <c r="KSL41" s="899"/>
      <c r="KSM41" s="899"/>
      <c r="KSN41" s="899"/>
      <c r="KSO41" s="899"/>
      <c r="KSP41" s="899"/>
      <c r="KSQ41" s="899"/>
      <c r="KSR41" s="899"/>
      <c r="KSS41" s="899"/>
      <c r="KST41" s="899"/>
      <c r="KSU41" s="899"/>
      <c r="KSV41" s="899"/>
      <c r="KSW41" s="899"/>
      <c r="KSX41" s="899"/>
      <c r="KSY41" s="899"/>
      <c r="KSZ41" s="899"/>
      <c r="KTA41" s="899"/>
      <c r="KTB41" s="899"/>
      <c r="KTC41" s="899"/>
      <c r="KTD41" s="899"/>
      <c r="KTE41" s="899"/>
      <c r="KTF41" s="899"/>
      <c r="KTG41" s="899"/>
      <c r="KTH41" s="899"/>
      <c r="KTI41" s="899"/>
      <c r="KTJ41" s="899"/>
      <c r="KTK41" s="899"/>
      <c r="KTL41" s="899"/>
      <c r="KTM41" s="899"/>
      <c r="KTN41" s="899"/>
      <c r="KTO41" s="899"/>
      <c r="KTP41" s="899"/>
      <c r="KTQ41" s="899"/>
      <c r="KTR41" s="899"/>
      <c r="KTS41" s="899"/>
      <c r="KTT41" s="899"/>
      <c r="KTU41" s="899"/>
      <c r="KTV41" s="899"/>
      <c r="KTW41" s="899"/>
      <c r="KTX41" s="899"/>
      <c r="KTY41" s="899"/>
      <c r="KTZ41" s="899"/>
      <c r="KUA41" s="899"/>
      <c r="KUB41" s="899"/>
      <c r="KUC41" s="899"/>
      <c r="KUD41" s="899"/>
      <c r="KUE41" s="899"/>
      <c r="KUF41" s="899"/>
      <c r="KUG41" s="899"/>
      <c r="KUH41" s="899"/>
      <c r="KUI41" s="899"/>
      <c r="KUJ41" s="899"/>
      <c r="KUK41" s="899"/>
      <c r="KUL41" s="899"/>
      <c r="KUM41" s="899"/>
      <c r="KUN41" s="899"/>
      <c r="KUO41" s="899"/>
      <c r="KUP41" s="899"/>
      <c r="KUQ41" s="899"/>
      <c r="KUR41" s="899"/>
      <c r="KUS41" s="899"/>
      <c r="KUT41" s="899"/>
      <c r="KUU41" s="899"/>
      <c r="KUV41" s="899"/>
      <c r="KUW41" s="899"/>
      <c r="KUX41" s="899"/>
      <c r="KUY41" s="899"/>
      <c r="KUZ41" s="899"/>
      <c r="KVA41" s="899"/>
      <c r="KVB41" s="899"/>
      <c r="KVC41" s="899"/>
      <c r="KVD41" s="899"/>
      <c r="KVE41" s="899"/>
      <c r="KVF41" s="899"/>
      <c r="KVG41" s="899"/>
      <c r="KVH41" s="899"/>
      <c r="KVI41" s="899"/>
      <c r="KVJ41" s="899"/>
      <c r="KVK41" s="899"/>
      <c r="KVL41" s="899"/>
      <c r="KVM41" s="899"/>
      <c r="KVN41" s="899"/>
      <c r="KVO41" s="899"/>
      <c r="KVP41" s="899"/>
      <c r="KVQ41" s="899"/>
      <c r="KVR41" s="899"/>
      <c r="KVS41" s="899"/>
      <c r="KVT41" s="899"/>
      <c r="KVU41" s="899"/>
      <c r="KVV41" s="899"/>
      <c r="KVW41" s="899"/>
      <c r="KVX41" s="899"/>
      <c r="KVY41" s="899"/>
      <c r="KVZ41" s="899"/>
      <c r="KWA41" s="899"/>
      <c r="KWB41" s="899"/>
      <c r="KWC41" s="899"/>
      <c r="KWD41" s="899"/>
      <c r="KWE41" s="899"/>
      <c r="KWF41" s="899"/>
      <c r="KWG41" s="899"/>
      <c r="KWH41" s="899"/>
      <c r="KWI41" s="899"/>
      <c r="KWJ41" s="899"/>
      <c r="KWK41" s="899"/>
      <c r="KWL41" s="899"/>
      <c r="KWM41" s="899"/>
      <c r="KWN41" s="899"/>
      <c r="KWO41" s="899"/>
      <c r="KWP41" s="899"/>
      <c r="KWQ41" s="899"/>
      <c r="KWR41" s="899"/>
      <c r="KWS41" s="899"/>
      <c r="KWT41" s="899"/>
      <c r="KWU41" s="899"/>
      <c r="KWV41" s="899"/>
      <c r="KWW41" s="899"/>
      <c r="KWX41" s="899"/>
      <c r="KWY41" s="899"/>
      <c r="KWZ41" s="899"/>
      <c r="KXA41" s="899"/>
      <c r="KXB41" s="899"/>
      <c r="KXC41" s="899"/>
      <c r="KXD41" s="899"/>
      <c r="KXE41" s="899"/>
      <c r="KXF41" s="899"/>
      <c r="KXG41" s="899"/>
      <c r="KXH41" s="899"/>
      <c r="KXI41" s="899"/>
      <c r="KXJ41" s="899"/>
      <c r="KXK41" s="899"/>
      <c r="KXL41" s="899"/>
      <c r="KXM41" s="899"/>
      <c r="KXN41" s="899"/>
      <c r="KXO41" s="899"/>
      <c r="KXP41" s="899"/>
      <c r="KXQ41" s="899"/>
      <c r="KXR41" s="899"/>
      <c r="KXS41" s="899"/>
      <c r="KXT41" s="899"/>
      <c r="KXU41" s="899"/>
      <c r="KXV41" s="899"/>
      <c r="KXW41" s="899"/>
      <c r="KXX41" s="899"/>
      <c r="KXY41" s="899"/>
      <c r="KXZ41" s="899"/>
      <c r="KYA41" s="899"/>
      <c r="KYB41" s="899"/>
      <c r="KYC41" s="899"/>
      <c r="KYD41" s="899"/>
      <c r="KYE41" s="899"/>
      <c r="KYF41" s="899"/>
      <c r="KYG41" s="899"/>
      <c r="KYH41" s="899"/>
      <c r="KYI41" s="899"/>
      <c r="KYJ41" s="899"/>
      <c r="KYK41" s="899"/>
      <c r="KYL41" s="899"/>
      <c r="KYM41" s="899"/>
      <c r="KYN41" s="899"/>
      <c r="KYO41" s="899"/>
      <c r="KYP41" s="899"/>
      <c r="KYQ41" s="899"/>
      <c r="KYR41" s="899"/>
      <c r="KYS41" s="899"/>
      <c r="KYT41" s="899"/>
      <c r="KYU41" s="899"/>
      <c r="KYV41" s="899"/>
      <c r="KYW41" s="899"/>
      <c r="KYX41" s="899"/>
      <c r="KYY41" s="899"/>
      <c r="KYZ41" s="899"/>
      <c r="KZA41" s="899"/>
      <c r="KZB41" s="899"/>
      <c r="KZC41" s="899"/>
      <c r="KZD41" s="899"/>
      <c r="KZE41" s="899"/>
      <c r="KZF41" s="899"/>
      <c r="KZG41" s="899"/>
      <c r="KZH41" s="899"/>
      <c r="KZI41" s="899"/>
      <c r="KZJ41" s="899"/>
      <c r="KZK41" s="899"/>
      <c r="KZL41" s="899"/>
      <c r="KZM41" s="899"/>
      <c r="KZN41" s="899"/>
      <c r="KZO41" s="899"/>
      <c r="KZP41" s="899"/>
      <c r="KZQ41" s="899"/>
      <c r="KZR41" s="899"/>
      <c r="KZS41" s="899"/>
      <c r="KZT41" s="899"/>
      <c r="KZU41" s="899"/>
      <c r="KZV41" s="899"/>
      <c r="KZW41" s="899"/>
      <c r="KZX41" s="899"/>
      <c r="KZY41" s="899"/>
      <c r="KZZ41" s="899"/>
      <c r="LAA41" s="899"/>
      <c r="LAB41" s="899"/>
      <c r="LAC41" s="899"/>
      <c r="LAD41" s="899"/>
      <c r="LAE41" s="899"/>
      <c r="LAF41" s="899"/>
      <c r="LAG41" s="899"/>
      <c r="LAH41" s="899"/>
      <c r="LAI41" s="899"/>
      <c r="LAJ41" s="899"/>
      <c r="LAK41" s="899"/>
      <c r="LAL41" s="899"/>
      <c r="LAM41" s="899"/>
      <c r="LAN41" s="899"/>
      <c r="LAO41" s="899"/>
      <c r="LAP41" s="899"/>
      <c r="LAQ41" s="899"/>
      <c r="LAR41" s="899"/>
      <c r="LAS41" s="899"/>
      <c r="LAT41" s="899"/>
      <c r="LAU41" s="899"/>
      <c r="LAV41" s="899"/>
      <c r="LAW41" s="899"/>
      <c r="LAX41" s="899"/>
      <c r="LAY41" s="899"/>
      <c r="LAZ41" s="899"/>
      <c r="LBA41" s="899"/>
      <c r="LBB41" s="899"/>
      <c r="LBC41" s="899"/>
      <c r="LBD41" s="899"/>
      <c r="LBE41" s="899"/>
      <c r="LBF41" s="899"/>
      <c r="LBG41" s="899"/>
      <c r="LBH41" s="899"/>
      <c r="LBI41" s="899"/>
      <c r="LBJ41" s="899"/>
      <c r="LBK41" s="899"/>
      <c r="LBL41" s="899"/>
      <c r="LBM41" s="899"/>
      <c r="LBN41" s="899"/>
      <c r="LBO41" s="899"/>
      <c r="LBP41" s="899"/>
      <c r="LBQ41" s="899"/>
      <c r="LBR41" s="899"/>
      <c r="LBS41" s="899"/>
      <c r="LBT41" s="899"/>
      <c r="LBU41" s="899"/>
      <c r="LBV41" s="899"/>
      <c r="LBW41" s="899"/>
      <c r="LBX41" s="899"/>
      <c r="LBY41" s="899"/>
      <c r="LBZ41" s="899"/>
      <c r="LCA41" s="899"/>
      <c r="LCB41" s="899"/>
      <c r="LCC41" s="899"/>
      <c r="LCD41" s="899"/>
      <c r="LCE41" s="899"/>
      <c r="LCF41" s="899"/>
      <c r="LCG41" s="899"/>
      <c r="LCH41" s="899"/>
      <c r="LCI41" s="899"/>
      <c r="LCJ41" s="899"/>
      <c r="LCK41" s="899"/>
      <c r="LCL41" s="899"/>
      <c r="LCM41" s="899"/>
      <c r="LCN41" s="899"/>
      <c r="LCO41" s="899"/>
      <c r="LCP41" s="899"/>
      <c r="LCQ41" s="899"/>
      <c r="LCR41" s="899"/>
      <c r="LCS41" s="899"/>
      <c r="LCT41" s="899"/>
      <c r="LCU41" s="899"/>
      <c r="LCV41" s="899"/>
      <c r="LCW41" s="899"/>
      <c r="LCX41" s="899"/>
      <c r="LCY41" s="899"/>
      <c r="LCZ41" s="899"/>
      <c r="LDA41" s="899"/>
      <c r="LDB41" s="899"/>
      <c r="LDC41" s="899"/>
      <c r="LDD41" s="899"/>
      <c r="LDE41" s="899"/>
      <c r="LDF41" s="899"/>
      <c r="LDG41" s="899"/>
      <c r="LDH41" s="899"/>
      <c r="LDI41" s="899"/>
      <c r="LDJ41" s="899"/>
      <c r="LDK41" s="899"/>
      <c r="LDL41" s="899"/>
      <c r="LDM41" s="899"/>
      <c r="LDN41" s="899"/>
      <c r="LDO41" s="899"/>
      <c r="LDP41" s="899"/>
      <c r="LDQ41" s="899"/>
      <c r="LDR41" s="899"/>
      <c r="LDS41" s="899"/>
      <c r="LDT41" s="899"/>
      <c r="LDU41" s="899"/>
      <c r="LDV41" s="899"/>
      <c r="LDW41" s="899"/>
      <c r="LDX41" s="899"/>
      <c r="LDY41" s="899"/>
      <c r="LDZ41" s="899"/>
      <c r="LEA41" s="899"/>
      <c r="LEB41" s="899"/>
      <c r="LEC41" s="899"/>
      <c r="LED41" s="899"/>
      <c r="LEE41" s="899"/>
      <c r="LEF41" s="899"/>
      <c r="LEG41" s="899"/>
      <c r="LEH41" s="899"/>
      <c r="LEI41" s="899"/>
      <c r="LEJ41" s="899"/>
      <c r="LEK41" s="899"/>
      <c r="LEL41" s="899"/>
      <c r="LEM41" s="899"/>
      <c r="LEN41" s="899"/>
      <c r="LEO41" s="899"/>
      <c r="LEP41" s="899"/>
      <c r="LEQ41" s="899"/>
      <c r="LER41" s="899"/>
      <c r="LES41" s="899"/>
      <c r="LET41" s="899"/>
      <c r="LEU41" s="899"/>
      <c r="LEV41" s="899"/>
      <c r="LEW41" s="899"/>
      <c r="LEX41" s="899"/>
      <c r="LEY41" s="899"/>
      <c r="LEZ41" s="899"/>
      <c r="LFA41" s="899"/>
      <c r="LFB41" s="899"/>
      <c r="LFC41" s="899"/>
      <c r="LFD41" s="899"/>
      <c r="LFE41" s="899"/>
      <c r="LFF41" s="899"/>
      <c r="LFG41" s="899"/>
      <c r="LFH41" s="899"/>
      <c r="LFI41" s="899"/>
      <c r="LFJ41" s="899"/>
      <c r="LFK41" s="899"/>
      <c r="LFL41" s="899"/>
      <c r="LFM41" s="899"/>
      <c r="LFN41" s="899"/>
      <c r="LFO41" s="899"/>
      <c r="LFP41" s="899"/>
      <c r="LFQ41" s="899"/>
      <c r="LFR41" s="899"/>
      <c r="LFS41" s="899"/>
      <c r="LFT41" s="899"/>
      <c r="LFU41" s="899"/>
      <c r="LFV41" s="899"/>
      <c r="LFW41" s="899"/>
      <c r="LFX41" s="899"/>
      <c r="LFY41" s="899"/>
      <c r="LFZ41" s="899"/>
      <c r="LGA41" s="899"/>
      <c r="LGB41" s="899"/>
      <c r="LGC41" s="899"/>
      <c r="LGD41" s="899"/>
      <c r="LGE41" s="899"/>
      <c r="LGF41" s="899"/>
      <c r="LGG41" s="899"/>
      <c r="LGH41" s="899"/>
      <c r="LGI41" s="899"/>
      <c r="LGJ41" s="899"/>
      <c r="LGK41" s="899"/>
      <c r="LGL41" s="899"/>
      <c r="LGM41" s="899"/>
      <c r="LGN41" s="899"/>
      <c r="LGO41" s="899"/>
      <c r="LGP41" s="899"/>
      <c r="LGQ41" s="899"/>
      <c r="LGR41" s="899"/>
      <c r="LGS41" s="899"/>
      <c r="LGT41" s="899"/>
      <c r="LGU41" s="899"/>
      <c r="LGV41" s="899"/>
      <c r="LGW41" s="899"/>
      <c r="LGX41" s="899"/>
      <c r="LGY41" s="899"/>
      <c r="LGZ41" s="899"/>
      <c r="LHA41" s="899"/>
      <c r="LHB41" s="899"/>
      <c r="LHC41" s="899"/>
      <c r="LHD41" s="899"/>
      <c r="LHE41" s="899"/>
      <c r="LHF41" s="899"/>
      <c r="LHG41" s="899"/>
      <c r="LHH41" s="899"/>
      <c r="LHI41" s="899"/>
      <c r="LHJ41" s="899"/>
      <c r="LHK41" s="899"/>
      <c r="LHL41" s="899"/>
      <c r="LHM41" s="899"/>
      <c r="LHN41" s="899"/>
      <c r="LHO41" s="899"/>
      <c r="LHP41" s="899"/>
      <c r="LHQ41" s="899"/>
      <c r="LHR41" s="899"/>
      <c r="LHS41" s="899"/>
      <c r="LHT41" s="899"/>
      <c r="LHU41" s="899"/>
      <c r="LHV41" s="899"/>
      <c r="LHW41" s="899"/>
      <c r="LHX41" s="899"/>
      <c r="LHY41" s="899"/>
      <c r="LHZ41" s="899"/>
      <c r="LIA41" s="899"/>
      <c r="LIB41" s="899"/>
      <c r="LIC41" s="899"/>
      <c r="LID41" s="899"/>
      <c r="LIE41" s="899"/>
      <c r="LIF41" s="899"/>
      <c r="LIG41" s="899"/>
      <c r="LIH41" s="899"/>
      <c r="LII41" s="899"/>
      <c r="LIJ41" s="899"/>
      <c r="LIK41" s="899"/>
      <c r="LIL41" s="899"/>
      <c r="LIM41" s="899"/>
      <c r="LIN41" s="899"/>
      <c r="LIO41" s="899"/>
      <c r="LIP41" s="899"/>
      <c r="LIQ41" s="899"/>
      <c r="LIR41" s="899"/>
      <c r="LIS41" s="899"/>
      <c r="LIT41" s="899"/>
      <c r="LIU41" s="899"/>
      <c r="LIV41" s="899"/>
      <c r="LIW41" s="899"/>
      <c r="LIX41" s="899"/>
      <c r="LIY41" s="899"/>
      <c r="LIZ41" s="899"/>
      <c r="LJA41" s="899"/>
      <c r="LJB41" s="899"/>
      <c r="LJC41" s="899"/>
      <c r="LJD41" s="899"/>
      <c r="LJE41" s="899"/>
      <c r="LJF41" s="899"/>
      <c r="LJG41" s="899"/>
      <c r="LJH41" s="899"/>
      <c r="LJI41" s="899"/>
      <c r="LJJ41" s="899"/>
      <c r="LJK41" s="899"/>
      <c r="LJL41" s="899"/>
      <c r="LJM41" s="899"/>
      <c r="LJN41" s="899"/>
      <c r="LJO41" s="899"/>
      <c r="LJP41" s="899"/>
      <c r="LJQ41" s="899"/>
      <c r="LJR41" s="899"/>
      <c r="LJS41" s="899"/>
      <c r="LJT41" s="899"/>
      <c r="LJU41" s="899"/>
      <c r="LJV41" s="899"/>
      <c r="LJW41" s="899"/>
      <c r="LJX41" s="899"/>
      <c r="LJY41" s="899"/>
      <c r="LJZ41" s="899"/>
      <c r="LKA41" s="899"/>
      <c r="LKB41" s="899"/>
      <c r="LKC41" s="899"/>
      <c r="LKD41" s="899"/>
      <c r="LKE41" s="899"/>
      <c r="LKF41" s="899"/>
      <c r="LKG41" s="899"/>
      <c r="LKH41" s="899"/>
      <c r="LKI41" s="899"/>
      <c r="LKJ41" s="899"/>
      <c r="LKK41" s="899"/>
      <c r="LKL41" s="899"/>
      <c r="LKM41" s="899"/>
      <c r="LKN41" s="899"/>
      <c r="LKO41" s="899"/>
      <c r="LKP41" s="899"/>
      <c r="LKQ41" s="899"/>
      <c r="LKR41" s="899"/>
      <c r="LKS41" s="899"/>
      <c r="LKT41" s="899"/>
      <c r="LKU41" s="899"/>
      <c r="LKV41" s="899"/>
      <c r="LKW41" s="899"/>
      <c r="LKX41" s="899"/>
      <c r="LKY41" s="899"/>
      <c r="LKZ41" s="899"/>
      <c r="LLA41" s="899"/>
      <c r="LLB41" s="899"/>
      <c r="LLC41" s="899"/>
      <c r="LLD41" s="899"/>
      <c r="LLE41" s="899"/>
      <c r="LLF41" s="899"/>
      <c r="LLG41" s="899"/>
      <c r="LLH41" s="899"/>
      <c r="LLI41" s="899"/>
      <c r="LLJ41" s="899"/>
      <c r="LLK41" s="899"/>
      <c r="LLL41" s="899"/>
      <c r="LLM41" s="899"/>
      <c r="LLN41" s="899"/>
      <c r="LLO41" s="899"/>
      <c r="LLP41" s="899"/>
      <c r="LLQ41" s="899"/>
      <c r="LLR41" s="899"/>
      <c r="LLS41" s="899"/>
      <c r="LLT41" s="899"/>
      <c r="LLU41" s="899"/>
      <c r="LLV41" s="899"/>
      <c r="LLW41" s="899"/>
      <c r="LLX41" s="899"/>
      <c r="LLY41" s="899"/>
      <c r="LLZ41" s="899"/>
      <c r="LMA41" s="899"/>
      <c r="LMB41" s="899"/>
      <c r="LMC41" s="899"/>
      <c r="LMD41" s="899"/>
      <c r="LME41" s="899"/>
      <c r="LMF41" s="899"/>
      <c r="LMG41" s="899"/>
      <c r="LMH41" s="899"/>
      <c r="LMI41" s="899"/>
      <c r="LMJ41" s="899"/>
      <c r="LMK41" s="899"/>
      <c r="LML41" s="899"/>
      <c r="LMM41" s="899"/>
      <c r="LMN41" s="899"/>
      <c r="LMO41" s="899"/>
      <c r="LMP41" s="899"/>
      <c r="LMQ41" s="899"/>
      <c r="LMR41" s="899"/>
      <c r="LMS41" s="899"/>
      <c r="LMT41" s="899"/>
      <c r="LMU41" s="899"/>
      <c r="LMV41" s="899"/>
      <c r="LMW41" s="899"/>
      <c r="LMX41" s="899"/>
      <c r="LMY41" s="899"/>
      <c r="LMZ41" s="899"/>
      <c r="LNA41" s="899"/>
      <c r="LNB41" s="899"/>
      <c r="LNC41" s="899"/>
      <c r="LND41" s="899"/>
      <c r="LNE41" s="899"/>
      <c r="LNF41" s="899"/>
      <c r="LNG41" s="899"/>
      <c r="LNH41" s="899"/>
      <c r="LNI41" s="899"/>
      <c r="LNJ41" s="899"/>
      <c r="LNK41" s="899"/>
      <c r="LNL41" s="899"/>
      <c r="LNM41" s="899"/>
      <c r="LNN41" s="899"/>
      <c r="LNO41" s="899"/>
      <c r="LNP41" s="899"/>
      <c r="LNQ41" s="899"/>
      <c r="LNR41" s="899"/>
      <c r="LNS41" s="899"/>
      <c r="LNT41" s="899"/>
      <c r="LNU41" s="899"/>
      <c r="LNV41" s="899"/>
      <c r="LNW41" s="899"/>
      <c r="LNX41" s="899"/>
      <c r="LNY41" s="899"/>
      <c r="LNZ41" s="899"/>
      <c r="LOA41" s="899"/>
      <c r="LOB41" s="899"/>
      <c r="LOC41" s="899"/>
      <c r="LOD41" s="899"/>
      <c r="LOE41" s="899"/>
      <c r="LOF41" s="899"/>
      <c r="LOG41" s="899"/>
      <c r="LOH41" s="899"/>
      <c r="LOI41" s="899"/>
      <c r="LOJ41" s="899"/>
      <c r="LOK41" s="899"/>
      <c r="LOL41" s="899"/>
      <c r="LOM41" s="899"/>
      <c r="LON41" s="899"/>
      <c r="LOO41" s="899"/>
      <c r="LOP41" s="899"/>
      <c r="LOQ41" s="899"/>
      <c r="LOR41" s="899"/>
      <c r="LOS41" s="899"/>
      <c r="LOT41" s="899"/>
      <c r="LOU41" s="899"/>
      <c r="LOV41" s="899"/>
      <c r="LOW41" s="899"/>
      <c r="LOX41" s="899"/>
      <c r="LOY41" s="899"/>
      <c r="LOZ41" s="899"/>
      <c r="LPA41" s="899"/>
      <c r="LPB41" s="899"/>
      <c r="LPC41" s="899"/>
      <c r="LPD41" s="899"/>
      <c r="LPE41" s="899"/>
      <c r="LPF41" s="899"/>
      <c r="LPG41" s="899"/>
      <c r="LPH41" s="899"/>
      <c r="LPI41" s="899"/>
      <c r="LPJ41" s="899"/>
      <c r="LPK41" s="899"/>
      <c r="LPL41" s="899"/>
      <c r="LPM41" s="899"/>
      <c r="LPN41" s="899"/>
      <c r="LPO41" s="899"/>
      <c r="LPP41" s="899"/>
      <c r="LPQ41" s="899"/>
      <c r="LPR41" s="899"/>
      <c r="LPS41" s="899"/>
      <c r="LPT41" s="899"/>
      <c r="LPU41" s="899"/>
      <c r="LPV41" s="899"/>
      <c r="LPW41" s="899"/>
      <c r="LPX41" s="899"/>
      <c r="LPY41" s="899"/>
      <c r="LPZ41" s="899"/>
      <c r="LQA41" s="899"/>
      <c r="LQB41" s="899"/>
      <c r="LQC41" s="899"/>
      <c r="LQD41" s="899"/>
      <c r="LQE41" s="899"/>
      <c r="LQF41" s="899"/>
      <c r="LQG41" s="899"/>
      <c r="LQH41" s="899"/>
      <c r="LQI41" s="899"/>
      <c r="LQJ41" s="899"/>
      <c r="LQK41" s="899"/>
      <c r="LQL41" s="899"/>
      <c r="LQM41" s="899"/>
      <c r="LQN41" s="899"/>
      <c r="LQO41" s="899"/>
      <c r="LQP41" s="899"/>
      <c r="LQQ41" s="899"/>
      <c r="LQR41" s="899"/>
      <c r="LQS41" s="899"/>
      <c r="LQT41" s="899"/>
      <c r="LQU41" s="899"/>
      <c r="LQV41" s="899"/>
      <c r="LQW41" s="899"/>
      <c r="LQX41" s="899"/>
      <c r="LQY41" s="899"/>
      <c r="LQZ41" s="899"/>
      <c r="LRA41" s="899"/>
      <c r="LRB41" s="899"/>
      <c r="LRC41" s="899"/>
      <c r="LRD41" s="899"/>
      <c r="LRE41" s="899"/>
      <c r="LRF41" s="899"/>
      <c r="LRG41" s="899"/>
      <c r="LRH41" s="899"/>
      <c r="LRI41" s="899"/>
      <c r="LRJ41" s="899"/>
      <c r="LRK41" s="899"/>
      <c r="LRL41" s="899"/>
      <c r="LRM41" s="899"/>
      <c r="LRN41" s="899"/>
      <c r="LRO41" s="899"/>
      <c r="LRP41" s="899"/>
      <c r="LRQ41" s="899"/>
      <c r="LRR41" s="899"/>
      <c r="LRS41" s="899"/>
      <c r="LRT41" s="899"/>
      <c r="LRU41" s="899"/>
      <c r="LRV41" s="899"/>
      <c r="LRW41" s="899"/>
      <c r="LRX41" s="899"/>
      <c r="LRY41" s="899"/>
      <c r="LRZ41" s="899"/>
      <c r="LSA41" s="899"/>
      <c r="LSB41" s="899"/>
      <c r="LSC41" s="899"/>
      <c r="LSD41" s="899"/>
      <c r="LSE41" s="899"/>
      <c r="LSF41" s="899"/>
      <c r="LSG41" s="899"/>
      <c r="LSH41" s="899"/>
      <c r="LSI41" s="899"/>
      <c r="LSJ41" s="899"/>
      <c r="LSK41" s="899"/>
      <c r="LSL41" s="899"/>
      <c r="LSM41" s="899"/>
      <c r="LSN41" s="899"/>
      <c r="LSO41" s="899"/>
      <c r="LSP41" s="899"/>
      <c r="LSQ41" s="899"/>
      <c r="LSR41" s="899"/>
      <c r="LSS41" s="899"/>
      <c r="LST41" s="899"/>
      <c r="LSU41" s="899"/>
      <c r="LSV41" s="899"/>
      <c r="LSW41" s="899"/>
      <c r="LSX41" s="899"/>
      <c r="LSY41" s="899"/>
      <c r="LSZ41" s="899"/>
      <c r="LTA41" s="899"/>
      <c r="LTB41" s="899"/>
      <c r="LTC41" s="899"/>
      <c r="LTD41" s="899"/>
      <c r="LTE41" s="899"/>
      <c r="LTF41" s="899"/>
      <c r="LTG41" s="899"/>
      <c r="LTH41" s="899"/>
      <c r="LTI41" s="899"/>
      <c r="LTJ41" s="899"/>
      <c r="LTK41" s="899"/>
      <c r="LTL41" s="899"/>
      <c r="LTM41" s="899"/>
      <c r="LTN41" s="899"/>
      <c r="LTO41" s="899"/>
      <c r="LTP41" s="899"/>
      <c r="LTQ41" s="899"/>
      <c r="LTR41" s="899"/>
      <c r="LTS41" s="899"/>
      <c r="LTT41" s="899"/>
      <c r="LTU41" s="899"/>
      <c r="LTV41" s="899"/>
      <c r="LTW41" s="899"/>
      <c r="LTX41" s="899"/>
      <c r="LTY41" s="899"/>
      <c r="LTZ41" s="899"/>
      <c r="LUA41" s="899"/>
      <c r="LUB41" s="899"/>
      <c r="LUC41" s="899"/>
      <c r="LUD41" s="899"/>
      <c r="LUE41" s="899"/>
      <c r="LUF41" s="899"/>
      <c r="LUG41" s="899"/>
      <c r="LUH41" s="899"/>
      <c r="LUI41" s="899"/>
      <c r="LUJ41" s="899"/>
      <c r="LUK41" s="899"/>
      <c r="LUL41" s="899"/>
      <c r="LUM41" s="899"/>
      <c r="LUN41" s="899"/>
      <c r="LUO41" s="899"/>
      <c r="LUP41" s="899"/>
      <c r="LUQ41" s="899"/>
      <c r="LUR41" s="899"/>
      <c r="LUS41" s="899"/>
      <c r="LUT41" s="899"/>
      <c r="LUU41" s="899"/>
      <c r="LUV41" s="899"/>
      <c r="LUW41" s="899"/>
      <c r="LUX41" s="899"/>
      <c r="LUY41" s="899"/>
      <c r="LUZ41" s="899"/>
      <c r="LVA41" s="899"/>
      <c r="LVB41" s="899"/>
      <c r="LVC41" s="899"/>
      <c r="LVD41" s="899"/>
      <c r="LVE41" s="899"/>
      <c r="LVF41" s="899"/>
      <c r="LVG41" s="899"/>
      <c r="LVH41" s="899"/>
      <c r="LVI41" s="899"/>
      <c r="LVJ41" s="899"/>
      <c r="LVK41" s="899"/>
      <c r="LVL41" s="899"/>
      <c r="LVM41" s="899"/>
      <c r="LVN41" s="899"/>
      <c r="LVO41" s="899"/>
      <c r="LVP41" s="899"/>
      <c r="LVQ41" s="899"/>
      <c r="LVR41" s="899"/>
      <c r="LVS41" s="899"/>
      <c r="LVT41" s="899"/>
      <c r="LVU41" s="899"/>
      <c r="LVV41" s="899"/>
      <c r="LVW41" s="899"/>
      <c r="LVX41" s="899"/>
      <c r="LVY41" s="899"/>
      <c r="LVZ41" s="899"/>
      <c r="LWA41" s="899"/>
      <c r="LWB41" s="899"/>
      <c r="LWC41" s="899"/>
      <c r="LWD41" s="899"/>
      <c r="LWE41" s="899"/>
      <c r="LWF41" s="899"/>
      <c r="LWG41" s="899"/>
      <c r="LWH41" s="899"/>
      <c r="LWI41" s="899"/>
      <c r="LWJ41" s="899"/>
      <c r="LWK41" s="899"/>
      <c r="LWL41" s="899"/>
      <c r="LWM41" s="899"/>
      <c r="LWN41" s="899"/>
      <c r="LWO41" s="899"/>
      <c r="LWP41" s="899"/>
      <c r="LWQ41" s="899"/>
      <c r="LWR41" s="899"/>
      <c r="LWS41" s="899"/>
      <c r="LWT41" s="899"/>
      <c r="LWU41" s="899"/>
      <c r="LWV41" s="899"/>
      <c r="LWW41" s="899"/>
      <c r="LWX41" s="899"/>
      <c r="LWY41" s="899"/>
      <c r="LWZ41" s="899"/>
      <c r="LXA41" s="899"/>
      <c r="LXB41" s="899"/>
      <c r="LXC41" s="899"/>
      <c r="LXD41" s="899"/>
      <c r="LXE41" s="899"/>
      <c r="LXF41" s="899"/>
      <c r="LXG41" s="899"/>
      <c r="LXH41" s="899"/>
      <c r="LXI41" s="899"/>
      <c r="LXJ41" s="899"/>
      <c r="LXK41" s="899"/>
      <c r="LXL41" s="899"/>
      <c r="LXM41" s="899"/>
      <c r="LXN41" s="899"/>
      <c r="LXO41" s="899"/>
      <c r="LXP41" s="899"/>
      <c r="LXQ41" s="899"/>
      <c r="LXR41" s="899"/>
      <c r="LXS41" s="899"/>
      <c r="LXT41" s="899"/>
      <c r="LXU41" s="899"/>
      <c r="LXV41" s="899"/>
      <c r="LXW41" s="899"/>
      <c r="LXX41" s="899"/>
      <c r="LXY41" s="899"/>
      <c r="LXZ41" s="899"/>
      <c r="LYA41" s="899"/>
      <c r="LYB41" s="899"/>
      <c r="LYC41" s="899"/>
      <c r="LYD41" s="899"/>
      <c r="LYE41" s="899"/>
      <c r="LYF41" s="899"/>
      <c r="LYG41" s="899"/>
      <c r="LYH41" s="899"/>
      <c r="LYI41" s="899"/>
      <c r="LYJ41" s="899"/>
      <c r="LYK41" s="899"/>
      <c r="LYL41" s="899"/>
      <c r="LYM41" s="899"/>
      <c r="LYN41" s="899"/>
      <c r="LYO41" s="899"/>
      <c r="LYP41" s="899"/>
      <c r="LYQ41" s="899"/>
      <c r="LYR41" s="899"/>
      <c r="LYS41" s="899"/>
      <c r="LYT41" s="899"/>
      <c r="LYU41" s="899"/>
      <c r="LYV41" s="899"/>
      <c r="LYW41" s="899"/>
      <c r="LYX41" s="899"/>
      <c r="LYY41" s="899"/>
      <c r="LYZ41" s="899"/>
      <c r="LZA41" s="899"/>
      <c r="LZB41" s="899"/>
      <c r="LZC41" s="899"/>
      <c r="LZD41" s="899"/>
      <c r="LZE41" s="899"/>
      <c r="LZF41" s="899"/>
      <c r="LZG41" s="899"/>
      <c r="LZH41" s="899"/>
      <c r="LZI41" s="899"/>
      <c r="LZJ41" s="899"/>
      <c r="LZK41" s="899"/>
      <c r="LZL41" s="899"/>
      <c r="LZM41" s="899"/>
      <c r="LZN41" s="899"/>
      <c r="LZO41" s="899"/>
      <c r="LZP41" s="899"/>
      <c r="LZQ41" s="899"/>
      <c r="LZR41" s="899"/>
      <c r="LZS41" s="899"/>
      <c r="LZT41" s="899"/>
      <c r="LZU41" s="899"/>
      <c r="LZV41" s="899"/>
      <c r="LZW41" s="899"/>
      <c r="LZX41" s="899"/>
      <c r="LZY41" s="899"/>
      <c r="LZZ41" s="899"/>
      <c r="MAA41" s="899"/>
      <c r="MAB41" s="899"/>
      <c r="MAC41" s="899"/>
      <c r="MAD41" s="899"/>
      <c r="MAE41" s="899"/>
      <c r="MAF41" s="899"/>
      <c r="MAG41" s="899"/>
      <c r="MAH41" s="899"/>
      <c r="MAI41" s="899"/>
      <c r="MAJ41" s="899"/>
      <c r="MAK41" s="899"/>
      <c r="MAL41" s="899"/>
      <c r="MAM41" s="899"/>
      <c r="MAN41" s="899"/>
      <c r="MAO41" s="899"/>
      <c r="MAP41" s="899"/>
      <c r="MAQ41" s="899"/>
      <c r="MAR41" s="899"/>
      <c r="MAS41" s="899"/>
      <c r="MAT41" s="899"/>
      <c r="MAU41" s="899"/>
      <c r="MAV41" s="899"/>
      <c r="MAW41" s="899"/>
      <c r="MAX41" s="899"/>
      <c r="MAY41" s="899"/>
      <c r="MAZ41" s="899"/>
      <c r="MBA41" s="899"/>
      <c r="MBB41" s="899"/>
      <c r="MBC41" s="899"/>
      <c r="MBD41" s="899"/>
      <c r="MBE41" s="899"/>
      <c r="MBF41" s="899"/>
      <c r="MBG41" s="899"/>
      <c r="MBH41" s="899"/>
      <c r="MBI41" s="899"/>
      <c r="MBJ41" s="899"/>
      <c r="MBK41" s="899"/>
      <c r="MBL41" s="899"/>
      <c r="MBM41" s="899"/>
      <c r="MBN41" s="899"/>
      <c r="MBO41" s="899"/>
      <c r="MBP41" s="899"/>
      <c r="MBQ41" s="899"/>
      <c r="MBR41" s="899"/>
      <c r="MBS41" s="899"/>
      <c r="MBT41" s="899"/>
      <c r="MBU41" s="899"/>
      <c r="MBV41" s="899"/>
      <c r="MBW41" s="899"/>
      <c r="MBX41" s="899"/>
      <c r="MBY41" s="899"/>
      <c r="MBZ41" s="899"/>
      <c r="MCA41" s="899"/>
      <c r="MCB41" s="899"/>
      <c r="MCC41" s="899"/>
      <c r="MCD41" s="899"/>
      <c r="MCE41" s="899"/>
      <c r="MCF41" s="899"/>
      <c r="MCG41" s="899"/>
      <c r="MCH41" s="899"/>
      <c r="MCI41" s="899"/>
      <c r="MCJ41" s="899"/>
      <c r="MCK41" s="899"/>
      <c r="MCL41" s="899"/>
      <c r="MCM41" s="899"/>
      <c r="MCN41" s="899"/>
      <c r="MCO41" s="899"/>
      <c r="MCP41" s="899"/>
      <c r="MCQ41" s="899"/>
      <c r="MCR41" s="899"/>
      <c r="MCS41" s="899"/>
      <c r="MCT41" s="899"/>
      <c r="MCU41" s="899"/>
      <c r="MCV41" s="899"/>
      <c r="MCW41" s="899"/>
      <c r="MCX41" s="899"/>
      <c r="MCY41" s="899"/>
      <c r="MCZ41" s="899"/>
      <c r="MDA41" s="899"/>
      <c r="MDB41" s="899"/>
      <c r="MDC41" s="899"/>
      <c r="MDD41" s="899"/>
      <c r="MDE41" s="899"/>
      <c r="MDF41" s="899"/>
      <c r="MDG41" s="899"/>
      <c r="MDH41" s="899"/>
      <c r="MDI41" s="899"/>
      <c r="MDJ41" s="899"/>
      <c r="MDK41" s="899"/>
      <c r="MDL41" s="899"/>
      <c r="MDM41" s="899"/>
      <c r="MDN41" s="899"/>
      <c r="MDO41" s="899"/>
      <c r="MDP41" s="899"/>
      <c r="MDQ41" s="899"/>
      <c r="MDR41" s="899"/>
      <c r="MDS41" s="899"/>
      <c r="MDT41" s="899"/>
      <c r="MDU41" s="899"/>
      <c r="MDV41" s="899"/>
      <c r="MDW41" s="899"/>
      <c r="MDX41" s="899"/>
      <c r="MDY41" s="899"/>
      <c r="MDZ41" s="899"/>
      <c r="MEA41" s="899"/>
      <c r="MEB41" s="899"/>
      <c r="MEC41" s="899"/>
      <c r="MED41" s="899"/>
      <c r="MEE41" s="899"/>
      <c r="MEF41" s="899"/>
      <c r="MEG41" s="899"/>
      <c r="MEH41" s="899"/>
      <c r="MEI41" s="899"/>
      <c r="MEJ41" s="899"/>
      <c r="MEK41" s="899"/>
      <c r="MEL41" s="899"/>
      <c r="MEM41" s="899"/>
      <c r="MEN41" s="899"/>
      <c r="MEO41" s="899"/>
      <c r="MEP41" s="899"/>
      <c r="MEQ41" s="899"/>
      <c r="MER41" s="899"/>
      <c r="MES41" s="899"/>
      <c r="MET41" s="899"/>
      <c r="MEU41" s="899"/>
      <c r="MEV41" s="899"/>
      <c r="MEW41" s="899"/>
      <c r="MEX41" s="899"/>
      <c r="MEY41" s="899"/>
      <c r="MEZ41" s="899"/>
      <c r="MFA41" s="899"/>
      <c r="MFB41" s="899"/>
      <c r="MFC41" s="899"/>
      <c r="MFD41" s="899"/>
      <c r="MFE41" s="899"/>
      <c r="MFF41" s="899"/>
      <c r="MFG41" s="899"/>
      <c r="MFH41" s="899"/>
      <c r="MFI41" s="899"/>
      <c r="MFJ41" s="899"/>
      <c r="MFK41" s="899"/>
      <c r="MFL41" s="899"/>
      <c r="MFM41" s="899"/>
      <c r="MFN41" s="899"/>
      <c r="MFO41" s="899"/>
      <c r="MFP41" s="899"/>
      <c r="MFQ41" s="899"/>
      <c r="MFR41" s="899"/>
      <c r="MFS41" s="899"/>
      <c r="MFT41" s="899"/>
      <c r="MFU41" s="899"/>
      <c r="MFV41" s="899"/>
      <c r="MFW41" s="899"/>
      <c r="MFX41" s="899"/>
      <c r="MFY41" s="899"/>
      <c r="MFZ41" s="899"/>
      <c r="MGA41" s="899"/>
      <c r="MGB41" s="899"/>
      <c r="MGC41" s="899"/>
      <c r="MGD41" s="899"/>
      <c r="MGE41" s="899"/>
      <c r="MGF41" s="899"/>
      <c r="MGG41" s="899"/>
      <c r="MGH41" s="899"/>
      <c r="MGI41" s="899"/>
      <c r="MGJ41" s="899"/>
      <c r="MGK41" s="899"/>
      <c r="MGL41" s="899"/>
      <c r="MGM41" s="899"/>
      <c r="MGN41" s="899"/>
      <c r="MGO41" s="899"/>
      <c r="MGP41" s="899"/>
      <c r="MGQ41" s="899"/>
      <c r="MGR41" s="899"/>
      <c r="MGS41" s="899"/>
      <c r="MGT41" s="899"/>
      <c r="MGU41" s="899"/>
      <c r="MGV41" s="899"/>
      <c r="MGW41" s="899"/>
      <c r="MGX41" s="899"/>
      <c r="MGY41" s="899"/>
      <c r="MGZ41" s="899"/>
      <c r="MHA41" s="899"/>
      <c r="MHB41" s="899"/>
      <c r="MHC41" s="899"/>
      <c r="MHD41" s="899"/>
      <c r="MHE41" s="899"/>
      <c r="MHF41" s="899"/>
      <c r="MHG41" s="899"/>
      <c r="MHH41" s="899"/>
      <c r="MHI41" s="899"/>
      <c r="MHJ41" s="899"/>
      <c r="MHK41" s="899"/>
      <c r="MHL41" s="899"/>
      <c r="MHM41" s="899"/>
      <c r="MHN41" s="899"/>
      <c r="MHO41" s="899"/>
      <c r="MHP41" s="899"/>
      <c r="MHQ41" s="899"/>
      <c r="MHR41" s="899"/>
      <c r="MHS41" s="899"/>
      <c r="MHT41" s="899"/>
      <c r="MHU41" s="899"/>
      <c r="MHV41" s="899"/>
      <c r="MHW41" s="899"/>
      <c r="MHX41" s="899"/>
      <c r="MHY41" s="899"/>
      <c r="MHZ41" s="899"/>
      <c r="MIA41" s="899"/>
      <c r="MIB41" s="899"/>
      <c r="MIC41" s="899"/>
      <c r="MID41" s="899"/>
      <c r="MIE41" s="899"/>
      <c r="MIF41" s="899"/>
      <c r="MIG41" s="899"/>
      <c r="MIH41" s="899"/>
      <c r="MII41" s="899"/>
      <c r="MIJ41" s="899"/>
      <c r="MIK41" s="899"/>
      <c r="MIL41" s="899"/>
      <c r="MIM41" s="899"/>
      <c r="MIN41" s="899"/>
      <c r="MIO41" s="899"/>
      <c r="MIP41" s="899"/>
      <c r="MIQ41" s="899"/>
      <c r="MIR41" s="899"/>
      <c r="MIS41" s="899"/>
      <c r="MIT41" s="899"/>
      <c r="MIU41" s="899"/>
      <c r="MIV41" s="899"/>
      <c r="MIW41" s="899"/>
      <c r="MIX41" s="899"/>
      <c r="MIY41" s="899"/>
      <c r="MIZ41" s="899"/>
      <c r="MJA41" s="899"/>
      <c r="MJB41" s="899"/>
      <c r="MJC41" s="899"/>
      <c r="MJD41" s="899"/>
      <c r="MJE41" s="899"/>
      <c r="MJF41" s="899"/>
      <c r="MJG41" s="899"/>
      <c r="MJH41" s="899"/>
      <c r="MJI41" s="899"/>
      <c r="MJJ41" s="899"/>
      <c r="MJK41" s="899"/>
      <c r="MJL41" s="899"/>
      <c r="MJM41" s="899"/>
      <c r="MJN41" s="899"/>
      <c r="MJO41" s="899"/>
      <c r="MJP41" s="899"/>
      <c r="MJQ41" s="899"/>
      <c r="MJR41" s="899"/>
      <c r="MJS41" s="899"/>
      <c r="MJT41" s="899"/>
      <c r="MJU41" s="899"/>
      <c r="MJV41" s="899"/>
      <c r="MJW41" s="899"/>
      <c r="MJX41" s="899"/>
      <c r="MJY41" s="899"/>
      <c r="MJZ41" s="899"/>
      <c r="MKA41" s="899"/>
      <c r="MKB41" s="899"/>
      <c r="MKC41" s="899"/>
      <c r="MKD41" s="899"/>
      <c r="MKE41" s="899"/>
      <c r="MKF41" s="899"/>
      <c r="MKG41" s="899"/>
      <c r="MKH41" s="899"/>
      <c r="MKI41" s="899"/>
      <c r="MKJ41" s="899"/>
      <c r="MKK41" s="899"/>
      <c r="MKL41" s="899"/>
      <c r="MKM41" s="899"/>
      <c r="MKN41" s="899"/>
      <c r="MKO41" s="899"/>
      <c r="MKP41" s="899"/>
      <c r="MKQ41" s="899"/>
      <c r="MKR41" s="899"/>
      <c r="MKS41" s="899"/>
      <c r="MKT41" s="899"/>
      <c r="MKU41" s="899"/>
      <c r="MKV41" s="899"/>
      <c r="MKW41" s="899"/>
      <c r="MKX41" s="899"/>
      <c r="MKY41" s="899"/>
      <c r="MKZ41" s="899"/>
      <c r="MLA41" s="899"/>
      <c r="MLB41" s="899"/>
      <c r="MLC41" s="899"/>
      <c r="MLD41" s="899"/>
      <c r="MLE41" s="899"/>
      <c r="MLF41" s="899"/>
      <c r="MLG41" s="899"/>
      <c r="MLH41" s="899"/>
      <c r="MLI41" s="899"/>
      <c r="MLJ41" s="899"/>
      <c r="MLK41" s="899"/>
      <c r="MLL41" s="899"/>
      <c r="MLM41" s="899"/>
      <c r="MLN41" s="899"/>
      <c r="MLO41" s="899"/>
      <c r="MLP41" s="899"/>
      <c r="MLQ41" s="899"/>
      <c r="MLR41" s="899"/>
      <c r="MLS41" s="899"/>
      <c r="MLT41" s="899"/>
      <c r="MLU41" s="899"/>
      <c r="MLV41" s="899"/>
      <c r="MLW41" s="899"/>
      <c r="MLX41" s="899"/>
      <c r="MLY41" s="899"/>
      <c r="MLZ41" s="899"/>
      <c r="MMA41" s="899"/>
      <c r="MMB41" s="899"/>
      <c r="MMC41" s="899"/>
      <c r="MMD41" s="899"/>
      <c r="MME41" s="899"/>
      <c r="MMF41" s="899"/>
      <c r="MMG41" s="899"/>
      <c r="MMH41" s="899"/>
      <c r="MMI41" s="899"/>
      <c r="MMJ41" s="899"/>
      <c r="MMK41" s="899"/>
      <c r="MML41" s="899"/>
      <c r="MMM41" s="899"/>
      <c r="MMN41" s="899"/>
      <c r="MMO41" s="899"/>
      <c r="MMP41" s="899"/>
      <c r="MMQ41" s="899"/>
      <c r="MMR41" s="899"/>
      <c r="MMS41" s="899"/>
      <c r="MMT41" s="899"/>
      <c r="MMU41" s="899"/>
      <c r="MMV41" s="899"/>
      <c r="MMW41" s="899"/>
      <c r="MMX41" s="899"/>
      <c r="MMY41" s="899"/>
      <c r="MMZ41" s="899"/>
      <c r="MNA41" s="899"/>
      <c r="MNB41" s="899"/>
      <c r="MNC41" s="899"/>
      <c r="MND41" s="899"/>
      <c r="MNE41" s="899"/>
      <c r="MNF41" s="899"/>
      <c r="MNG41" s="899"/>
      <c r="MNH41" s="899"/>
      <c r="MNI41" s="899"/>
      <c r="MNJ41" s="899"/>
      <c r="MNK41" s="899"/>
      <c r="MNL41" s="899"/>
      <c r="MNM41" s="899"/>
      <c r="MNN41" s="899"/>
      <c r="MNO41" s="899"/>
      <c r="MNP41" s="899"/>
      <c r="MNQ41" s="899"/>
      <c r="MNR41" s="899"/>
      <c r="MNS41" s="899"/>
      <c r="MNT41" s="899"/>
      <c r="MNU41" s="899"/>
      <c r="MNV41" s="899"/>
      <c r="MNW41" s="899"/>
      <c r="MNX41" s="899"/>
      <c r="MNY41" s="899"/>
      <c r="MNZ41" s="899"/>
      <c r="MOA41" s="899"/>
      <c r="MOB41" s="899"/>
      <c r="MOC41" s="899"/>
      <c r="MOD41" s="899"/>
      <c r="MOE41" s="899"/>
      <c r="MOF41" s="899"/>
      <c r="MOG41" s="899"/>
      <c r="MOH41" s="899"/>
      <c r="MOI41" s="899"/>
      <c r="MOJ41" s="899"/>
      <c r="MOK41" s="899"/>
      <c r="MOL41" s="899"/>
      <c r="MOM41" s="899"/>
      <c r="MON41" s="899"/>
      <c r="MOO41" s="899"/>
      <c r="MOP41" s="899"/>
      <c r="MOQ41" s="899"/>
      <c r="MOR41" s="899"/>
      <c r="MOS41" s="899"/>
      <c r="MOT41" s="899"/>
      <c r="MOU41" s="899"/>
      <c r="MOV41" s="899"/>
      <c r="MOW41" s="899"/>
      <c r="MOX41" s="899"/>
      <c r="MOY41" s="899"/>
      <c r="MOZ41" s="899"/>
      <c r="MPA41" s="899"/>
      <c r="MPB41" s="899"/>
      <c r="MPC41" s="899"/>
      <c r="MPD41" s="899"/>
      <c r="MPE41" s="899"/>
      <c r="MPF41" s="899"/>
      <c r="MPG41" s="899"/>
      <c r="MPH41" s="899"/>
      <c r="MPI41" s="899"/>
      <c r="MPJ41" s="899"/>
      <c r="MPK41" s="899"/>
      <c r="MPL41" s="899"/>
      <c r="MPM41" s="899"/>
      <c r="MPN41" s="899"/>
      <c r="MPO41" s="899"/>
      <c r="MPP41" s="899"/>
      <c r="MPQ41" s="899"/>
      <c r="MPR41" s="899"/>
      <c r="MPS41" s="899"/>
      <c r="MPT41" s="899"/>
      <c r="MPU41" s="899"/>
      <c r="MPV41" s="899"/>
      <c r="MPW41" s="899"/>
      <c r="MPX41" s="899"/>
      <c r="MPY41" s="899"/>
      <c r="MPZ41" s="899"/>
      <c r="MQA41" s="899"/>
      <c r="MQB41" s="899"/>
      <c r="MQC41" s="899"/>
      <c r="MQD41" s="899"/>
      <c r="MQE41" s="899"/>
      <c r="MQF41" s="899"/>
      <c r="MQG41" s="899"/>
      <c r="MQH41" s="899"/>
      <c r="MQI41" s="899"/>
      <c r="MQJ41" s="899"/>
      <c r="MQK41" s="899"/>
      <c r="MQL41" s="899"/>
      <c r="MQM41" s="899"/>
      <c r="MQN41" s="899"/>
      <c r="MQO41" s="899"/>
      <c r="MQP41" s="899"/>
      <c r="MQQ41" s="899"/>
      <c r="MQR41" s="899"/>
      <c r="MQS41" s="899"/>
      <c r="MQT41" s="899"/>
      <c r="MQU41" s="899"/>
      <c r="MQV41" s="899"/>
      <c r="MQW41" s="899"/>
      <c r="MQX41" s="899"/>
      <c r="MQY41" s="899"/>
      <c r="MQZ41" s="899"/>
      <c r="MRA41" s="899"/>
      <c r="MRB41" s="899"/>
      <c r="MRC41" s="899"/>
      <c r="MRD41" s="899"/>
      <c r="MRE41" s="899"/>
      <c r="MRF41" s="899"/>
      <c r="MRG41" s="899"/>
      <c r="MRH41" s="899"/>
      <c r="MRI41" s="899"/>
      <c r="MRJ41" s="899"/>
      <c r="MRK41" s="899"/>
      <c r="MRL41" s="899"/>
      <c r="MRM41" s="899"/>
      <c r="MRN41" s="899"/>
      <c r="MRO41" s="899"/>
      <c r="MRP41" s="899"/>
      <c r="MRQ41" s="899"/>
      <c r="MRR41" s="899"/>
      <c r="MRS41" s="899"/>
      <c r="MRT41" s="899"/>
      <c r="MRU41" s="899"/>
      <c r="MRV41" s="899"/>
      <c r="MRW41" s="899"/>
      <c r="MRX41" s="899"/>
      <c r="MRY41" s="899"/>
      <c r="MRZ41" s="899"/>
      <c r="MSA41" s="899"/>
      <c r="MSB41" s="899"/>
      <c r="MSC41" s="899"/>
      <c r="MSD41" s="899"/>
      <c r="MSE41" s="899"/>
      <c r="MSF41" s="899"/>
      <c r="MSG41" s="899"/>
      <c r="MSH41" s="899"/>
      <c r="MSI41" s="899"/>
      <c r="MSJ41" s="899"/>
      <c r="MSK41" s="899"/>
      <c r="MSL41" s="899"/>
      <c r="MSM41" s="899"/>
      <c r="MSN41" s="899"/>
      <c r="MSO41" s="899"/>
      <c r="MSP41" s="899"/>
      <c r="MSQ41" s="899"/>
      <c r="MSR41" s="899"/>
      <c r="MSS41" s="899"/>
      <c r="MST41" s="899"/>
      <c r="MSU41" s="899"/>
      <c r="MSV41" s="899"/>
      <c r="MSW41" s="899"/>
      <c r="MSX41" s="899"/>
      <c r="MSY41" s="899"/>
      <c r="MSZ41" s="899"/>
      <c r="MTA41" s="899"/>
      <c r="MTB41" s="899"/>
      <c r="MTC41" s="899"/>
      <c r="MTD41" s="899"/>
      <c r="MTE41" s="899"/>
      <c r="MTF41" s="899"/>
      <c r="MTG41" s="899"/>
      <c r="MTH41" s="899"/>
      <c r="MTI41" s="899"/>
      <c r="MTJ41" s="899"/>
      <c r="MTK41" s="899"/>
      <c r="MTL41" s="899"/>
      <c r="MTM41" s="899"/>
      <c r="MTN41" s="899"/>
      <c r="MTO41" s="899"/>
      <c r="MTP41" s="899"/>
      <c r="MTQ41" s="899"/>
      <c r="MTR41" s="899"/>
      <c r="MTS41" s="899"/>
      <c r="MTT41" s="899"/>
      <c r="MTU41" s="899"/>
      <c r="MTV41" s="899"/>
      <c r="MTW41" s="899"/>
      <c r="MTX41" s="899"/>
      <c r="MTY41" s="899"/>
      <c r="MTZ41" s="899"/>
      <c r="MUA41" s="899"/>
      <c r="MUB41" s="899"/>
      <c r="MUC41" s="899"/>
      <c r="MUD41" s="899"/>
      <c r="MUE41" s="899"/>
      <c r="MUF41" s="899"/>
      <c r="MUG41" s="899"/>
      <c r="MUH41" s="899"/>
      <c r="MUI41" s="899"/>
      <c r="MUJ41" s="899"/>
      <c r="MUK41" s="899"/>
      <c r="MUL41" s="899"/>
      <c r="MUM41" s="899"/>
      <c r="MUN41" s="899"/>
      <c r="MUO41" s="899"/>
      <c r="MUP41" s="899"/>
      <c r="MUQ41" s="899"/>
      <c r="MUR41" s="899"/>
      <c r="MUS41" s="899"/>
      <c r="MUT41" s="899"/>
      <c r="MUU41" s="899"/>
      <c r="MUV41" s="899"/>
      <c r="MUW41" s="899"/>
      <c r="MUX41" s="899"/>
      <c r="MUY41" s="899"/>
      <c r="MUZ41" s="899"/>
      <c r="MVA41" s="899"/>
      <c r="MVB41" s="899"/>
      <c r="MVC41" s="899"/>
      <c r="MVD41" s="899"/>
      <c r="MVE41" s="899"/>
      <c r="MVF41" s="899"/>
      <c r="MVG41" s="899"/>
      <c r="MVH41" s="899"/>
      <c r="MVI41" s="899"/>
      <c r="MVJ41" s="899"/>
      <c r="MVK41" s="899"/>
      <c r="MVL41" s="899"/>
      <c r="MVM41" s="899"/>
      <c r="MVN41" s="899"/>
      <c r="MVO41" s="899"/>
      <c r="MVP41" s="899"/>
      <c r="MVQ41" s="899"/>
      <c r="MVR41" s="899"/>
      <c r="MVS41" s="899"/>
      <c r="MVT41" s="899"/>
      <c r="MVU41" s="899"/>
      <c r="MVV41" s="899"/>
      <c r="MVW41" s="899"/>
      <c r="MVX41" s="899"/>
      <c r="MVY41" s="899"/>
      <c r="MVZ41" s="899"/>
      <c r="MWA41" s="899"/>
      <c r="MWB41" s="899"/>
      <c r="MWC41" s="899"/>
      <c r="MWD41" s="899"/>
      <c r="MWE41" s="899"/>
      <c r="MWF41" s="899"/>
      <c r="MWG41" s="899"/>
      <c r="MWH41" s="899"/>
      <c r="MWI41" s="899"/>
      <c r="MWJ41" s="899"/>
      <c r="MWK41" s="899"/>
      <c r="MWL41" s="899"/>
      <c r="MWM41" s="899"/>
      <c r="MWN41" s="899"/>
      <c r="MWO41" s="899"/>
      <c r="MWP41" s="899"/>
      <c r="MWQ41" s="899"/>
      <c r="MWR41" s="899"/>
      <c r="MWS41" s="899"/>
      <c r="MWT41" s="899"/>
      <c r="MWU41" s="899"/>
      <c r="MWV41" s="899"/>
      <c r="MWW41" s="899"/>
      <c r="MWX41" s="899"/>
      <c r="MWY41" s="899"/>
      <c r="MWZ41" s="899"/>
      <c r="MXA41" s="899"/>
      <c r="MXB41" s="899"/>
      <c r="MXC41" s="899"/>
      <c r="MXD41" s="899"/>
      <c r="MXE41" s="899"/>
      <c r="MXF41" s="899"/>
      <c r="MXG41" s="899"/>
      <c r="MXH41" s="899"/>
      <c r="MXI41" s="899"/>
      <c r="MXJ41" s="899"/>
      <c r="MXK41" s="899"/>
      <c r="MXL41" s="899"/>
      <c r="MXM41" s="899"/>
      <c r="MXN41" s="899"/>
      <c r="MXO41" s="899"/>
      <c r="MXP41" s="899"/>
      <c r="MXQ41" s="899"/>
      <c r="MXR41" s="899"/>
      <c r="MXS41" s="899"/>
      <c r="MXT41" s="899"/>
      <c r="MXU41" s="899"/>
      <c r="MXV41" s="899"/>
      <c r="MXW41" s="899"/>
      <c r="MXX41" s="899"/>
      <c r="MXY41" s="899"/>
      <c r="MXZ41" s="899"/>
      <c r="MYA41" s="899"/>
      <c r="MYB41" s="899"/>
      <c r="MYC41" s="899"/>
      <c r="MYD41" s="899"/>
      <c r="MYE41" s="899"/>
      <c r="MYF41" s="899"/>
      <c r="MYG41" s="899"/>
      <c r="MYH41" s="899"/>
      <c r="MYI41" s="899"/>
      <c r="MYJ41" s="899"/>
      <c r="MYK41" s="899"/>
      <c r="MYL41" s="899"/>
      <c r="MYM41" s="899"/>
      <c r="MYN41" s="899"/>
      <c r="MYO41" s="899"/>
      <c r="MYP41" s="899"/>
      <c r="MYQ41" s="899"/>
      <c r="MYR41" s="899"/>
      <c r="MYS41" s="899"/>
      <c r="MYT41" s="899"/>
      <c r="MYU41" s="899"/>
      <c r="MYV41" s="899"/>
      <c r="MYW41" s="899"/>
      <c r="MYX41" s="899"/>
      <c r="MYY41" s="899"/>
      <c r="MYZ41" s="899"/>
      <c r="MZA41" s="899"/>
      <c r="MZB41" s="899"/>
      <c r="MZC41" s="899"/>
      <c r="MZD41" s="899"/>
      <c r="MZE41" s="899"/>
      <c r="MZF41" s="899"/>
      <c r="MZG41" s="899"/>
      <c r="MZH41" s="899"/>
      <c r="MZI41" s="899"/>
      <c r="MZJ41" s="899"/>
      <c r="MZK41" s="899"/>
      <c r="MZL41" s="899"/>
      <c r="MZM41" s="899"/>
      <c r="MZN41" s="899"/>
      <c r="MZO41" s="899"/>
      <c r="MZP41" s="899"/>
      <c r="MZQ41" s="899"/>
      <c r="MZR41" s="899"/>
      <c r="MZS41" s="899"/>
      <c r="MZT41" s="899"/>
      <c r="MZU41" s="899"/>
      <c r="MZV41" s="899"/>
      <c r="MZW41" s="899"/>
      <c r="MZX41" s="899"/>
      <c r="MZY41" s="899"/>
      <c r="MZZ41" s="899"/>
      <c r="NAA41" s="899"/>
      <c r="NAB41" s="899"/>
      <c r="NAC41" s="899"/>
      <c r="NAD41" s="899"/>
      <c r="NAE41" s="899"/>
      <c r="NAF41" s="899"/>
      <c r="NAG41" s="899"/>
      <c r="NAH41" s="899"/>
      <c r="NAI41" s="899"/>
      <c r="NAJ41" s="899"/>
      <c r="NAK41" s="899"/>
      <c r="NAL41" s="899"/>
      <c r="NAM41" s="899"/>
      <c r="NAN41" s="899"/>
      <c r="NAO41" s="899"/>
      <c r="NAP41" s="899"/>
      <c r="NAQ41" s="899"/>
      <c r="NAR41" s="899"/>
      <c r="NAS41" s="899"/>
      <c r="NAT41" s="899"/>
      <c r="NAU41" s="899"/>
      <c r="NAV41" s="899"/>
      <c r="NAW41" s="899"/>
      <c r="NAX41" s="899"/>
      <c r="NAY41" s="899"/>
      <c r="NAZ41" s="899"/>
      <c r="NBA41" s="899"/>
      <c r="NBB41" s="899"/>
      <c r="NBC41" s="899"/>
      <c r="NBD41" s="899"/>
      <c r="NBE41" s="899"/>
      <c r="NBF41" s="899"/>
      <c r="NBG41" s="899"/>
      <c r="NBH41" s="899"/>
      <c r="NBI41" s="899"/>
      <c r="NBJ41" s="899"/>
      <c r="NBK41" s="899"/>
      <c r="NBL41" s="899"/>
      <c r="NBM41" s="899"/>
      <c r="NBN41" s="899"/>
      <c r="NBO41" s="899"/>
      <c r="NBP41" s="899"/>
      <c r="NBQ41" s="899"/>
      <c r="NBR41" s="899"/>
      <c r="NBS41" s="899"/>
      <c r="NBT41" s="899"/>
      <c r="NBU41" s="899"/>
      <c r="NBV41" s="899"/>
      <c r="NBW41" s="899"/>
      <c r="NBX41" s="899"/>
      <c r="NBY41" s="899"/>
      <c r="NBZ41" s="899"/>
      <c r="NCA41" s="899"/>
      <c r="NCB41" s="899"/>
      <c r="NCC41" s="899"/>
      <c r="NCD41" s="899"/>
      <c r="NCE41" s="899"/>
      <c r="NCF41" s="899"/>
      <c r="NCG41" s="899"/>
      <c r="NCH41" s="899"/>
      <c r="NCI41" s="899"/>
      <c r="NCJ41" s="899"/>
      <c r="NCK41" s="899"/>
      <c r="NCL41" s="899"/>
      <c r="NCM41" s="899"/>
      <c r="NCN41" s="899"/>
      <c r="NCO41" s="899"/>
      <c r="NCP41" s="899"/>
      <c r="NCQ41" s="899"/>
      <c r="NCR41" s="899"/>
      <c r="NCS41" s="899"/>
      <c r="NCT41" s="899"/>
      <c r="NCU41" s="899"/>
      <c r="NCV41" s="899"/>
      <c r="NCW41" s="899"/>
      <c r="NCX41" s="899"/>
      <c r="NCY41" s="899"/>
      <c r="NCZ41" s="899"/>
      <c r="NDA41" s="899"/>
      <c r="NDB41" s="899"/>
      <c r="NDC41" s="899"/>
      <c r="NDD41" s="899"/>
      <c r="NDE41" s="899"/>
      <c r="NDF41" s="899"/>
      <c r="NDG41" s="899"/>
      <c r="NDH41" s="899"/>
      <c r="NDI41" s="899"/>
      <c r="NDJ41" s="899"/>
      <c r="NDK41" s="899"/>
      <c r="NDL41" s="899"/>
      <c r="NDM41" s="899"/>
      <c r="NDN41" s="899"/>
      <c r="NDO41" s="899"/>
      <c r="NDP41" s="899"/>
      <c r="NDQ41" s="899"/>
      <c r="NDR41" s="899"/>
      <c r="NDS41" s="899"/>
      <c r="NDT41" s="899"/>
      <c r="NDU41" s="899"/>
      <c r="NDV41" s="899"/>
      <c r="NDW41" s="899"/>
      <c r="NDX41" s="899"/>
      <c r="NDY41" s="899"/>
      <c r="NDZ41" s="899"/>
      <c r="NEA41" s="899"/>
      <c r="NEB41" s="899"/>
      <c r="NEC41" s="899"/>
      <c r="NED41" s="899"/>
      <c r="NEE41" s="899"/>
      <c r="NEF41" s="899"/>
      <c r="NEG41" s="899"/>
      <c r="NEH41" s="899"/>
      <c r="NEI41" s="899"/>
      <c r="NEJ41" s="899"/>
      <c r="NEK41" s="899"/>
      <c r="NEL41" s="899"/>
      <c r="NEM41" s="899"/>
      <c r="NEN41" s="899"/>
      <c r="NEO41" s="899"/>
      <c r="NEP41" s="899"/>
      <c r="NEQ41" s="899"/>
      <c r="NER41" s="899"/>
      <c r="NES41" s="899"/>
      <c r="NET41" s="899"/>
      <c r="NEU41" s="899"/>
      <c r="NEV41" s="899"/>
      <c r="NEW41" s="899"/>
      <c r="NEX41" s="899"/>
      <c r="NEY41" s="899"/>
      <c r="NEZ41" s="899"/>
      <c r="NFA41" s="899"/>
      <c r="NFB41" s="899"/>
      <c r="NFC41" s="899"/>
      <c r="NFD41" s="899"/>
      <c r="NFE41" s="899"/>
      <c r="NFF41" s="899"/>
      <c r="NFG41" s="899"/>
      <c r="NFH41" s="899"/>
      <c r="NFI41" s="899"/>
      <c r="NFJ41" s="899"/>
      <c r="NFK41" s="899"/>
      <c r="NFL41" s="899"/>
      <c r="NFM41" s="899"/>
      <c r="NFN41" s="899"/>
      <c r="NFO41" s="899"/>
      <c r="NFP41" s="899"/>
      <c r="NFQ41" s="899"/>
      <c r="NFR41" s="899"/>
      <c r="NFS41" s="899"/>
      <c r="NFT41" s="899"/>
      <c r="NFU41" s="899"/>
      <c r="NFV41" s="899"/>
      <c r="NFW41" s="899"/>
      <c r="NFX41" s="899"/>
      <c r="NFY41" s="899"/>
      <c r="NFZ41" s="899"/>
      <c r="NGA41" s="899"/>
      <c r="NGB41" s="899"/>
      <c r="NGC41" s="899"/>
      <c r="NGD41" s="899"/>
      <c r="NGE41" s="899"/>
      <c r="NGF41" s="899"/>
      <c r="NGG41" s="899"/>
      <c r="NGH41" s="899"/>
      <c r="NGI41" s="899"/>
      <c r="NGJ41" s="899"/>
      <c r="NGK41" s="899"/>
      <c r="NGL41" s="899"/>
      <c r="NGM41" s="899"/>
      <c r="NGN41" s="899"/>
      <c r="NGO41" s="899"/>
      <c r="NGP41" s="899"/>
      <c r="NGQ41" s="899"/>
      <c r="NGR41" s="899"/>
      <c r="NGS41" s="899"/>
      <c r="NGT41" s="899"/>
      <c r="NGU41" s="899"/>
      <c r="NGV41" s="899"/>
      <c r="NGW41" s="899"/>
      <c r="NGX41" s="899"/>
      <c r="NGY41" s="899"/>
      <c r="NGZ41" s="899"/>
      <c r="NHA41" s="899"/>
      <c r="NHB41" s="899"/>
      <c r="NHC41" s="899"/>
      <c r="NHD41" s="899"/>
      <c r="NHE41" s="899"/>
      <c r="NHF41" s="899"/>
      <c r="NHG41" s="899"/>
      <c r="NHH41" s="899"/>
      <c r="NHI41" s="899"/>
      <c r="NHJ41" s="899"/>
      <c r="NHK41" s="899"/>
      <c r="NHL41" s="899"/>
      <c r="NHM41" s="899"/>
      <c r="NHN41" s="899"/>
      <c r="NHO41" s="899"/>
      <c r="NHP41" s="899"/>
      <c r="NHQ41" s="899"/>
      <c r="NHR41" s="899"/>
      <c r="NHS41" s="899"/>
      <c r="NHT41" s="899"/>
      <c r="NHU41" s="899"/>
      <c r="NHV41" s="899"/>
      <c r="NHW41" s="899"/>
      <c r="NHX41" s="899"/>
      <c r="NHY41" s="899"/>
      <c r="NHZ41" s="899"/>
      <c r="NIA41" s="899"/>
      <c r="NIB41" s="899"/>
      <c r="NIC41" s="899"/>
      <c r="NID41" s="899"/>
      <c r="NIE41" s="899"/>
      <c r="NIF41" s="899"/>
      <c r="NIG41" s="899"/>
      <c r="NIH41" s="899"/>
      <c r="NII41" s="899"/>
      <c r="NIJ41" s="899"/>
      <c r="NIK41" s="899"/>
      <c r="NIL41" s="899"/>
      <c r="NIM41" s="899"/>
      <c r="NIN41" s="899"/>
      <c r="NIO41" s="899"/>
      <c r="NIP41" s="899"/>
      <c r="NIQ41" s="899"/>
      <c r="NIR41" s="899"/>
      <c r="NIS41" s="899"/>
      <c r="NIT41" s="899"/>
      <c r="NIU41" s="899"/>
      <c r="NIV41" s="899"/>
      <c r="NIW41" s="899"/>
      <c r="NIX41" s="899"/>
      <c r="NIY41" s="899"/>
      <c r="NIZ41" s="899"/>
      <c r="NJA41" s="899"/>
      <c r="NJB41" s="899"/>
      <c r="NJC41" s="899"/>
      <c r="NJD41" s="899"/>
      <c r="NJE41" s="899"/>
      <c r="NJF41" s="899"/>
      <c r="NJG41" s="899"/>
      <c r="NJH41" s="899"/>
      <c r="NJI41" s="899"/>
      <c r="NJJ41" s="899"/>
      <c r="NJK41" s="899"/>
      <c r="NJL41" s="899"/>
      <c r="NJM41" s="899"/>
      <c r="NJN41" s="899"/>
      <c r="NJO41" s="899"/>
      <c r="NJP41" s="899"/>
      <c r="NJQ41" s="899"/>
      <c r="NJR41" s="899"/>
      <c r="NJS41" s="899"/>
      <c r="NJT41" s="899"/>
      <c r="NJU41" s="899"/>
      <c r="NJV41" s="899"/>
      <c r="NJW41" s="899"/>
      <c r="NJX41" s="899"/>
      <c r="NJY41" s="899"/>
      <c r="NJZ41" s="899"/>
      <c r="NKA41" s="899"/>
      <c r="NKB41" s="899"/>
      <c r="NKC41" s="899"/>
      <c r="NKD41" s="899"/>
      <c r="NKE41" s="899"/>
      <c r="NKF41" s="899"/>
      <c r="NKG41" s="899"/>
      <c r="NKH41" s="899"/>
      <c r="NKI41" s="899"/>
      <c r="NKJ41" s="899"/>
      <c r="NKK41" s="899"/>
      <c r="NKL41" s="899"/>
      <c r="NKM41" s="899"/>
      <c r="NKN41" s="899"/>
      <c r="NKO41" s="899"/>
      <c r="NKP41" s="899"/>
      <c r="NKQ41" s="899"/>
      <c r="NKR41" s="899"/>
      <c r="NKS41" s="899"/>
      <c r="NKT41" s="899"/>
      <c r="NKU41" s="899"/>
      <c r="NKV41" s="899"/>
      <c r="NKW41" s="899"/>
      <c r="NKX41" s="899"/>
      <c r="NKY41" s="899"/>
      <c r="NKZ41" s="899"/>
      <c r="NLA41" s="899"/>
      <c r="NLB41" s="899"/>
      <c r="NLC41" s="899"/>
      <c r="NLD41" s="899"/>
      <c r="NLE41" s="899"/>
      <c r="NLF41" s="899"/>
      <c r="NLG41" s="899"/>
      <c r="NLH41" s="899"/>
      <c r="NLI41" s="899"/>
      <c r="NLJ41" s="899"/>
      <c r="NLK41" s="899"/>
      <c r="NLL41" s="899"/>
      <c r="NLM41" s="899"/>
      <c r="NLN41" s="899"/>
      <c r="NLO41" s="899"/>
      <c r="NLP41" s="899"/>
      <c r="NLQ41" s="899"/>
      <c r="NLR41" s="899"/>
      <c r="NLS41" s="899"/>
      <c r="NLT41" s="899"/>
      <c r="NLU41" s="899"/>
      <c r="NLV41" s="899"/>
      <c r="NLW41" s="899"/>
      <c r="NLX41" s="899"/>
      <c r="NLY41" s="899"/>
      <c r="NLZ41" s="899"/>
      <c r="NMA41" s="899"/>
      <c r="NMB41" s="899"/>
      <c r="NMC41" s="899"/>
      <c r="NMD41" s="899"/>
      <c r="NME41" s="899"/>
      <c r="NMF41" s="899"/>
      <c r="NMG41" s="899"/>
      <c r="NMH41" s="899"/>
      <c r="NMI41" s="899"/>
      <c r="NMJ41" s="899"/>
      <c r="NMK41" s="899"/>
      <c r="NML41" s="899"/>
      <c r="NMM41" s="899"/>
      <c r="NMN41" s="899"/>
      <c r="NMO41" s="899"/>
      <c r="NMP41" s="899"/>
      <c r="NMQ41" s="899"/>
      <c r="NMR41" s="899"/>
      <c r="NMS41" s="899"/>
      <c r="NMT41" s="899"/>
      <c r="NMU41" s="899"/>
      <c r="NMV41" s="899"/>
      <c r="NMW41" s="899"/>
      <c r="NMX41" s="899"/>
      <c r="NMY41" s="899"/>
      <c r="NMZ41" s="899"/>
      <c r="NNA41" s="899"/>
      <c r="NNB41" s="899"/>
      <c r="NNC41" s="899"/>
      <c r="NND41" s="899"/>
      <c r="NNE41" s="899"/>
      <c r="NNF41" s="899"/>
      <c r="NNG41" s="899"/>
      <c r="NNH41" s="899"/>
      <c r="NNI41" s="899"/>
      <c r="NNJ41" s="899"/>
      <c r="NNK41" s="899"/>
      <c r="NNL41" s="899"/>
      <c r="NNM41" s="899"/>
      <c r="NNN41" s="899"/>
      <c r="NNO41" s="899"/>
      <c r="NNP41" s="899"/>
      <c r="NNQ41" s="899"/>
      <c r="NNR41" s="899"/>
      <c r="NNS41" s="899"/>
      <c r="NNT41" s="899"/>
      <c r="NNU41" s="899"/>
      <c r="NNV41" s="899"/>
      <c r="NNW41" s="899"/>
      <c r="NNX41" s="899"/>
      <c r="NNY41" s="899"/>
      <c r="NNZ41" s="899"/>
      <c r="NOA41" s="899"/>
      <c r="NOB41" s="899"/>
      <c r="NOC41" s="899"/>
      <c r="NOD41" s="899"/>
      <c r="NOE41" s="899"/>
      <c r="NOF41" s="899"/>
      <c r="NOG41" s="899"/>
      <c r="NOH41" s="899"/>
      <c r="NOI41" s="899"/>
      <c r="NOJ41" s="899"/>
      <c r="NOK41" s="899"/>
      <c r="NOL41" s="899"/>
      <c r="NOM41" s="899"/>
      <c r="NON41" s="899"/>
      <c r="NOO41" s="899"/>
      <c r="NOP41" s="899"/>
      <c r="NOQ41" s="899"/>
      <c r="NOR41" s="899"/>
      <c r="NOS41" s="899"/>
      <c r="NOT41" s="899"/>
      <c r="NOU41" s="899"/>
      <c r="NOV41" s="899"/>
      <c r="NOW41" s="899"/>
      <c r="NOX41" s="899"/>
      <c r="NOY41" s="899"/>
      <c r="NOZ41" s="899"/>
      <c r="NPA41" s="899"/>
      <c r="NPB41" s="899"/>
      <c r="NPC41" s="899"/>
      <c r="NPD41" s="899"/>
      <c r="NPE41" s="899"/>
      <c r="NPF41" s="899"/>
      <c r="NPG41" s="899"/>
      <c r="NPH41" s="899"/>
      <c r="NPI41" s="899"/>
      <c r="NPJ41" s="899"/>
      <c r="NPK41" s="899"/>
      <c r="NPL41" s="899"/>
      <c r="NPM41" s="899"/>
      <c r="NPN41" s="899"/>
      <c r="NPO41" s="899"/>
      <c r="NPP41" s="899"/>
      <c r="NPQ41" s="899"/>
      <c r="NPR41" s="899"/>
      <c r="NPS41" s="899"/>
      <c r="NPT41" s="899"/>
      <c r="NPU41" s="899"/>
      <c r="NPV41" s="899"/>
      <c r="NPW41" s="899"/>
      <c r="NPX41" s="899"/>
      <c r="NPY41" s="899"/>
      <c r="NPZ41" s="899"/>
      <c r="NQA41" s="899"/>
      <c r="NQB41" s="899"/>
      <c r="NQC41" s="899"/>
      <c r="NQD41" s="899"/>
      <c r="NQE41" s="899"/>
      <c r="NQF41" s="899"/>
      <c r="NQG41" s="899"/>
      <c r="NQH41" s="899"/>
      <c r="NQI41" s="899"/>
      <c r="NQJ41" s="899"/>
      <c r="NQK41" s="899"/>
      <c r="NQL41" s="899"/>
      <c r="NQM41" s="899"/>
      <c r="NQN41" s="899"/>
      <c r="NQO41" s="899"/>
      <c r="NQP41" s="899"/>
      <c r="NQQ41" s="899"/>
      <c r="NQR41" s="899"/>
      <c r="NQS41" s="899"/>
      <c r="NQT41" s="899"/>
      <c r="NQU41" s="899"/>
      <c r="NQV41" s="899"/>
      <c r="NQW41" s="899"/>
      <c r="NQX41" s="899"/>
      <c r="NQY41" s="899"/>
      <c r="NQZ41" s="899"/>
      <c r="NRA41" s="899"/>
      <c r="NRB41" s="899"/>
      <c r="NRC41" s="899"/>
      <c r="NRD41" s="899"/>
      <c r="NRE41" s="899"/>
      <c r="NRF41" s="899"/>
      <c r="NRG41" s="899"/>
      <c r="NRH41" s="899"/>
      <c r="NRI41" s="899"/>
      <c r="NRJ41" s="899"/>
      <c r="NRK41" s="899"/>
      <c r="NRL41" s="899"/>
      <c r="NRM41" s="899"/>
      <c r="NRN41" s="899"/>
      <c r="NRO41" s="899"/>
      <c r="NRP41" s="899"/>
      <c r="NRQ41" s="899"/>
      <c r="NRR41" s="899"/>
      <c r="NRS41" s="899"/>
      <c r="NRT41" s="899"/>
      <c r="NRU41" s="899"/>
      <c r="NRV41" s="899"/>
      <c r="NRW41" s="899"/>
      <c r="NRX41" s="899"/>
      <c r="NRY41" s="899"/>
      <c r="NRZ41" s="899"/>
      <c r="NSA41" s="899"/>
      <c r="NSB41" s="899"/>
      <c r="NSC41" s="899"/>
      <c r="NSD41" s="899"/>
      <c r="NSE41" s="899"/>
      <c r="NSF41" s="899"/>
      <c r="NSG41" s="899"/>
      <c r="NSH41" s="899"/>
      <c r="NSI41" s="899"/>
      <c r="NSJ41" s="899"/>
      <c r="NSK41" s="899"/>
      <c r="NSL41" s="899"/>
      <c r="NSM41" s="899"/>
      <c r="NSN41" s="899"/>
      <c r="NSO41" s="899"/>
      <c r="NSP41" s="899"/>
      <c r="NSQ41" s="899"/>
      <c r="NSR41" s="899"/>
      <c r="NSS41" s="899"/>
      <c r="NST41" s="899"/>
      <c r="NSU41" s="899"/>
      <c r="NSV41" s="899"/>
      <c r="NSW41" s="899"/>
      <c r="NSX41" s="899"/>
      <c r="NSY41" s="899"/>
      <c r="NSZ41" s="899"/>
      <c r="NTA41" s="899"/>
      <c r="NTB41" s="899"/>
      <c r="NTC41" s="899"/>
      <c r="NTD41" s="899"/>
      <c r="NTE41" s="899"/>
      <c r="NTF41" s="899"/>
      <c r="NTG41" s="899"/>
      <c r="NTH41" s="899"/>
      <c r="NTI41" s="899"/>
      <c r="NTJ41" s="899"/>
      <c r="NTK41" s="899"/>
      <c r="NTL41" s="899"/>
      <c r="NTM41" s="899"/>
      <c r="NTN41" s="899"/>
      <c r="NTO41" s="899"/>
      <c r="NTP41" s="899"/>
      <c r="NTQ41" s="899"/>
      <c r="NTR41" s="899"/>
      <c r="NTS41" s="899"/>
      <c r="NTT41" s="899"/>
      <c r="NTU41" s="899"/>
      <c r="NTV41" s="899"/>
      <c r="NTW41" s="899"/>
      <c r="NTX41" s="899"/>
      <c r="NTY41" s="899"/>
      <c r="NTZ41" s="899"/>
      <c r="NUA41" s="899"/>
      <c r="NUB41" s="899"/>
      <c r="NUC41" s="899"/>
      <c r="NUD41" s="899"/>
      <c r="NUE41" s="899"/>
      <c r="NUF41" s="899"/>
      <c r="NUG41" s="899"/>
      <c r="NUH41" s="899"/>
      <c r="NUI41" s="899"/>
      <c r="NUJ41" s="899"/>
      <c r="NUK41" s="899"/>
      <c r="NUL41" s="899"/>
      <c r="NUM41" s="899"/>
      <c r="NUN41" s="899"/>
      <c r="NUO41" s="899"/>
      <c r="NUP41" s="899"/>
      <c r="NUQ41" s="899"/>
      <c r="NUR41" s="899"/>
      <c r="NUS41" s="899"/>
      <c r="NUT41" s="899"/>
      <c r="NUU41" s="899"/>
      <c r="NUV41" s="899"/>
      <c r="NUW41" s="899"/>
      <c r="NUX41" s="899"/>
      <c r="NUY41" s="899"/>
      <c r="NUZ41" s="899"/>
      <c r="NVA41" s="899"/>
      <c r="NVB41" s="899"/>
      <c r="NVC41" s="899"/>
      <c r="NVD41" s="899"/>
      <c r="NVE41" s="899"/>
      <c r="NVF41" s="899"/>
      <c r="NVG41" s="899"/>
      <c r="NVH41" s="899"/>
      <c r="NVI41" s="899"/>
      <c r="NVJ41" s="899"/>
      <c r="NVK41" s="899"/>
      <c r="NVL41" s="899"/>
      <c r="NVM41" s="899"/>
      <c r="NVN41" s="899"/>
      <c r="NVO41" s="899"/>
      <c r="NVP41" s="899"/>
      <c r="NVQ41" s="899"/>
      <c r="NVR41" s="899"/>
      <c r="NVS41" s="899"/>
      <c r="NVT41" s="899"/>
      <c r="NVU41" s="899"/>
      <c r="NVV41" s="899"/>
      <c r="NVW41" s="899"/>
      <c r="NVX41" s="899"/>
      <c r="NVY41" s="899"/>
      <c r="NVZ41" s="899"/>
      <c r="NWA41" s="899"/>
      <c r="NWB41" s="899"/>
      <c r="NWC41" s="899"/>
      <c r="NWD41" s="899"/>
      <c r="NWE41" s="899"/>
      <c r="NWF41" s="899"/>
      <c r="NWG41" s="899"/>
      <c r="NWH41" s="899"/>
      <c r="NWI41" s="899"/>
      <c r="NWJ41" s="899"/>
      <c r="NWK41" s="899"/>
      <c r="NWL41" s="899"/>
      <c r="NWM41" s="899"/>
      <c r="NWN41" s="899"/>
      <c r="NWO41" s="899"/>
      <c r="NWP41" s="899"/>
      <c r="NWQ41" s="899"/>
      <c r="NWR41" s="899"/>
      <c r="NWS41" s="899"/>
      <c r="NWT41" s="899"/>
      <c r="NWU41" s="899"/>
      <c r="NWV41" s="899"/>
      <c r="NWW41" s="899"/>
      <c r="NWX41" s="899"/>
      <c r="NWY41" s="899"/>
      <c r="NWZ41" s="899"/>
      <c r="NXA41" s="899"/>
      <c r="NXB41" s="899"/>
      <c r="NXC41" s="899"/>
      <c r="NXD41" s="899"/>
      <c r="NXE41" s="899"/>
      <c r="NXF41" s="899"/>
      <c r="NXG41" s="899"/>
      <c r="NXH41" s="899"/>
      <c r="NXI41" s="899"/>
      <c r="NXJ41" s="899"/>
      <c r="NXK41" s="899"/>
      <c r="NXL41" s="899"/>
      <c r="NXM41" s="899"/>
      <c r="NXN41" s="899"/>
      <c r="NXO41" s="899"/>
      <c r="NXP41" s="899"/>
      <c r="NXQ41" s="899"/>
      <c r="NXR41" s="899"/>
      <c r="NXS41" s="899"/>
      <c r="NXT41" s="899"/>
      <c r="NXU41" s="899"/>
      <c r="NXV41" s="899"/>
      <c r="NXW41" s="899"/>
      <c r="NXX41" s="899"/>
      <c r="NXY41" s="899"/>
      <c r="NXZ41" s="899"/>
      <c r="NYA41" s="899"/>
      <c r="NYB41" s="899"/>
      <c r="NYC41" s="899"/>
      <c r="NYD41" s="899"/>
      <c r="NYE41" s="899"/>
      <c r="NYF41" s="899"/>
      <c r="NYG41" s="899"/>
      <c r="NYH41" s="899"/>
      <c r="NYI41" s="899"/>
      <c r="NYJ41" s="899"/>
      <c r="NYK41" s="899"/>
      <c r="NYL41" s="899"/>
      <c r="NYM41" s="899"/>
      <c r="NYN41" s="899"/>
      <c r="NYO41" s="899"/>
      <c r="NYP41" s="899"/>
      <c r="NYQ41" s="899"/>
      <c r="NYR41" s="899"/>
      <c r="NYS41" s="899"/>
      <c r="NYT41" s="899"/>
      <c r="NYU41" s="899"/>
      <c r="NYV41" s="899"/>
      <c r="NYW41" s="899"/>
      <c r="NYX41" s="899"/>
      <c r="NYY41" s="899"/>
      <c r="NYZ41" s="899"/>
      <c r="NZA41" s="899"/>
      <c r="NZB41" s="899"/>
      <c r="NZC41" s="899"/>
      <c r="NZD41" s="899"/>
      <c r="NZE41" s="899"/>
      <c r="NZF41" s="899"/>
      <c r="NZG41" s="899"/>
      <c r="NZH41" s="899"/>
      <c r="NZI41" s="899"/>
      <c r="NZJ41" s="899"/>
      <c r="NZK41" s="899"/>
      <c r="NZL41" s="899"/>
      <c r="NZM41" s="899"/>
      <c r="NZN41" s="899"/>
      <c r="NZO41" s="899"/>
      <c r="NZP41" s="899"/>
      <c r="NZQ41" s="899"/>
      <c r="NZR41" s="899"/>
      <c r="NZS41" s="899"/>
      <c r="NZT41" s="899"/>
      <c r="NZU41" s="899"/>
      <c r="NZV41" s="899"/>
      <c r="NZW41" s="899"/>
      <c r="NZX41" s="899"/>
      <c r="NZY41" s="899"/>
      <c r="NZZ41" s="899"/>
      <c r="OAA41" s="899"/>
      <c r="OAB41" s="899"/>
      <c r="OAC41" s="899"/>
      <c r="OAD41" s="899"/>
      <c r="OAE41" s="899"/>
      <c r="OAF41" s="899"/>
      <c r="OAG41" s="899"/>
      <c r="OAH41" s="899"/>
      <c r="OAI41" s="899"/>
      <c r="OAJ41" s="899"/>
      <c r="OAK41" s="899"/>
      <c r="OAL41" s="899"/>
      <c r="OAM41" s="899"/>
      <c r="OAN41" s="899"/>
      <c r="OAO41" s="899"/>
      <c r="OAP41" s="899"/>
      <c r="OAQ41" s="899"/>
      <c r="OAR41" s="899"/>
      <c r="OAS41" s="899"/>
      <c r="OAT41" s="899"/>
      <c r="OAU41" s="899"/>
      <c r="OAV41" s="899"/>
      <c r="OAW41" s="899"/>
      <c r="OAX41" s="899"/>
      <c r="OAY41" s="899"/>
      <c r="OAZ41" s="899"/>
      <c r="OBA41" s="899"/>
      <c r="OBB41" s="899"/>
      <c r="OBC41" s="899"/>
      <c r="OBD41" s="899"/>
      <c r="OBE41" s="899"/>
      <c r="OBF41" s="899"/>
      <c r="OBG41" s="899"/>
      <c r="OBH41" s="899"/>
      <c r="OBI41" s="899"/>
      <c r="OBJ41" s="899"/>
      <c r="OBK41" s="899"/>
      <c r="OBL41" s="899"/>
      <c r="OBM41" s="899"/>
      <c r="OBN41" s="899"/>
      <c r="OBO41" s="899"/>
      <c r="OBP41" s="899"/>
      <c r="OBQ41" s="899"/>
      <c r="OBR41" s="899"/>
      <c r="OBS41" s="899"/>
      <c r="OBT41" s="899"/>
      <c r="OBU41" s="899"/>
      <c r="OBV41" s="899"/>
      <c r="OBW41" s="899"/>
      <c r="OBX41" s="899"/>
      <c r="OBY41" s="899"/>
      <c r="OBZ41" s="899"/>
      <c r="OCA41" s="899"/>
      <c r="OCB41" s="899"/>
      <c r="OCC41" s="899"/>
      <c r="OCD41" s="899"/>
      <c r="OCE41" s="899"/>
      <c r="OCF41" s="899"/>
      <c r="OCG41" s="899"/>
      <c r="OCH41" s="899"/>
      <c r="OCI41" s="899"/>
      <c r="OCJ41" s="899"/>
      <c r="OCK41" s="899"/>
      <c r="OCL41" s="899"/>
      <c r="OCM41" s="899"/>
      <c r="OCN41" s="899"/>
      <c r="OCO41" s="899"/>
      <c r="OCP41" s="899"/>
      <c r="OCQ41" s="899"/>
      <c r="OCR41" s="899"/>
      <c r="OCS41" s="899"/>
      <c r="OCT41" s="899"/>
      <c r="OCU41" s="899"/>
      <c r="OCV41" s="899"/>
      <c r="OCW41" s="899"/>
      <c r="OCX41" s="899"/>
      <c r="OCY41" s="899"/>
      <c r="OCZ41" s="899"/>
      <c r="ODA41" s="899"/>
      <c r="ODB41" s="899"/>
      <c r="ODC41" s="899"/>
      <c r="ODD41" s="899"/>
      <c r="ODE41" s="899"/>
      <c r="ODF41" s="899"/>
      <c r="ODG41" s="899"/>
      <c r="ODH41" s="899"/>
      <c r="ODI41" s="899"/>
      <c r="ODJ41" s="899"/>
      <c r="ODK41" s="899"/>
      <c r="ODL41" s="899"/>
      <c r="ODM41" s="899"/>
      <c r="ODN41" s="899"/>
      <c r="ODO41" s="899"/>
      <c r="ODP41" s="899"/>
      <c r="ODQ41" s="899"/>
      <c r="ODR41" s="899"/>
      <c r="ODS41" s="899"/>
      <c r="ODT41" s="899"/>
      <c r="ODU41" s="899"/>
      <c r="ODV41" s="899"/>
      <c r="ODW41" s="899"/>
      <c r="ODX41" s="899"/>
      <c r="ODY41" s="899"/>
      <c r="ODZ41" s="899"/>
      <c r="OEA41" s="899"/>
      <c r="OEB41" s="899"/>
      <c r="OEC41" s="899"/>
      <c r="OED41" s="899"/>
      <c r="OEE41" s="899"/>
      <c r="OEF41" s="899"/>
      <c r="OEG41" s="899"/>
      <c r="OEH41" s="899"/>
      <c r="OEI41" s="899"/>
      <c r="OEJ41" s="899"/>
      <c r="OEK41" s="899"/>
      <c r="OEL41" s="899"/>
      <c r="OEM41" s="899"/>
      <c r="OEN41" s="899"/>
      <c r="OEO41" s="899"/>
      <c r="OEP41" s="899"/>
      <c r="OEQ41" s="899"/>
      <c r="OER41" s="899"/>
      <c r="OES41" s="899"/>
      <c r="OET41" s="899"/>
      <c r="OEU41" s="899"/>
      <c r="OEV41" s="899"/>
      <c r="OEW41" s="899"/>
      <c r="OEX41" s="899"/>
      <c r="OEY41" s="899"/>
      <c r="OEZ41" s="899"/>
      <c r="OFA41" s="899"/>
      <c r="OFB41" s="899"/>
      <c r="OFC41" s="899"/>
      <c r="OFD41" s="899"/>
      <c r="OFE41" s="899"/>
      <c r="OFF41" s="899"/>
      <c r="OFG41" s="899"/>
      <c r="OFH41" s="899"/>
      <c r="OFI41" s="899"/>
      <c r="OFJ41" s="899"/>
      <c r="OFK41" s="899"/>
      <c r="OFL41" s="899"/>
      <c r="OFM41" s="899"/>
      <c r="OFN41" s="899"/>
      <c r="OFO41" s="899"/>
      <c r="OFP41" s="899"/>
      <c r="OFQ41" s="899"/>
      <c r="OFR41" s="899"/>
      <c r="OFS41" s="899"/>
      <c r="OFT41" s="899"/>
      <c r="OFU41" s="899"/>
      <c r="OFV41" s="899"/>
      <c r="OFW41" s="899"/>
      <c r="OFX41" s="899"/>
      <c r="OFY41" s="899"/>
      <c r="OFZ41" s="899"/>
      <c r="OGA41" s="899"/>
      <c r="OGB41" s="899"/>
      <c r="OGC41" s="899"/>
      <c r="OGD41" s="899"/>
      <c r="OGE41" s="899"/>
      <c r="OGF41" s="899"/>
      <c r="OGG41" s="899"/>
      <c r="OGH41" s="899"/>
      <c r="OGI41" s="899"/>
      <c r="OGJ41" s="899"/>
      <c r="OGK41" s="899"/>
      <c r="OGL41" s="899"/>
      <c r="OGM41" s="899"/>
      <c r="OGN41" s="899"/>
      <c r="OGO41" s="899"/>
      <c r="OGP41" s="899"/>
      <c r="OGQ41" s="899"/>
      <c r="OGR41" s="899"/>
      <c r="OGS41" s="899"/>
      <c r="OGT41" s="899"/>
      <c r="OGU41" s="899"/>
      <c r="OGV41" s="899"/>
      <c r="OGW41" s="899"/>
      <c r="OGX41" s="899"/>
      <c r="OGY41" s="899"/>
      <c r="OGZ41" s="899"/>
      <c r="OHA41" s="899"/>
      <c r="OHB41" s="899"/>
      <c r="OHC41" s="899"/>
      <c r="OHD41" s="899"/>
      <c r="OHE41" s="899"/>
      <c r="OHF41" s="899"/>
      <c r="OHG41" s="899"/>
      <c r="OHH41" s="899"/>
      <c r="OHI41" s="899"/>
      <c r="OHJ41" s="899"/>
      <c r="OHK41" s="899"/>
      <c r="OHL41" s="899"/>
      <c r="OHM41" s="899"/>
      <c r="OHN41" s="899"/>
      <c r="OHO41" s="899"/>
      <c r="OHP41" s="899"/>
      <c r="OHQ41" s="899"/>
      <c r="OHR41" s="899"/>
      <c r="OHS41" s="899"/>
      <c r="OHT41" s="899"/>
      <c r="OHU41" s="899"/>
      <c r="OHV41" s="899"/>
      <c r="OHW41" s="899"/>
      <c r="OHX41" s="899"/>
      <c r="OHY41" s="899"/>
      <c r="OHZ41" s="899"/>
      <c r="OIA41" s="899"/>
      <c r="OIB41" s="899"/>
      <c r="OIC41" s="899"/>
      <c r="OID41" s="899"/>
      <c r="OIE41" s="899"/>
      <c r="OIF41" s="899"/>
      <c r="OIG41" s="899"/>
      <c r="OIH41" s="899"/>
      <c r="OII41" s="899"/>
      <c r="OIJ41" s="899"/>
      <c r="OIK41" s="899"/>
      <c r="OIL41" s="899"/>
      <c r="OIM41" s="899"/>
      <c r="OIN41" s="899"/>
      <c r="OIO41" s="899"/>
      <c r="OIP41" s="899"/>
      <c r="OIQ41" s="899"/>
      <c r="OIR41" s="899"/>
      <c r="OIS41" s="899"/>
      <c r="OIT41" s="899"/>
      <c r="OIU41" s="899"/>
      <c r="OIV41" s="899"/>
      <c r="OIW41" s="899"/>
      <c r="OIX41" s="899"/>
      <c r="OIY41" s="899"/>
      <c r="OIZ41" s="899"/>
      <c r="OJA41" s="899"/>
      <c r="OJB41" s="899"/>
      <c r="OJC41" s="899"/>
      <c r="OJD41" s="899"/>
      <c r="OJE41" s="899"/>
      <c r="OJF41" s="899"/>
      <c r="OJG41" s="899"/>
      <c r="OJH41" s="899"/>
      <c r="OJI41" s="899"/>
      <c r="OJJ41" s="899"/>
      <c r="OJK41" s="899"/>
      <c r="OJL41" s="899"/>
      <c r="OJM41" s="899"/>
      <c r="OJN41" s="899"/>
      <c r="OJO41" s="899"/>
      <c r="OJP41" s="899"/>
      <c r="OJQ41" s="899"/>
      <c r="OJR41" s="899"/>
      <c r="OJS41" s="899"/>
      <c r="OJT41" s="899"/>
      <c r="OJU41" s="899"/>
      <c r="OJV41" s="899"/>
      <c r="OJW41" s="899"/>
      <c r="OJX41" s="899"/>
      <c r="OJY41" s="899"/>
      <c r="OJZ41" s="899"/>
      <c r="OKA41" s="899"/>
      <c r="OKB41" s="899"/>
      <c r="OKC41" s="899"/>
      <c r="OKD41" s="899"/>
      <c r="OKE41" s="899"/>
      <c r="OKF41" s="899"/>
      <c r="OKG41" s="899"/>
      <c r="OKH41" s="899"/>
      <c r="OKI41" s="899"/>
      <c r="OKJ41" s="899"/>
      <c r="OKK41" s="899"/>
      <c r="OKL41" s="899"/>
      <c r="OKM41" s="899"/>
      <c r="OKN41" s="899"/>
      <c r="OKO41" s="899"/>
      <c r="OKP41" s="899"/>
      <c r="OKQ41" s="899"/>
      <c r="OKR41" s="899"/>
      <c r="OKS41" s="899"/>
      <c r="OKT41" s="899"/>
      <c r="OKU41" s="899"/>
      <c r="OKV41" s="899"/>
      <c r="OKW41" s="899"/>
      <c r="OKX41" s="899"/>
      <c r="OKY41" s="899"/>
      <c r="OKZ41" s="899"/>
      <c r="OLA41" s="899"/>
      <c r="OLB41" s="899"/>
      <c r="OLC41" s="899"/>
      <c r="OLD41" s="899"/>
      <c r="OLE41" s="899"/>
      <c r="OLF41" s="899"/>
      <c r="OLG41" s="899"/>
      <c r="OLH41" s="899"/>
      <c r="OLI41" s="899"/>
      <c r="OLJ41" s="899"/>
      <c r="OLK41" s="899"/>
      <c r="OLL41" s="899"/>
      <c r="OLM41" s="899"/>
      <c r="OLN41" s="899"/>
      <c r="OLO41" s="899"/>
      <c r="OLP41" s="899"/>
      <c r="OLQ41" s="899"/>
      <c r="OLR41" s="899"/>
      <c r="OLS41" s="899"/>
      <c r="OLT41" s="899"/>
      <c r="OLU41" s="899"/>
      <c r="OLV41" s="899"/>
      <c r="OLW41" s="899"/>
      <c r="OLX41" s="899"/>
      <c r="OLY41" s="899"/>
      <c r="OLZ41" s="899"/>
      <c r="OMA41" s="899"/>
      <c r="OMB41" s="899"/>
      <c r="OMC41" s="899"/>
      <c r="OMD41" s="899"/>
      <c r="OME41" s="899"/>
      <c r="OMF41" s="899"/>
      <c r="OMG41" s="899"/>
      <c r="OMH41" s="899"/>
      <c r="OMI41" s="899"/>
      <c r="OMJ41" s="899"/>
      <c r="OMK41" s="899"/>
      <c r="OML41" s="899"/>
      <c r="OMM41" s="899"/>
      <c r="OMN41" s="899"/>
      <c r="OMO41" s="899"/>
      <c r="OMP41" s="899"/>
      <c r="OMQ41" s="899"/>
      <c r="OMR41" s="899"/>
      <c r="OMS41" s="899"/>
      <c r="OMT41" s="899"/>
      <c r="OMU41" s="899"/>
      <c r="OMV41" s="899"/>
      <c r="OMW41" s="899"/>
      <c r="OMX41" s="899"/>
      <c r="OMY41" s="899"/>
      <c r="OMZ41" s="899"/>
      <c r="ONA41" s="899"/>
      <c r="ONB41" s="899"/>
      <c r="ONC41" s="899"/>
      <c r="OND41" s="899"/>
      <c r="ONE41" s="899"/>
      <c r="ONF41" s="899"/>
      <c r="ONG41" s="899"/>
      <c r="ONH41" s="899"/>
      <c r="ONI41" s="899"/>
      <c r="ONJ41" s="899"/>
      <c r="ONK41" s="899"/>
      <c r="ONL41" s="899"/>
      <c r="ONM41" s="899"/>
      <c r="ONN41" s="899"/>
      <c r="ONO41" s="899"/>
      <c r="ONP41" s="899"/>
      <c r="ONQ41" s="899"/>
      <c r="ONR41" s="899"/>
      <c r="ONS41" s="899"/>
      <c r="ONT41" s="899"/>
      <c r="ONU41" s="899"/>
      <c r="ONV41" s="899"/>
      <c r="ONW41" s="899"/>
      <c r="ONX41" s="899"/>
      <c r="ONY41" s="899"/>
      <c r="ONZ41" s="899"/>
      <c r="OOA41" s="899"/>
      <c r="OOB41" s="899"/>
      <c r="OOC41" s="899"/>
      <c r="OOD41" s="899"/>
      <c r="OOE41" s="899"/>
      <c r="OOF41" s="899"/>
      <c r="OOG41" s="899"/>
      <c r="OOH41" s="899"/>
      <c r="OOI41" s="899"/>
      <c r="OOJ41" s="899"/>
      <c r="OOK41" s="899"/>
      <c r="OOL41" s="899"/>
      <c r="OOM41" s="899"/>
      <c r="OON41" s="899"/>
      <c r="OOO41" s="899"/>
      <c r="OOP41" s="899"/>
      <c r="OOQ41" s="899"/>
      <c r="OOR41" s="899"/>
      <c r="OOS41" s="899"/>
      <c r="OOT41" s="899"/>
      <c r="OOU41" s="899"/>
      <c r="OOV41" s="899"/>
      <c r="OOW41" s="899"/>
      <c r="OOX41" s="899"/>
      <c r="OOY41" s="899"/>
      <c r="OOZ41" s="899"/>
      <c r="OPA41" s="899"/>
      <c r="OPB41" s="899"/>
      <c r="OPC41" s="899"/>
      <c r="OPD41" s="899"/>
      <c r="OPE41" s="899"/>
      <c r="OPF41" s="899"/>
      <c r="OPG41" s="899"/>
      <c r="OPH41" s="899"/>
      <c r="OPI41" s="899"/>
      <c r="OPJ41" s="899"/>
      <c r="OPK41" s="899"/>
      <c r="OPL41" s="899"/>
      <c r="OPM41" s="899"/>
      <c r="OPN41" s="899"/>
      <c r="OPO41" s="899"/>
      <c r="OPP41" s="899"/>
      <c r="OPQ41" s="899"/>
      <c r="OPR41" s="899"/>
      <c r="OPS41" s="899"/>
      <c r="OPT41" s="899"/>
      <c r="OPU41" s="899"/>
      <c r="OPV41" s="899"/>
      <c r="OPW41" s="899"/>
      <c r="OPX41" s="899"/>
      <c r="OPY41" s="899"/>
      <c r="OPZ41" s="899"/>
      <c r="OQA41" s="899"/>
      <c r="OQB41" s="899"/>
      <c r="OQC41" s="899"/>
      <c r="OQD41" s="899"/>
      <c r="OQE41" s="899"/>
      <c r="OQF41" s="899"/>
      <c r="OQG41" s="899"/>
      <c r="OQH41" s="899"/>
      <c r="OQI41" s="899"/>
      <c r="OQJ41" s="899"/>
      <c r="OQK41" s="899"/>
      <c r="OQL41" s="899"/>
      <c r="OQM41" s="899"/>
      <c r="OQN41" s="899"/>
      <c r="OQO41" s="899"/>
      <c r="OQP41" s="899"/>
      <c r="OQQ41" s="899"/>
      <c r="OQR41" s="899"/>
      <c r="OQS41" s="899"/>
      <c r="OQT41" s="899"/>
      <c r="OQU41" s="899"/>
      <c r="OQV41" s="899"/>
      <c r="OQW41" s="899"/>
      <c r="OQX41" s="899"/>
      <c r="OQY41" s="899"/>
      <c r="OQZ41" s="899"/>
      <c r="ORA41" s="899"/>
      <c r="ORB41" s="899"/>
      <c r="ORC41" s="899"/>
      <c r="ORD41" s="899"/>
      <c r="ORE41" s="899"/>
      <c r="ORF41" s="899"/>
      <c r="ORG41" s="899"/>
      <c r="ORH41" s="899"/>
      <c r="ORI41" s="899"/>
      <c r="ORJ41" s="899"/>
      <c r="ORK41" s="899"/>
      <c r="ORL41" s="899"/>
      <c r="ORM41" s="899"/>
      <c r="ORN41" s="899"/>
      <c r="ORO41" s="899"/>
      <c r="ORP41" s="899"/>
      <c r="ORQ41" s="899"/>
      <c r="ORR41" s="899"/>
      <c r="ORS41" s="899"/>
      <c r="ORT41" s="899"/>
      <c r="ORU41" s="899"/>
      <c r="ORV41" s="899"/>
      <c r="ORW41" s="899"/>
      <c r="ORX41" s="899"/>
      <c r="ORY41" s="899"/>
      <c r="ORZ41" s="899"/>
      <c r="OSA41" s="899"/>
      <c r="OSB41" s="899"/>
      <c r="OSC41" s="899"/>
      <c r="OSD41" s="899"/>
      <c r="OSE41" s="899"/>
      <c r="OSF41" s="899"/>
      <c r="OSG41" s="899"/>
      <c r="OSH41" s="899"/>
      <c r="OSI41" s="899"/>
      <c r="OSJ41" s="899"/>
      <c r="OSK41" s="899"/>
      <c r="OSL41" s="899"/>
      <c r="OSM41" s="899"/>
      <c r="OSN41" s="899"/>
      <c r="OSO41" s="899"/>
      <c r="OSP41" s="899"/>
      <c r="OSQ41" s="899"/>
      <c r="OSR41" s="899"/>
      <c r="OSS41" s="899"/>
      <c r="OST41" s="899"/>
      <c r="OSU41" s="899"/>
      <c r="OSV41" s="899"/>
      <c r="OSW41" s="899"/>
      <c r="OSX41" s="899"/>
      <c r="OSY41" s="899"/>
      <c r="OSZ41" s="899"/>
      <c r="OTA41" s="899"/>
      <c r="OTB41" s="899"/>
      <c r="OTC41" s="899"/>
      <c r="OTD41" s="899"/>
      <c r="OTE41" s="899"/>
      <c r="OTF41" s="899"/>
      <c r="OTG41" s="899"/>
      <c r="OTH41" s="899"/>
      <c r="OTI41" s="899"/>
      <c r="OTJ41" s="899"/>
      <c r="OTK41" s="899"/>
      <c r="OTL41" s="899"/>
      <c r="OTM41" s="899"/>
      <c r="OTN41" s="899"/>
      <c r="OTO41" s="899"/>
      <c r="OTP41" s="899"/>
      <c r="OTQ41" s="899"/>
      <c r="OTR41" s="899"/>
      <c r="OTS41" s="899"/>
      <c r="OTT41" s="899"/>
      <c r="OTU41" s="899"/>
      <c r="OTV41" s="899"/>
      <c r="OTW41" s="899"/>
      <c r="OTX41" s="899"/>
      <c r="OTY41" s="899"/>
      <c r="OTZ41" s="899"/>
      <c r="OUA41" s="899"/>
      <c r="OUB41" s="899"/>
      <c r="OUC41" s="899"/>
      <c r="OUD41" s="899"/>
      <c r="OUE41" s="899"/>
      <c r="OUF41" s="899"/>
      <c r="OUG41" s="899"/>
      <c r="OUH41" s="899"/>
      <c r="OUI41" s="899"/>
      <c r="OUJ41" s="899"/>
      <c r="OUK41" s="899"/>
      <c r="OUL41" s="899"/>
      <c r="OUM41" s="899"/>
      <c r="OUN41" s="899"/>
      <c r="OUO41" s="899"/>
      <c r="OUP41" s="899"/>
      <c r="OUQ41" s="899"/>
      <c r="OUR41" s="899"/>
      <c r="OUS41" s="899"/>
      <c r="OUT41" s="899"/>
      <c r="OUU41" s="899"/>
      <c r="OUV41" s="899"/>
      <c r="OUW41" s="899"/>
      <c r="OUX41" s="899"/>
      <c r="OUY41" s="899"/>
      <c r="OUZ41" s="899"/>
      <c r="OVA41" s="899"/>
      <c r="OVB41" s="899"/>
      <c r="OVC41" s="899"/>
      <c r="OVD41" s="899"/>
      <c r="OVE41" s="899"/>
      <c r="OVF41" s="899"/>
      <c r="OVG41" s="899"/>
      <c r="OVH41" s="899"/>
      <c r="OVI41" s="899"/>
      <c r="OVJ41" s="899"/>
      <c r="OVK41" s="899"/>
      <c r="OVL41" s="899"/>
      <c r="OVM41" s="899"/>
      <c r="OVN41" s="899"/>
      <c r="OVO41" s="899"/>
      <c r="OVP41" s="899"/>
      <c r="OVQ41" s="899"/>
      <c r="OVR41" s="899"/>
      <c r="OVS41" s="899"/>
      <c r="OVT41" s="899"/>
      <c r="OVU41" s="899"/>
      <c r="OVV41" s="899"/>
      <c r="OVW41" s="899"/>
      <c r="OVX41" s="899"/>
      <c r="OVY41" s="899"/>
      <c r="OVZ41" s="899"/>
      <c r="OWA41" s="899"/>
      <c r="OWB41" s="899"/>
      <c r="OWC41" s="899"/>
      <c r="OWD41" s="899"/>
      <c r="OWE41" s="899"/>
      <c r="OWF41" s="899"/>
      <c r="OWG41" s="899"/>
      <c r="OWH41" s="899"/>
      <c r="OWI41" s="899"/>
      <c r="OWJ41" s="899"/>
      <c r="OWK41" s="899"/>
      <c r="OWL41" s="899"/>
      <c r="OWM41" s="899"/>
      <c r="OWN41" s="899"/>
      <c r="OWO41" s="899"/>
      <c r="OWP41" s="899"/>
      <c r="OWQ41" s="899"/>
      <c r="OWR41" s="899"/>
      <c r="OWS41" s="899"/>
      <c r="OWT41" s="899"/>
      <c r="OWU41" s="899"/>
      <c r="OWV41" s="899"/>
      <c r="OWW41" s="899"/>
      <c r="OWX41" s="899"/>
      <c r="OWY41" s="899"/>
      <c r="OWZ41" s="899"/>
      <c r="OXA41" s="899"/>
      <c r="OXB41" s="899"/>
      <c r="OXC41" s="899"/>
      <c r="OXD41" s="899"/>
      <c r="OXE41" s="899"/>
      <c r="OXF41" s="899"/>
      <c r="OXG41" s="899"/>
      <c r="OXH41" s="899"/>
      <c r="OXI41" s="899"/>
      <c r="OXJ41" s="899"/>
      <c r="OXK41" s="899"/>
      <c r="OXL41" s="899"/>
      <c r="OXM41" s="899"/>
      <c r="OXN41" s="899"/>
      <c r="OXO41" s="899"/>
      <c r="OXP41" s="899"/>
      <c r="OXQ41" s="899"/>
      <c r="OXR41" s="899"/>
      <c r="OXS41" s="899"/>
      <c r="OXT41" s="899"/>
      <c r="OXU41" s="899"/>
      <c r="OXV41" s="899"/>
      <c r="OXW41" s="899"/>
      <c r="OXX41" s="899"/>
      <c r="OXY41" s="899"/>
      <c r="OXZ41" s="899"/>
      <c r="OYA41" s="899"/>
      <c r="OYB41" s="899"/>
      <c r="OYC41" s="899"/>
      <c r="OYD41" s="899"/>
      <c r="OYE41" s="899"/>
      <c r="OYF41" s="899"/>
      <c r="OYG41" s="899"/>
      <c r="OYH41" s="899"/>
      <c r="OYI41" s="899"/>
      <c r="OYJ41" s="899"/>
      <c r="OYK41" s="899"/>
      <c r="OYL41" s="899"/>
      <c r="OYM41" s="899"/>
      <c r="OYN41" s="899"/>
      <c r="OYO41" s="899"/>
      <c r="OYP41" s="899"/>
      <c r="OYQ41" s="899"/>
      <c r="OYR41" s="899"/>
      <c r="OYS41" s="899"/>
      <c r="OYT41" s="899"/>
      <c r="OYU41" s="899"/>
      <c r="OYV41" s="899"/>
      <c r="OYW41" s="899"/>
      <c r="OYX41" s="899"/>
      <c r="OYY41" s="899"/>
      <c r="OYZ41" s="899"/>
      <c r="OZA41" s="899"/>
      <c r="OZB41" s="899"/>
      <c r="OZC41" s="899"/>
      <c r="OZD41" s="899"/>
      <c r="OZE41" s="899"/>
      <c r="OZF41" s="899"/>
      <c r="OZG41" s="899"/>
      <c r="OZH41" s="899"/>
      <c r="OZI41" s="899"/>
      <c r="OZJ41" s="899"/>
      <c r="OZK41" s="899"/>
      <c r="OZL41" s="899"/>
      <c r="OZM41" s="899"/>
      <c r="OZN41" s="899"/>
      <c r="OZO41" s="899"/>
      <c r="OZP41" s="899"/>
      <c r="OZQ41" s="899"/>
      <c r="OZR41" s="899"/>
      <c r="OZS41" s="899"/>
      <c r="OZT41" s="899"/>
      <c r="OZU41" s="899"/>
      <c r="OZV41" s="899"/>
      <c r="OZW41" s="899"/>
      <c r="OZX41" s="899"/>
      <c r="OZY41" s="899"/>
      <c r="OZZ41" s="899"/>
      <c r="PAA41" s="899"/>
      <c r="PAB41" s="899"/>
      <c r="PAC41" s="899"/>
      <c r="PAD41" s="899"/>
      <c r="PAE41" s="899"/>
      <c r="PAF41" s="899"/>
      <c r="PAG41" s="899"/>
      <c r="PAH41" s="899"/>
      <c r="PAI41" s="899"/>
      <c r="PAJ41" s="899"/>
      <c r="PAK41" s="899"/>
      <c r="PAL41" s="899"/>
      <c r="PAM41" s="899"/>
      <c r="PAN41" s="899"/>
      <c r="PAO41" s="899"/>
      <c r="PAP41" s="899"/>
      <c r="PAQ41" s="899"/>
      <c r="PAR41" s="899"/>
      <c r="PAS41" s="899"/>
      <c r="PAT41" s="899"/>
      <c r="PAU41" s="899"/>
      <c r="PAV41" s="899"/>
      <c r="PAW41" s="899"/>
      <c r="PAX41" s="899"/>
      <c r="PAY41" s="899"/>
      <c r="PAZ41" s="899"/>
      <c r="PBA41" s="899"/>
      <c r="PBB41" s="899"/>
      <c r="PBC41" s="899"/>
      <c r="PBD41" s="899"/>
      <c r="PBE41" s="899"/>
      <c r="PBF41" s="899"/>
      <c r="PBG41" s="899"/>
      <c r="PBH41" s="899"/>
      <c r="PBI41" s="899"/>
      <c r="PBJ41" s="899"/>
      <c r="PBK41" s="899"/>
      <c r="PBL41" s="899"/>
      <c r="PBM41" s="899"/>
      <c r="PBN41" s="899"/>
      <c r="PBO41" s="899"/>
      <c r="PBP41" s="899"/>
      <c r="PBQ41" s="899"/>
      <c r="PBR41" s="899"/>
      <c r="PBS41" s="899"/>
      <c r="PBT41" s="899"/>
      <c r="PBU41" s="899"/>
      <c r="PBV41" s="899"/>
      <c r="PBW41" s="899"/>
      <c r="PBX41" s="899"/>
      <c r="PBY41" s="899"/>
      <c r="PBZ41" s="899"/>
      <c r="PCA41" s="899"/>
      <c r="PCB41" s="899"/>
      <c r="PCC41" s="899"/>
      <c r="PCD41" s="899"/>
      <c r="PCE41" s="899"/>
      <c r="PCF41" s="899"/>
      <c r="PCG41" s="899"/>
      <c r="PCH41" s="899"/>
      <c r="PCI41" s="899"/>
      <c r="PCJ41" s="899"/>
      <c r="PCK41" s="899"/>
      <c r="PCL41" s="899"/>
      <c r="PCM41" s="899"/>
      <c r="PCN41" s="899"/>
      <c r="PCO41" s="899"/>
      <c r="PCP41" s="899"/>
      <c r="PCQ41" s="899"/>
      <c r="PCR41" s="899"/>
      <c r="PCS41" s="899"/>
      <c r="PCT41" s="899"/>
      <c r="PCU41" s="899"/>
      <c r="PCV41" s="899"/>
      <c r="PCW41" s="899"/>
      <c r="PCX41" s="899"/>
      <c r="PCY41" s="899"/>
      <c r="PCZ41" s="899"/>
      <c r="PDA41" s="899"/>
      <c r="PDB41" s="899"/>
      <c r="PDC41" s="899"/>
      <c r="PDD41" s="899"/>
      <c r="PDE41" s="899"/>
      <c r="PDF41" s="899"/>
      <c r="PDG41" s="899"/>
      <c r="PDH41" s="899"/>
      <c r="PDI41" s="899"/>
      <c r="PDJ41" s="899"/>
      <c r="PDK41" s="899"/>
      <c r="PDL41" s="899"/>
      <c r="PDM41" s="899"/>
      <c r="PDN41" s="899"/>
      <c r="PDO41" s="899"/>
      <c r="PDP41" s="899"/>
      <c r="PDQ41" s="899"/>
      <c r="PDR41" s="899"/>
      <c r="PDS41" s="899"/>
      <c r="PDT41" s="899"/>
      <c r="PDU41" s="899"/>
      <c r="PDV41" s="899"/>
      <c r="PDW41" s="899"/>
      <c r="PDX41" s="899"/>
      <c r="PDY41" s="899"/>
      <c r="PDZ41" s="899"/>
      <c r="PEA41" s="899"/>
      <c r="PEB41" s="899"/>
      <c r="PEC41" s="899"/>
      <c r="PED41" s="899"/>
      <c r="PEE41" s="899"/>
      <c r="PEF41" s="899"/>
      <c r="PEG41" s="899"/>
      <c r="PEH41" s="899"/>
      <c r="PEI41" s="899"/>
      <c r="PEJ41" s="899"/>
      <c r="PEK41" s="899"/>
      <c r="PEL41" s="899"/>
      <c r="PEM41" s="899"/>
      <c r="PEN41" s="899"/>
      <c r="PEO41" s="899"/>
      <c r="PEP41" s="899"/>
      <c r="PEQ41" s="899"/>
      <c r="PER41" s="899"/>
      <c r="PES41" s="899"/>
      <c r="PET41" s="899"/>
      <c r="PEU41" s="899"/>
      <c r="PEV41" s="899"/>
      <c r="PEW41" s="899"/>
      <c r="PEX41" s="899"/>
      <c r="PEY41" s="899"/>
      <c r="PEZ41" s="899"/>
      <c r="PFA41" s="899"/>
      <c r="PFB41" s="899"/>
      <c r="PFC41" s="899"/>
      <c r="PFD41" s="899"/>
      <c r="PFE41" s="899"/>
      <c r="PFF41" s="899"/>
      <c r="PFG41" s="899"/>
      <c r="PFH41" s="899"/>
      <c r="PFI41" s="899"/>
      <c r="PFJ41" s="899"/>
      <c r="PFK41" s="899"/>
      <c r="PFL41" s="899"/>
      <c r="PFM41" s="899"/>
      <c r="PFN41" s="899"/>
      <c r="PFO41" s="899"/>
      <c r="PFP41" s="899"/>
      <c r="PFQ41" s="899"/>
      <c r="PFR41" s="899"/>
      <c r="PFS41" s="899"/>
      <c r="PFT41" s="899"/>
      <c r="PFU41" s="899"/>
      <c r="PFV41" s="899"/>
      <c r="PFW41" s="899"/>
      <c r="PFX41" s="899"/>
      <c r="PFY41" s="899"/>
      <c r="PFZ41" s="899"/>
      <c r="PGA41" s="899"/>
      <c r="PGB41" s="899"/>
      <c r="PGC41" s="899"/>
      <c r="PGD41" s="899"/>
      <c r="PGE41" s="899"/>
      <c r="PGF41" s="899"/>
      <c r="PGG41" s="899"/>
      <c r="PGH41" s="899"/>
      <c r="PGI41" s="899"/>
      <c r="PGJ41" s="899"/>
      <c r="PGK41" s="899"/>
      <c r="PGL41" s="899"/>
      <c r="PGM41" s="899"/>
      <c r="PGN41" s="899"/>
      <c r="PGO41" s="899"/>
      <c r="PGP41" s="899"/>
      <c r="PGQ41" s="899"/>
      <c r="PGR41" s="899"/>
      <c r="PGS41" s="899"/>
      <c r="PGT41" s="899"/>
      <c r="PGU41" s="899"/>
      <c r="PGV41" s="899"/>
      <c r="PGW41" s="899"/>
      <c r="PGX41" s="899"/>
      <c r="PGY41" s="899"/>
      <c r="PGZ41" s="899"/>
      <c r="PHA41" s="899"/>
      <c r="PHB41" s="899"/>
      <c r="PHC41" s="899"/>
      <c r="PHD41" s="899"/>
      <c r="PHE41" s="899"/>
      <c r="PHF41" s="899"/>
      <c r="PHG41" s="899"/>
      <c r="PHH41" s="899"/>
      <c r="PHI41" s="899"/>
      <c r="PHJ41" s="899"/>
      <c r="PHK41" s="899"/>
      <c r="PHL41" s="899"/>
      <c r="PHM41" s="899"/>
      <c r="PHN41" s="899"/>
      <c r="PHO41" s="899"/>
      <c r="PHP41" s="899"/>
      <c r="PHQ41" s="899"/>
      <c r="PHR41" s="899"/>
      <c r="PHS41" s="899"/>
      <c r="PHT41" s="899"/>
      <c r="PHU41" s="899"/>
      <c r="PHV41" s="899"/>
      <c r="PHW41" s="899"/>
      <c r="PHX41" s="899"/>
      <c r="PHY41" s="899"/>
      <c r="PHZ41" s="899"/>
      <c r="PIA41" s="899"/>
      <c r="PIB41" s="899"/>
      <c r="PIC41" s="899"/>
      <c r="PID41" s="899"/>
      <c r="PIE41" s="899"/>
      <c r="PIF41" s="899"/>
      <c r="PIG41" s="899"/>
      <c r="PIH41" s="899"/>
      <c r="PII41" s="899"/>
      <c r="PIJ41" s="899"/>
      <c r="PIK41" s="899"/>
      <c r="PIL41" s="899"/>
      <c r="PIM41" s="899"/>
      <c r="PIN41" s="899"/>
      <c r="PIO41" s="899"/>
      <c r="PIP41" s="899"/>
      <c r="PIQ41" s="899"/>
      <c r="PIR41" s="899"/>
      <c r="PIS41" s="899"/>
      <c r="PIT41" s="899"/>
      <c r="PIU41" s="899"/>
      <c r="PIV41" s="899"/>
      <c r="PIW41" s="899"/>
      <c r="PIX41" s="899"/>
      <c r="PIY41" s="899"/>
      <c r="PIZ41" s="899"/>
      <c r="PJA41" s="899"/>
      <c r="PJB41" s="899"/>
      <c r="PJC41" s="899"/>
      <c r="PJD41" s="899"/>
      <c r="PJE41" s="899"/>
      <c r="PJF41" s="899"/>
      <c r="PJG41" s="899"/>
      <c r="PJH41" s="899"/>
      <c r="PJI41" s="899"/>
      <c r="PJJ41" s="899"/>
      <c r="PJK41" s="899"/>
      <c r="PJL41" s="899"/>
      <c r="PJM41" s="899"/>
      <c r="PJN41" s="899"/>
      <c r="PJO41" s="899"/>
      <c r="PJP41" s="899"/>
      <c r="PJQ41" s="899"/>
      <c r="PJR41" s="899"/>
      <c r="PJS41" s="899"/>
      <c r="PJT41" s="899"/>
      <c r="PJU41" s="899"/>
      <c r="PJV41" s="899"/>
      <c r="PJW41" s="899"/>
      <c r="PJX41" s="899"/>
      <c r="PJY41" s="899"/>
      <c r="PJZ41" s="899"/>
      <c r="PKA41" s="899"/>
      <c r="PKB41" s="899"/>
      <c r="PKC41" s="899"/>
      <c r="PKD41" s="899"/>
      <c r="PKE41" s="899"/>
      <c r="PKF41" s="899"/>
      <c r="PKG41" s="899"/>
      <c r="PKH41" s="899"/>
      <c r="PKI41" s="899"/>
      <c r="PKJ41" s="899"/>
      <c r="PKK41" s="899"/>
      <c r="PKL41" s="899"/>
      <c r="PKM41" s="899"/>
      <c r="PKN41" s="899"/>
      <c r="PKO41" s="899"/>
      <c r="PKP41" s="899"/>
      <c r="PKQ41" s="899"/>
      <c r="PKR41" s="899"/>
      <c r="PKS41" s="899"/>
      <c r="PKT41" s="899"/>
      <c r="PKU41" s="899"/>
      <c r="PKV41" s="899"/>
      <c r="PKW41" s="899"/>
      <c r="PKX41" s="899"/>
      <c r="PKY41" s="899"/>
      <c r="PKZ41" s="899"/>
      <c r="PLA41" s="899"/>
      <c r="PLB41" s="899"/>
      <c r="PLC41" s="899"/>
      <c r="PLD41" s="899"/>
      <c r="PLE41" s="899"/>
      <c r="PLF41" s="899"/>
      <c r="PLG41" s="899"/>
      <c r="PLH41" s="899"/>
      <c r="PLI41" s="899"/>
      <c r="PLJ41" s="899"/>
      <c r="PLK41" s="899"/>
      <c r="PLL41" s="899"/>
      <c r="PLM41" s="899"/>
      <c r="PLN41" s="899"/>
      <c r="PLO41" s="899"/>
      <c r="PLP41" s="899"/>
      <c r="PLQ41" s="899"/>
      <c r="PLR41" s="899"/>
      <c r="PLS41" s="899"/>
      <c r="PLT41" s="899"/>
      <c r="PLU41" s="899"/>
      <c r="PLV41" s="899"/>
      <c r="PLW41" s="899"/>
      <c r="PLX41" s="899"/>
      <c r="PLY41" s="899"/>
      <c r="PLZ41" s="899"/>
      <c r="PMA41" s="899"/>
      <c r="PMB41" s="899"/>
      <c r="PMC41" s="899"/>
      <c r="PMD41" s="899"/>
      <c r="PME41" s="899"/>
      <c r="PMF41" s="899"/>
      <c r="PMG41" s="899"/>
      <c r="PMH41" s="899"/>
      <c r="PMI41" s="899"/>
      <c r="PMJ41" s="899"/>
      <c r="PMK41" s="899"/>
      <c r="PML41" s="899"/>
      <c r="PMM41" s="899"/>
      <c r="PMN41" s="899"/>
      <c r="PMO41" s="899"/>
      <c r="PMP41" s="899"/>
      <c r="PMQ41" s="899"/>
      <c r="PMR41" s="899"/>
      <c r="PMS41" s="899"/>
      <c r="PMT41" s="899"/>
      <c r="PMU41" s="899"/>
      <c r="PMV41" s="899"/>
      <c r="PMW41" s="899"/>
      <c r="PMX41" s="899"/>
      <c r="PMY41" s="899"/>
      <c r="PMZ41" s="899"/>
      <c r="PNA41" s="899"/>
      <c r="PNB41" s="899"/>
      <c r="PNC41" s="899"/>
      <c r="PND41" s="899"/>
      <c r="PNE41" s="899"/>
      <c r="PNF41" s="899"/>
      <c r="PNG41" s="899"/>
      <c r="PNH41" s="899"/>
      <c r="PNI41" s="899"/>
      <c r="PNJ41" s="899"/>
      <c r="PNK41" s="899"/>
      <c r="PNL41" s="899"/>
      <c r="PNM41" s="899"/>
      <c r="PNN41" s="899"/>
      <c r="PNO41" s="899"/>
      <c r="PNP41" s="899"/>
      <c r="PNQ41" s="899"/>
      <c r="PNR41" s="899"/>
      <c r="PNS41" s="899"/>
      <c r="PNT41" s="899"/>
      <c r="PNU41" s="899"/>
      <c r="PNV41" s="899"/>
      <c r="PNW41" s="899"/>
      <c r="PNX41" s="899"/>
      <c r="PNY41" s="899"/>
      <c r="PNZ41" s="899"/>
      <c r="POA41" s="899"/>
      <c r="POB41" s="899"/>
      <c r="POC41" s="899"/>
      <c r="POD41" s="899"/>
      <c r="POE41" s="899"/>
      <c r="POF41" s="899"/>
      <c r="POG41" s="899"/>
      <c r="POH41" s="899"/>
      <c r="POI41" s="899"/>
      <c r="POJ41" s="899"/>
      <c r="POK41" s="899"/>
      <c r="POL41" s="899"/>
      <c r="POM41" s="899"/>
      <c r="PON41" s="899"/>
      <c r="POO41" s="899"/>
      <c r="POP41" s="899"/>
      <c r="POQ41" s="899"/>
      <c r="POR41" s="899"/>
      <c r="POS41" s="899"/>
      <c r="POT41" s="899"/>
      <c r="POU41" s="899"/>
      <c r="POV41" s="899"/>
      <c r="POW41" s="899"/>
      <c r="POX41" s="899"/>
      <c r="POY41" s="899"/>
      <c r="POZ41" s="899"/>
      <c r="PPA41" s="899"/>
      <c r="PPB41" s="899"/>
      <c r="PPC41" s="899"/>
      <c r="PPD41" s="899"/>
      <c r="PPE41" s="899"/>
      <c r="PPF41" s="899"/>
      <c r="PPG41" s="899"/>
      <c r="PPH41" s="899"/>
      <c r="PPI41" s="899"/>
      <c r="PPJ41" s="899"/>
      <c r="PPK41" s="899"/>
      <c r="PPL41" s="899"/>
      <c r="PPM41" s="899"/>
      <c r="PPN41" s="899"/>
      <c r="PPO41" s="899"/>
      <c r="PPP41" s="899"/>
      <c r="PPQ41" s="899"/>
      <c r="PPR41" s="899"/>
      <c r="PPS41" s="899"/>
      <c r="PPT41" s="899"/>
      <c r="PPU41" s="899"/>
      <c r="PPV41" s="899"/>
      <c r="PPW41" s="899"/>
      <c r="PPX41" s="899"/>
      <c r="PPY41" s="899"/>
      <c r="PPZ41" s="899"/>
      <c r="PQA41" s="899"/>
      <c r="PQB41" s="899"/>
      <c r="PQC41" s="899"/>
      <c r="PQD41" s="899"/>
      <c r="PQE41" s="899"/>
      <c r="PQF41" s="899"/>
      <c r="PQG41" s="899"/>
      <c r="PQH41" s="899"/>
      <c r="PQI41" s="899"/>
      <c r="PQJ41" s="899"/>
      <c r="PQK41" s="899"/>
      <c r="PQL41" s="899"/>
      <c r="PQM41" s="899"/>
      <c r="PQN41" s="899"/>
      <c r="PQO41" s="899"/>
      <c r="PQP41" s="899"/>
      <c r="PQQ41" s="899"/>
      <c r="PQR41" s="899"/>
      <c r="PQS41" s="899"/>
      <c r="PQT41" s="899"/>
      <c r="PQU41" s="899"/>
      <c r="PQV41" s="899"/>
      <c r="PQW41" s="899"/>
      <c r="PQX41" s="899"/>
      <c r="PQY41" s="899"/>
      <c r="PQZ41" s="899"/>
      <c r="PRA41" s="899"/>
      <c r="PRB41" s="899"/>
      <c r="PRC41" s="899"/>
      <c r="PRD41" s="899"/>
      <c r="PRE41" s="899"/>
      <c r="PRF41" s="899"/>
      <c r="PRG41" s="899"/>
      <c r="PRH41" s="899"/>
      <c r="PRI41" s="899"/>
      <c r="PRJ41" s="899"/>
      <c r="PRK41" s="899"/>
      <c r="PRL41" s="899"/>
      <c r="PRM41" s="899"/>
      <c r="PRN41" s="899"/>
      <c r="PRO41" s="899"/>
      <c r="PRP41" s="899"/>
      <c r="PRQ41" s="899"/>
      <c r="PRR41" s="899"/>
      <c r="PRS41" s="899"/>
      <c r="PRT41" s="899"/>
      <c r="PRU41" s="899"/>
      <c r="PRV41" s="899"/>
      <c r="PRW41" s="899"/>
      <c r="PRX41" s="899"/>
      <c r="PRY41" s="899"/>
      <c r="PRZ41" s="899"/>
      <c r="PSA41" s="899"/>
      <c r="PSB41" s="899"/>
      <c r="PSC41" s="899"/>
      <c r="PSD41" s="899"/>
      <c r="PSE41" s="899"/>
      <c r="PSF41" s="899"/>
      <c r="PSG41" s="899"/>
      <c r="PSH41" s="899"/>
      <c r="PSI41" s="899"/>
      <c r="PSJ41" s="899"/>
      <c r="PSK41" s="899"/>
      <c r="PSL41" s="899"/>
      <c r="PSM41" s="899"/>
      <c r="PSN41" s="899"/>
      <c r="PSO41" s="899"/>
      <c r="PSP41" s="899"/>
      <c r="PSQ41" s="899"/>
      <c r="PSR41" s="899"/>
      <c r="PSS41" s="899"/>
      <c r="PST41" s="899"/>
      <c r="PSU41" s="899"/>
      <c r="PSV41" s="899"/>
      <c r="PSW41" s="899"/>
      <c r="PSX41" s="899"/>
      <c r="PSY41" s="899"/>
      <c r="PSZ41" s="899"/>
      <c r="PTA41" s="899"/>
      <c r="PTB41" s="899"/>
      <c r="PTC41" s="899"/>
      <c r="PTD41" s="899"/>
      <c r="PTE41" s="899"/>
      <c r="PTF41" s="899"/>
      <c r="PTG41" s="899"/>
      <c r="PTH41" s="899"/>
      <c r="PTI41" s="899"/>
      <c r="PTJ41" s="899"/>
      <c r="PTK41" s="899"/>
      <c r="PTL41" s="899"/>
      <c r="PTM41" s="899"/>
      <c r="PTN41" s="899"/>
      <c r="PTO41" s="899"/>
      <c r="PTP41" s="899"/>
      <c r="PTQ41" s="899"/>
      <c r="PTR41" s="899"/>
      <c r="PTS41" s="899"/>
      <c r="PTT41" s="899"/>
      <c r="PTU41" s="899"/>
      <c r="PTV41" s="899"/>
      <c r="PTW41" s="899"/>
      <c r="PTX41" s="899"/>
      <c r="PTY41" s="899"/>
      <c r="PTZ41" s="899"/>
      <c r="PUA41" s="899"/>
      <c r="PUB41" s="899"/>
      <c r="PUC41" s="899"/>
      <c r="PUD41" s="899"/>
      <c r="PUE41" s="899"/>
      <c r="PUF41" s="899"/>
      <c r="PUG41" s="899"/>
      <c r="PUH41" s="899"/>
      <c r="PUI41" s="899"/>
      <c r="PUJ41" s="899"/>
      <c r="PUK41" s="899"/>
      <c r="PUL41" s="899"/>
      <c r="PUM41" s="899"/>
      <c r="PUN41" s="899"/>
      <c r="PUO41" s="899"/>
      <c r="PUP41" s="899"/>
      <c r="PUQ41" s="899"/>
      <c r="PUR41" s="899"/>
      <c r="PUS41" s="899"/>
      <c r="PUT41" s="899"/>
      <c r="PUU41" s="899"/>
      <c r="PUV41" s="899"/>
      <c r="PUW41" s="899"/>
      <c r="PUX41" s="899"/>
      <c r="PUY41" s="899"/>
      <c r="PUZ41" s="899"/>
      <c r="PVA41" s="899"/>
      <c r="PVB41" s="899"/>
      <c r="PVC41" s="899"/>
      <c r="PVD41" s="899"/>
      <c r="PVE41" s="899"/>
      <c r="PVF41" s="899"/>
      <c r="PVG41" s="899"/>
      <c r="PVH41" s="899"/>
      <c r="PVI41" s="899"/>
      <c r="PVJ41" s="899"/>
      <c r="PVK41" s="899"/>
      <c r="PVL41" s="899"/>
      <c r="PVM41" s="899"/>
      <c r="PVN41" s="899"/>
      <c r="PVO41" s="899"/>
      <c r="PVP41" s="899"/>
      <c r="PVQ41" s="899"/>
      <c r="PVR41" s="899"/>
      <c r="PVS41" s="899"/>
      <c r="PVT41" s="899"/>
      <c r="PVU41" s="899"/>
      <c r="PVV41" s="899"/>
      <c r="PVW41" s="899"/>
      <c r="PVX41" s="899"/>
      <c r="PVY41" s="899"/>
      <c r="PVZ41" s="899"/>
      <c r="PWA41" s="899"/>
      <c r="PWB41" s="899"/>
      <c r="PWC41" s="899"/>
      <c r="PWD41" s="899"/>
      <c r="PWE41" s="899"/>
      <c r="PWF41" s="899"/>
      <c r="PWG41" s="899"/>
      <c r="PWH41" s="899"/>
      <c r="PWI41" s="899"/>
      <c r="PWJ41" s="899"/>
      <c r="PWK41" s="899"/>
      <c r="PWL41" s="899"/>
      <c r="PWM41" s="899"/>
      <c r="PWN41" s="899"/>
      <c r="PWO41" s="899"/>
      <c r="PWP41" s="899"/>
      <c r="PWQ41" s="899"/>
      <c r="PWR41" s="899"/>
      <c r="PWS41" s="899"/>
      <c r="PWT41" s="899"/>
      <c r="PWU41" s="899"/>
      <c r="PWV41" s="899"/>
      <c r="PWW41" s="899"/>
      <c r="PWX41" s="899"/>
      <c r="PWY41" s="899"/>
      <c r="PWZ41" s="899"/>
      <c r="PXA41" s="899"/>
      <c r="PXB41" s="899"/>
      <c r="PXC41" s="899"/>
      <c r="PXD41" s="899"/>
      <c r="PXE41" s="899"/>
      <c r="PXF41" s="899"/>
      <c r="PXG41" s="899"/>
      <c r="PXH41" s="899"/>
      <c r="PXI41" s="899"/>
      <c r="PXJ41" s="899"/>
      <c r="PXK41" s="899"/>
      <c r="PXL41" s="899"/>
      <c r="PXM41" s="899"/>
      <c r="PXN41" s="899"/>
      <c r="PXO41" s="899"/>
      <c r="PXP41" s="899"/>
      <c r="PXQ41" s="899"/>
      <c r="PXR41" s="899"/>
      <c r="PXS41" s="899"/>
      <c r="PXT41" s="899"/>
      <c r="PXU41" s="899"/>
      <c r="PXV41" s="899"/>
      <c r="PXW41" s="899"/>
      <c r="PXX41" s="899"/>
      <c r="PXY41" s="899"/>
      <c r="PXZ41" s="899"/>
      <c r="PYA41" s="899"/>
      <c r="PYB41" s="899"/>
      <c r="PYC41" s="899"/>
      <c r="PYD41" s="899"/>
      <c r="PYE41" s="899"/>
      <c r="PYF41" s="899"/>
      <c r="PYG41" s="899"/>
      <c r="PYH41" s="899"/>
      <c r="PYI41" s="899"/>
      <c r="PYJ41" s="899"/>
      <c r="PYK41" s="899"/>
      <c r="PYL41" s="899"/>
      <c r="PYM41" s="899"/>
      <c r="PYN41" s="899"/>
      <c r="PYO41" s="899"/>
      <c r="PYP41" s="899"/>
      <c r="PYQ41" s="899"/>
      <c r="PYR41" s="899"/>
      <c r="PYS41" s="899"/>
      <c r="PYT41" s="899"/>
      <c r="PYU41" s="899"/>
      <c r="PYV41" s="899"/>
      <c r="PYW41" s="899"/>
      <c r="PYX41" s="899"/>
      <c r="PYY41" s="899"/>
      <c r="PYZ41" s="899"/>
      <c r="PZA41" s="899"/>
      <c r="PZB41" s="899"/>
      <c r="PZC41" s="899"/>
      <c r="PZD41" s="899"/>
      <c r="PZE41" s="899"/>
      <c r="PZF41" s="899"/>
      <c r="PZG41" s="899"/>
      <c r="PZH41" s="899"/>
      <c r="PZI41" s="899"/>
      <c r="PZJ41" s="899"/>
      <c r="PZK41" s="899"/>
      <c r="PZL41" s="899"/>
      <c r="PZM41" s="899"/>
      <c r="PZN41" s="899"/>
      <c r="PZO41" s="899"/>
      <c r="PZP41" s="899"/>
      <c r="PZQ41" s="899"/>
      <c r="PZR41" s="899"/>
      <c r="PZS41" s="899"/>
      <c r="PZT41" s="899"/>
      <c r="PZU41" s="899"/>
      <c r="PZV41" s="899"/>
      <c r="PZW41" s="899"/>
      <c r="PZX41" s="899"/>
      <c r="PZY41" s="899"/>
      <c r="PZZ41" s="899"/>
      <c r="QAA41" s="899"/>
      <c r="QAB41" s="899"/>
      <c r="QAC41" s="899"/>
      <c r="QAD41" s="899"/>
      <c r="QAE41" s="899"/>
      <c r="QAF41" s="899"/>
      <c r="QAG41" s="899"/>
      <c r="QAH41" s="899"/>
      <c r="QAI41" s="899"/>
      <c r="QAJ41" s="899"/>
      <c r="QAK41" s="899"/>
      <c r="QAL41" s="899"/>
      <c r="QAM41" s="899"/>
      <c r="QAN41" s="899"/>
      <c r="QAO41" s="899"/>
      <c r="QAP41" s="899"/>
      <c r="QAQ41" s="899"/>
      <c r="QAR41" s="899"/>
      <c r="QAS41" s="899"/>
      <c r="QAT41" s="899"/>
      <c r="QAU41" s="899"/>
      <c r="QAV41" s="899"/>
      <c r="QAW41" s="899"/>
      <c r="QAX41" s="899"/>
      <c r="QAY41" s="899"/>
      <c r="QAZ41" s="899"/>
      <c r="QBA41" s="899"/>
      <c r="QBB41" s="899"/>
      <c r="QBC41" s="899"/>
      <c r="QBD41" s="899"/>
      <c r="QBE41" s="899"/>
      <c r="QBF41" s="899"/>
      <c r="QBG41" s="899"/>
      <c r="QBH41" s="899"/>
      <c r="QBI41" s="899"/>
      <c r="QBJ41" s="899"/>
      <c r="QBK41" s="899"/>
      <c r="QBL41" s="899"/>
      <c r="QBM41" s="899"/>
      <c r="QBN41" s="899"/>
      <c r="QBO41" s="899"/>
      <c r="QBP41" s="899"/>
      <c r="QBQ41" s="899"/>
      <c r="QBR41" s="899"/>
      <c r="QBS41" s="899"/>
      <c r="QBT41" s="899"/>
      <c r="QBU41" s="899"/>
      <c r="QBV41" s="899"/>
      <c r="QBW41" s="899"/>
      <c r="QBX41" s="899"/>
      <c r="QBY41" s="899"/>
      <c r="QBZ41" s="899"/>
      <c r="QCA41" s="899"/>
      <c r="QCB41" s="899"/>
      <c r="QCC41" s="899"/>
      <c r="QCD41" s="899"/>
      <c r="QCE41" s="899"/>
      <c r="QCF41" s="899"/>
      <c r="QCG41" s="899"/>
      <c r="QCH41" s="899"/>
      <c r="QCI41" s="899"/>
      <c r="QCJ41" s="899"/>
      <c r="QCK41" s="899"/>
      <c r="QCL41" s="899"/>
      <c r="QCM41" s="899"/>
      <c r="QCN41" s="899"/>
      <c r="QCO41" s="899"/>
      <c r="QCP41" s="899"/>
      <c r="QCQ41" s="899"/>
      <c r="QCR41" s="899"/>
      <c r="QCS41" s="899"/>
      <c r="QCT41" s="899"/>
      <c r="QCU41" s="899"/>
      <c r="QCV41" s="899"/>
      <c r="QCW41" s="899"/>
      <c r="QCX41" s="899"/>
      <c r="QCY41" s="899"/>
      <c r="QCZ41" s="899"/>
      <c r="QDA41" s="899"/>
      <c r="QDB41" s="899"/>
      <c r="QDC41" s="899"/>
      <c r="QDD41" s="899"/>
      <c r="QDE41" s="899"/>
      <c r="QDF41" s="899"/>
      <c r="QDG41" s="899"/>
      <c r="QDH41" s="899"/>
      <c r="QDI41" s="899"/>
      <c r="QDJ41" s="899"/>
      <c r="QDK41" s="899"/>
      <c r="QDL41" s="899"/>
      <c r="QDM41" s="899"/>
      <c r="QDN41" s="899"/>
      <c r="QDO41" s="899"/>
      <c r="QDP41" s="899"/>
      <c r="QDQ41" s="899"/>
      <c r="QDR41" s="899"/>
      <c r="QDS41" s="899"/>
      <c r="QDT41" s="899"/>
      <c r="QDU41" s="899"/>
      <c r="QDV41" s="899"/>
      <c r="QDW41" s="899"/>
      <c r="QDX41" s="899"/>
      <c r="QDY41" s="899"/>
      <c r="QDZ41" s="899"/>
      <c r="QEA41" s="899"/>
      <c r="QEB41" s="899"/>
      <c r="QEC41" s="899"/>
      <c r="QED41" s="899"/>
      <c r="QEE41" s="899"/>
      <c r="QEF41" s="899"/>
      <c r="QEG41" s="899"/>
      <c r="QEH41" s="899"/>
      <c r="QEI41" s="899"/>
      <c r="QEJ41" s="899"/>
      <c r="QEK41" s="899"/>
      <c r="QEL41" s="899"/>
      <c r="QEM41" s="899"/>
      <c r="QEN41" s="899"/>
      <c r="QEO41" s="899"/>
      <c r="QEP41" s="899"/>
      <c r="QEQ41" s="899"/>
      <c r="QER41" s="899"/>
      <c r="QES41" s="899"/>
      <c r="QET41" s="899"/>
      <c r="QEU41" s="899"/>
      <c r="QEV41" s="899"/>
      <c r="QEW41" s="899"/>
      <c r="QEX41" s="899"/>
      <c r="QEY41" s="899"/>
      <c r="QEZ41" s="899"/>
      <c r="QFA41" s="899"/>
      <c r="QFB41" s="899"/>
      <c r="QFC41" s="899"/>
      <c r="QFD41" s="899"/>
      <c r="QFE41" s="899"/>
      <c r="QFF41" s="899"/>
      <c r="QFG41" s="899"/>
      <c r="QFH41" s="899"/>
      <c r="QFI41" s="899"/>
      <c r="QFJ41" s="899"/>
      <c r="QFK41" s="899"/>
      <c r="QFL41" s="899"/>
      <c r="QFM41" s="899"/>
      <c r="QFN41" s="899"/>
      <c r="QFO41" s="899"/>
      <c r="QFP41" s="899"/>
      <c r="QFQ41" s="899"/>
      <c r="QFR41" s="899"/>
      <c r="QFS41" s="899"/>
      <c r="QFT41" s="899"/>
      <c r="QFU41" s="899"/>
      <c r="QFV41" s="899"/>
      <c r="QFW41" s="899"/>
      <c r="QFX41" s="899"/>
      <c r="QFY41" s="899"/>
      <c r="QFZ41" s="899"/>
      <c r="QGA41" s="899"/>
      <c r="QGB41" s="899"/>
      <c r="QGC41" s="899"/>
      <c r="QGD41" s="899"/>
      <c r="QGE41" s="899"/>
      <c r="QGF41" s="899"/>
      <c r="QGG41" s="899"/>
      <c r="QGH41" s="899"/>
      <c r="QGI41" s="899"/>
      <c r="QGJ41" s="899"/>
      <c r="QGK41" s="899"/>
      <c r="QGL41" s="899"/>
      <c r="QGM41" s="899"/>
      <c r="QGN41" s="899"/>
      <c r="QGO41" s="899"/>
      <c r="QGP41" s="899"/>
      <c r="QGQ41" s="899"/>
      <c r="QGR41" s="899"/>
      <c r="QGS41" s="899"/>
      <c r="QGT41" s="899"/>
      <c r="QGU41" s="899"/>
      <c r="QGV41" s="899"/>
      <c r="QGW41" s="899"/>
      <c r="QGX41" s="899"/>
      <c r="QGY41" s="899"/>
      <c r="QGZ41" s="899"/>
      <c r="QHA41" s="899"/>
      <c r="QHB41" s="899"/>
      <c r="QHC41" s="899"/>
      <c r="QHD41" s="899"/>
      <c r="QHE41" s="899"/>
      <c r="QHF41" s="899"/>
      <c r="QHG41" s="899"/>
      <c r="QHH41" s="899"/>
      <c r="QHI41" s="899"/>
      <c r="QHJ41" s="899"/>
      <c r="QHK41" s="899"/>
      <c r="QHL41" s="899"/>
      <c r="QHM41" s="899"/>
      <c r="QHN41" s="899"/>
      <c r="QHO41" s="899"/>
      <c r="QHP41" s="899"/>
      <c r="QHQ41" s="899"/>
      <c r="QHR41" s="899"/>
      <c r="QHS41" s="899"/>
      <c r="QHT41" s="899"/>
      <c r="QHU41" s="899"/>
      <c r="QHV41" s="899"/>
      <c r="QHW41" s="899"/>
      <c r="QHX41" s="899"/>
      <c r="QHY41" s="899"/>
      <c r="QHZ41" s="899"/>
      <c r="QIA41" s="899"/>
      <c r="QIB41" s="899"/>
      <c r="QIC41" s="899"/>
      <c r="QID41" s="899"/>
      <c r="QIE41" s="899"/>
      <c r="QIF41" s="899"/>
      <c r="QIG41" s="899"/>
      <c r="QIH41" s="899"/>
      <c r="QII41" s="899"/>
      <c r="QIJ41" s="899"/>
      <c r="QIK41" s="899"/>
      <c r="QIL41" s="899"/>
      <c r="QIM41" s="899"/>
      <c r="QIN41" s="899"/>
      <c r="QIO41" s="899"/>
      <c r="QIP41" s="899"/>
      <c r="QIQ41" s="899"/>
      <c r="QIR41" s="899"/>
      <c r="QIS41" s="899"/>
      <c r="QIT41" s="899"/>
      <c r="QIU41" s="899"/>
      <c r="QIV41" s="899"/>
      <c r="QIW41" s="899"/>
      <c r="QIX41" s="899"/>
      <c r="QIY41" s="899"/>
      <c r="QIZ41" s="899"/>
      <c r="QJA41" s="899"/>
      <c r="QJB41" s="899"/>
      <c r="QJC41" s="899"/>
      <c r="QJD41" s="899"/>
      <c r="QJE41" s="899"/>
      <c r="QJF41" s="899"/>
      <c r="QJG41" s="899"/>
      <c r="QJH41" s="899"/>
      <c r="QJI41" s="899"/>
      <c r="QJJ41" s="899"/>
      <c r="QJK41" s="899"/>
      <c r="QJL41" s="899"/>
      <c r="QJM41" s="899"/>
      <c r="QJN41" s="899"/>
      <c r="QJO41" s="899"/>
      <c r="QJP41" s="899"/>
      <c r="QJQ41" s="899"/>
      <c r="QJR41" s="899"/>
      <c r="QJS41" s="899"/>
      <c r="QJT41" s="899"/>
      <c r="QJU41" s="899"/>
      <c r="QJV41" s="899"/>
      <c r="QJW41" s="899"/>
      <c r="QJX41" s="899"/>
      <c r="QJY41" s="899"/>
      <c r="QJZ41" s="899"/>
      <c r="QKA41" s="899"/>
      <c r="QKB41" s="899"/>
      <c r="QKC41" s="899"/>
      <c r="QKD41" s="899"/>
      <c r="QKE41" s="899"/>
      <c r="QKF41" s="899"/>
      <c r="QKG41" s="899"/>
      <c r="QKH41" s="899"/>
      <c r="QKI41" s="899"/>
      <c r="QKJ41" s="899"/>
      <c r="QKK41" s="899"/>
      <c r="QKL41" s="899"/>
      <c r="QKM41" s="899"/>
      <c r="QKN41" s="899"/>
      <c r="QKO41" s="899"/>
      <c r="QKP41" s="899"/>
      <c r="QKQ41" s="899"/>
      <c r="QKR41" s="899"/>
      <c r="QKS41" s="899"/>
      <c r="QKT41" s="899"/>
      <c r="QKU41" s="899"/>
      <c r="QKV41" s="899"/>
      <c r="QKW41" s="899"/>
      <c r="QKX41" s="899"/>
      <c r="QKY41" s="899"/>
      <c r="QKZ41" s="899"/>
      <c r="QLA41" s="899"/>
      <c r="QLB41" s="899"/>
      <c r="QLC41" s="899"/>
      <c r="QLD41" s="899"/>
      <c r="QLE41" s="899"/>
      <c r="QLF41" s="899"/>
      <c r="QLG41" s="899"/>
      <c r="QLH41" s="899"/>
      <c r="QLI41" s="899"/>
      <c r="QLJ41" s="899"/>
      <c r="QLK41" s="899"/>
      <c r="QLL41" s="899"/>
      <c r="QLM41" s="899"/>
      <c r="QLN41" s="899"/>
      <c r="QLO41" s="899"/>
      <c r="QLP41" s="899"/>
      <c r="QLQ41" s="899"/>
      <c r="QLR41" s="899"/>
      <c r="QLS41" s="899"/>
      <c r="QLT41" s="899"/>
      <c r="QLU41" s="899"/>
      <c r="QLV41" s="899"/>
      <c r="QLW41" s="899"/>
      <c r="QLX41" s="899"/>
      <c r="QLY41" s="899"/>
      <c r="QLZ41" s="899"/>
      <c r="QMA41" s="899"/>
      <c r="QMB41" s="899"/>
      <c r="QMC41" s="899"/>
      <c r="QMD41" s="899"/>
      <c r="QME41" s="899"/>
      <c r="QMF41" s="899"/>
      <c r="QMG41" s="899"/>
      <c r="QMH41" s="899"/>
      <c r="QMI41" s="899"/>
      <c r="QMJ41" s="899"/>
      <c r="QMK41" s="899"/>
      <c r="QML41" s="899"/>
      <c r="QMM41" s="899"/>
      <c r="QMN41" s="899"/>
      <c r="QMO41" s="899"/>
      <c r="QMP41" s="899"/>
      <c r="QMQ41" s="899"/>
      <c r="QMR41" s="899"/>
      <c r="QMS41" s="899"/>
      <c r="QMT41" s="899"/>
      <c r="QMU41" s="899"/>
      <c r="QMV41" s="899"/>
      <c r="QMW41" s="899"/>
      <c r="QMX41" s="899"/>
      <c r="QMY41" s="899"/>
      <c r="QMZ41" s="899"/>
      <c r="QNA41" s="899"/>
      <c r="QNB41" s="899"/>
      <c r="QNC41" s="899"/>
      <c r="QND41" s="899"/>
      <c r="QNE41" s="899"/>
      <c r="QNF41" s="899"/>
      <c r="QNG41" s="899"/>
      <c r="QNH41" s="899"/>
      <c r="QNI41" s="899"/>
      <c r="QNJ41" s="899"/>
      <c r="QNK41" s="899"/>
      <c r="QNL41" s="899"/>
      <c r="QNM41" s="899"/>
      <c r="QNN41" s="899"/>
      <c r="QNO41" s="899"/>
      <c r="QNP41" s="899"/>
      <c r="QNQ41" s="899"/>
      <c r="QNR41" s="899"/>
      <c r="QNS41" s="899"/>
      <c r="QNT41" s="899"/>
      <c r="QNU41" s="899"/>
      <c r="QNV41" s="899"/>
      <c r="QNW41" s="899"/>
      <c r="QNX41" s="899"/>
      <c r="QNY41" s="899"/>
      <c r="QNZ41" s="899"/>
      <c r="QOA41" s="899"/>
      <c r="QOB41" s="899"/>
      <c r="QOC41" s="899"/>
      <c r="QOD41" s="899"/>
      <c r="QOE41" s="899"/>
      <c r="QOF41" s="899"/>
      <c r="QOG41" s="899"/>
      <c r="QOH41" s="899"/>
      <c r="QOI41" s="899"/>
      <c r="QOJ41" s="899"/>
      <c r="QOK41" s="899"/>
      <c r="QOL41" s="899"/>
      <c r="QOM41" s="899"/>
      <c r="QON41" s="899"/>
      <c r="QOO41" s="899"/>
      <c r="QOP41" s="899"/>
      <c r="QOQ41" s="899"/>
      <c r="QOR41" s="899"/>
      <c r="QOS41" s="899"/>
      <c r="QOT41" s="899"/>
      <c r="QOU41" s="899"/>
      <c r="QOV41" s="899"/>
      <c r="QOW41" s="899"/>
      <c r="QOX41" s="899"/>
      <c r="QOY41" s="899"/>
      <c r="QOZ41" s="899"/>
      <c r="QPA41" s="899"/>
      <c r="QPB41" s="899"/>
      <c r="QPC41" s="899"/>
      <c r="QPD41" s="899"/>
      <c r="QPE41" s="899"/>
      <c r="QPF41" s="899"/>
      <c r="QPG41" s="899"/>
      <c r="QPH41" s="899"/>
      <c r="QPI41" s="899"/>
      <c r="QPJ41" s="899"/>
      <c r="QPK41" s="899"/>
      <c r="QPL41" s="899"/>
      <c r="QPM41" s="899"/>
      <c r="QPN41" s="899"/>
      <c r="QPO41" s="899"/>
      <c r="QPP41" s="899"/>
      <c r="QPQ41" s="899"/>
      <c r="QPR41" s="899"/>
      <c r="QPS41" s="899"/>
      <c r="QPT41" s="899"/>
      <c r="QPU41" s="899"/>
      <c r="QPV41" s="899"/>
      <c r="QPW41" s="899"/>
      <c r="QPX41" s="899"/>
      <c r="QPY41" s="899"/>
      <c r="QPZ41" s="899"/>
      <c r="QQA41" s="899"/>
      <c r="QQB41" s="899"/>
      <c r="QQC41" s="899"/>
      <c r="QQD41" s="899"/>
      <c r="QQE41" s="899"/>
      <c r="QQF41" s="899"/>
      <c r="QQG41" s="899"/>
      <c r="QQH41" s="899"/>
      <c r="QQI41" s="899"/>
      <c r="QQJ41" s="899"/>
      <c r="QQK41" s="899"/>
      <c r="QQL41" s="899"/>
      <c r="QQM41" s="899"/>
      <c r="QQN41" s="899"/>
      <c r="QQO41" s="899"/>
      <c r="QQP41" s="899"/>
      <c r="QQQ41" s="899"/>
      <c r="QQR41" s="899"/>
      <c r="QQS41" s="899"/>
      <c r="QQT41" s="899"/>
      <c r="QQU41" s="899"/>
      <c r="QQV41" s="899"/>
      <c r="QQW41" s="899"/>
      <c r="QQX41" s="899"/>
      <c r="QQY41" s="899"/>
      <c r="QQZ41" s="899"/>
      <c r="QRA41" s="899"/>
      <c r="QRB41" s="899"/>
      <c r="QRC41" s="899"/>
      <c r="QRD41" s="899"/>
      <c r="QRE41" s="899"/>
      <c r="QRF41" s="899"/>
      <c r="QRG41" s="899"/>
      <c r="QRH41" s="899"/>
      <c r="QRI41" s="899"/>
      <c r="QRJ41" s="899"/>
      <c r="QRK41" s="899"/>
      <c r="QRL41" s="899"/>
      <c r="QRM41" s="899"/>
      <c r="QRN41" s="899"/>
      <c r="QRO41" s="899"/>
      <c r="QRP41" s="899"/>
      <c r="QRQ41" s="899"/>
      <c r="QRR41" s="899"/>
      <c r="QRS41" s="899"/>
      <c r="QRT41" s="899"/>
      <c r="QRU41" s="899"/>
      <c r="QRV41" s="899"/>
      <c r="QRW41" s="899"/>
      <c r="QRX41" s="899"/>
      <c r="QRY41" s="899"/>
      <c r="QRZ41" s="899"/>
      <c r="QSA41" s="899"/>
      <c r="QSB41" s="899"/>
      <c r="QSC41" s="899"/>
      <c r="QSD41" s="899"/>
      <c r="QSE41" s="899"/>
      <c r="QSF41" s="899"/>
      <c r="QSG41" s="899"/>
      <c r="QSH41" s="899"/>
      <c r="QSI41" s="899"/>
      <c r="QSJ41" s="899"/>
      <c r="QSK41" s="899"/>
      <c r="QSL41" s="899"/>
      <c r="QSM41" s="899"/>
      <c r="QSN41" s="899"/>
      <c r="QSO41" s="899"/>
      <c r="QSP41" s="899"/>
      <c r="QSQ41" s="899"/>
      <c r="QSR41" s="899"/>
      <c r="QSS41" s="899"/>
      <c r="QST41" s="899"/>
      <c r="QSU41" s="899"/>
      <c r="QSV41" s="899"/>
      <c r="QSW41" s="899"/>
      <c r="QSX41" s="899"/>
      <c r="QSY41" s="899"/>
      <c r="QSZ41" s="899"/>
      <c r="QTA41" s="899"/>
      <c r="QTB41" s="899"/>
      <c r="QTC41" s="899"/>
      <c r="QTD41" s="899"/>
      <c r="QTE41" s="899"/>
      <c r="QTF41" s="899"/>
      <c r="QTG41" s="899"/>
      <c r="QTH41" s="899"/>
      <c r="QTI41" s="899"/>
      <c r="QTJ41" s="899"/>
      <c r="QTK41" s="899"/>
      <c r="QTL41" s="899"/>
      <c r="QTM41" s="899"/>
      <c r="QTN41" s="899"/>
      <c r="QTO41" s="899"/>
      <c r="QTP41" s="899"/>
      <c r="QTQ41" s="899"/>
      <c r="QTR41" s="899"/>
      <c r="QTS41" s="899"/>
      <c r="QTT41" s="899"/>
      <c r="QTU41" s="899"/>
      <c r="QTV41" s="899"/>
      <c r="QTW41" s="899"/>
      <c r="QTX41" s="899"/>
      <c r="QTY41" s="899"/>
      <c r="QTZ41" s="899"/>
      <c r="QUA41" s="899"/>
      <c r="QUB41" s="899"/>
      <c r="QUC41" s="899"/>
      <c r="QUD41" s="899"/>
      <c r="QUE41" s="899"/>
      <c r="QUF41" s="899"/>
      <c r="QUG41" s="899"/>
      <c r="QUH41" s="899"/>
      <c r="QUI41" s="899"/>
      <c r="QUJ41" s="899"/>
      <c r="QUK41" s="899"/>
      <c r="QUL41" s="899"/>
      <c r="QUM41" s="899"/>
      <c r="QUN41" s="899"/>
      <c r="QUO41" s="899"/>
      <c r="QUP41" s="899"/>
      <c r="QUQ41" s="899"/>
      <c r="QUR41" s="899"/>
      <c r="QUS41" s="899"/>
      <c r="QUT41" s="899"/>
      <c r="QUU41" s="899"/>
      <c r="QUV41" s="899"/>
      <c r="QUW41" s="899"/>
      <c r="QUX41" s="899"/>
      <c r="QUY41" s="899"/>
      <c r="QUZ41" s="899"/>
      <c r="QVA41" s="899"/>
      <c r="QVB41" s="899"/>
      <c r="QVC41" s="899"/>
      <c r="QVD41" s="899"/>
      <c r="QVE41" s="899"/>
      <c r="QVF41" s="899"/>
      <c r="QVG41" s="899"/>
      <c r="QVH41" s="899"/>
      <c r="QVI41" s="899"/>
      <c r="QVJ41" s="899"/>
      <c r="QVK41" s="899"/>
      <c r="QVL41" s="899"/>
      <c r="QVM41" s="899"/>
      <c r="QVN41" s="899"/>
      <c r="QVO41" s="899"/>
      <c r="QVP41" s="899"/>
      <c r="QVQ41" s="899"/>
      <c r="QVR41" s="899"/>
      <c r="QVS41" s="899"/>
      <c r="QVT41" s="899"/>
      <c r="QVU41" s="899"/>
      <c r="QVV41" s="899"/>
      <c r="QVW41" s="899"/>
      <c r="QVX41" s="899"/>
      <c r="QVY41" s="899"/>
      <c r="QVZ41" s="899"/>
      <c r="QWA41" s="899"/>
      <c r="QWB41" s="899"/>
      <c r="QWC41" s="899"/>
      <c r="QWD41" s="899"/>
      <c r="QWE41" s="899"/>
      <c r="QWF41" s="899"/>
      <c r="QWG41" s="899"/>
      <c r="QWH41" s="899"/>
      <c r="QWI41" s="899"/>
      <c r="QWJ41" s="899"/>
      <c r="QWK41" s="899"/>
      <c r="QWL41" s="899"/>
      <c r="QWM41" s="899"/>
      <c r="QWN41" s="899"/>
      <c r="QWO41" s="899"/>
      <c r="QWP41" s="899"/>
      <c r="QWQ41" s="899"/>
      <c r="QWR41" s="899"/>
      <c r="QWS41" s="899"/>
      <c r="QWT41" s="899"/>
      <c r="QWU41" s="899"/>
      <c r="QWV41" s="899"/>
      <c r="QWW41" s="899"/>
      <c r="QWX41" s="899"/>
      <c r="QWY41" s="899"/>
      <c r="QWZ41" s="899"/>
      <c r="QXA41" s="899"/>
      <c r="QXB41" s="899"/>
      <c r="QXC41" s="899"/>
      <c r="QXD41" s="899"/>
      <c r="QXE41" s="899"/>
      <c r="QXF41" s="899"/>
      <c r="QXG41" s="899"/>
      <c r="QXH41" s="899"/>
      <c r="QXI41" s="899"/>
      <c r="QXJ41" s="899"/>
      <c r="QXK41" s="899"/>
      <c r="QXL41" s="899"/>
      <c r="QXM41" s="899"/>
      <c r="QXN41" s="899"/>
      <c r="QXO41" s="899"/>
      <c r="QXP41" s="899"/>
      <c r="QXQ41" s="899"/>
      <c r="QXR41" s="899"/>
      <c r="QXS41" s="899"/>
      <c r="QXT41" s="899"/>
      <c r="QXU41" s="899"/>
      <c r="QXV41" s="899"/>
      <c r="QXW41" s="899"/>
      <c r="QXX41" s="899"/>
      <c r="QXY41" s="899"/>
      <c r="QXZ41" s="899"/>
      <c r="QYA41" s="899"/>
      <c r="QYB41" s="899"/>
      <c r="QYC41" s="899"/>
      <c r="QYD41" s="899"/>
      <c r="QYE41" s="899"/>
      <c r="QYF41" s="899"/>
      <c r="QYG41" s="899"/>
      <c r="QYH41" s="899"/>
      <c r="QYI41" s="899"/>
      <c r="QYJ41" s="899"/>
      <c r="QYK41" s="899"/>
      <c r="QYL41" s="899"/>
      <c r="QYM41" s="899"/>
      <c r="QYN41" s="899"/>
      <c r="QYO41" s="899"/>
      <c r="QYP41" s="899"/>
      <c r="QYQ41" s="899"/>
      <c r="QYR41" s="899"/>
      <c r="QYS41" s="899"/>
      <c r="QYT41" s="899"/>
      <c r="QYU41" s="899"/>
      <c r="QYV41" s="899"/>
      <c r="QYW41" s="899"/>
      <c r="QYX41" s="899"/>
      <c r="QYY41" s="899"/>
      <c r="QYZ41" s="899"/>
      <c r="QZA41" s="899"/>
      <c r="QZB41" s="899"/>
      <c r="QZC41" s="899"/>
      <c r="QZD41" s="899"/>
      <c r="QZE41" s="899"/>
      <c r="QZF41" s="899"/>
      <c r="QZG41" s="899"/>
      <c r="QZH41" s="899"/>
      <c r="QZI41" s="899"/>
      <c r="QZJ41" s="899"/>
      <c r="QZK41" s="899"/>
      <c r="QZL41" s="899"/>
      <c r="QZM41" s="899"/>
      <c r="QZN41" s="899"/>
      <c r="QZO41" s="899"/>
      <c r="QZP41" s="899"/>
      <c r="QZQ41" s="899"/>
      <c r="QZR41" s="899"/>
      <c r="QZS41" s="899"/>
      <c r="QZT41" s="899"/>
      <c r="QZU41" s="899"/>
      <c r="QZV41" s="899"/>
      <c r="QZW41" s="899"/>
      <c r="QZX41" s="899"/>
      <c r="QZY41" s="899"/>
      <c r="QZZ41" s="899"/>
      <c r="RAA41" s="899"/>
      <c r="RAB41" s="899"/>
      <c r="RAC41" s="899"/>
      <c r="RAD41" s="899"/>
      <c r="RAE41" s="899"/>
      <c r="RAF41" s="899"/>
      <c r="RAG41" s="899"/>
      <c r="RAH41" s="899"/>
      <c r="RAI41" s="899"/>
      <c r="RAJ41" s="899"/>
      <c r="RAK41" s="899"/>
      <c r="RAL41" s="899"/>
      <c r="RAM41" s="899"/>
      <c r="RAN41" s="899"/>
      <c r="RAO41" s="899"/>
      <c r="RAP41" s="899"/>
      <c r="RAQ41" s="899"/>
      <c r="RAR41" s="899"/>
      <c r="RAS41" s="899"/>
      <c r="RAT41" s="899"/>
      <c r="RAU41" s="899"/>
      <c r="RAV41" s="899"/>
      <c r="RAW41" s="899"/>
      <c r="RAX41" s="899"/>
      <c r="RAY41" s="899"/>
      <c r="RAZ41" s="899"/>
      <c r="RBA41" s="899"/>
      <c r="RBB41" s="899"/>
      <c r="RBC41" s="899"/>
      <c r="RBD41" s="899"/>
      <c r="RBE41" s="899"/>
      <c r="RBF41" s="899"/>
      <c r="RBG41" s="899"/>
      <c r="RBH41" s="899"/>
      <c r="RBI41" s="899"/>
      <c r="RBJ41" s="899"/>
      <c r="RBK41" s="899"/>
      <c r="RBL41" s="899"/>
      <c r="RBM41" s="899"/>
      <c r="RBN41" s="899"/>
      <c r="RBO41" s="899"/>
      <c r="RBP41" s="899"/>
      <c r="RBQ41" s="899"/>
      <c r="RBR41" s="899"/>
      <c r="RBS41" s="899"/>
      <c r="RBT41" s="899"/>
      <c r="RBU41" s="899"/>
      <c r="RBV41" s="899"/>
      <c r="RBW41" s="899"/>
      <c r="RBX41" s="899"/>
      <c r="RBY41" s="899"/>
      <c r="RBZ41" s="899"/>
      <c r="RCA41" s="899"/>
      <c r="RCB41" s="899"/>
      <c r="RCC41" s="899"/>
      <c r="RCD41" s="899"/>
      <c r="RCE41" s="899"/>
      <c r="RCF41" s="899"/>
      <c r="RCG41" s="899"/>
      <c r="RCH41" s="899"/>
      <c r="RCI41" s="899"/>
      <c r="RCJ41" s="899"/>
      <c r="RCK41" s="899"/>
      <c r="RCL41" s="899"/>
      <c r="RCM41" s="899"/>
      <c r="RCN41" s="899"/>
      <c r="RCO41" s="899"/>
      <c r="RCP41" s="899"/>
      <c r="RCQ41" s="899"/>
      <c r="RCR41" s="899"/>
      <c r="RCS41" s="899"/>
      <c r="RCT41" s="899"/>
      <c r="RCU41" s="899"/>
      <c r="RCV41" s="899"/>
      <c r="RCW41" s="899"/>
      <c r="RCX41" s="899"/>
      <c r="RCY41" s="899"/>
      <c r="RCZ41" s="899"/>
      <c r="RDA41" s="899"/>
      <c r="RDB41" s="899"/>
      <c r="RDC41" s="899"/>
      <c r="RDD41" s="899"/>
      <c r="RDE41" s="899"/>
      <c r="RDF41" s="899"/>
      <c r="RDG41" s="899"/>
      <c r="RDH41" s="899"/>
      <c r="RDI41" s="899"/>
      <c r="RDJ41" s="899"/>
      <c r="RDK41" s="899"/>
      <c r="RDL41" s="899"/>
      <c r="RDM41" s="899"/>
      <c r="RDN41" s="899"/>
      <c r="RDO41" s="899"/>
      <c r="RDP41" s="899"/>
      <c r="RDQ41" s="899"/>
      <c r="RDR41" s="899"/>
      <c r="RDS41" s="899"/>
      <c r="RDT41" s="899"/>
      <c r="RDU41" s="899"/>
      <c r="RDV41" s="899"/>
      <c r="RDW41" s="899"/>
      <c r="RDX41" s="899"/>
      <c r="RDY41" s="899"/>
      <c r="RDZ41" s="899"/>
      <c r="REA41" s="899"/>
      <c r="REB41" s="899"/>
      <c r="REC41" s="899"/>
      <c r="RED41" s="899"/>
      <c r="REE41" s="899"/>
      <c r="REF41" s="899"/>
      <c r="REG41" s="899"/>
      <c r="REH41" s="899"/>
      <c r="REI41" s="899"/>
      <c r="REJ41" s="899"/>
      <c r="REK41" s="899"/>
      <c r="REL41" s="899"/>
      <c r="REM41" s="899"/>
      <c r="REN41" s="899"/>
      <c r="REO41" s="899"/>
      <c r="REP41" s="899"/>
      <c r="REQ41" s="899"/>
      <c r="RER41" s="899"/>
      <c r="RES41" s="899"/>
      <c r="RET41" s="899"/>
      <c r="REU41" s="899"/>
      <c r="REV41" s="899"/>
      <c r="REW41" s="899"/>
      <c r="REX41" s="899"/>
      <c r="REY41" s="899"/>
      <c r="REZ41" s="899"/>
      <c r="RFA41" s="899"/>
      <c r="RFB41" s="899"/>
      <c r="RFC41" s="899"/>
      <c r="RFD41" s="899"/>
      <c r="RFE41" s="899"/>
      <c r="RFF41" s="899"/>
      <c r="RFG41" s="899"/>
      <c r="RFH41" s="899"/>
      <c r="RFI41" s="899"/>
      <c r="RFJ41" s="899"/>
      <c r="RFK41" s="899"/>
      <c r="RFL41" s="899"/>
      <c r="RFM41" s="899"/>
      <c r="RFN41" s="899"/>
      <c r="RFO41" s="899"/>
      <c r="RFP41" s="899"/>
      <c r="RFQ41" s="899"/>
      <c r="RFR41" s="899"/>
      <c r="RFS41" s="899"/>
      <c r="RFT41" s="899"/>
      <c r="RFU41" s="899"/>
      <c r="RFV41" s="899"/>
      <c r="RFW41" s="899"/>
      <c r="RFX41" s="899"/>
      <c r="RFY41" s="899"/>
      <c r="RFZ41" s="899"/>
      <c r="RGA41" s="899"/>
      <c r="RGB41" s="899"/>
      <c r="RGC41" s="899"/>
      <c r="RGD41" s="899"/>
      <c r="RGE41" s="899"/>
      <c r="RGF41" s="899"/>
      <c r="RGG41" s="899"/>
      <c r="RGH41" s="899"/>
      <c r="RGI41" s="899"/>
      <c r="RGJ41" s="899"/>
      <c r="RGK41" s="899"/>
      <c r="RGL41" s="899"/>
      <c r="RGM41" s="899"/>
      <c r="RGN41" s="899"/>
      <c r="RGO41" s="899"/>
      <c r="RGP41" s="899"/>
      <c r="RGQ41" s="899"/>
      <c r="RGR41" s="899"/>
      <c r="RGS41" s="899"/>
      <c r="RGT41" s="899"/>
      <c r="RGU41" s="899"/>
      <c r="RGV41" s="899"/>
      <c r="RGW41" s="899"/>
      <c r="RGX41" s="899"/>
      <c r="RGY41" s="899"/>
      <c r="RGZ41" s="899"/>
      <c r="RHA41" s="899"/>
      <c r="RHB41" s="899"/>
      <c r="RHC41" s="899"/>
      <c r="RHD41" s="899"/>
      <c r="RHE41" s="899"/>
      <c r="RHF41" s="899"/>
      <c r="RHG41" s="899"/>
      <c r="RHH41" s="899"/>
      <c r="RHI41" s="899"/>
      <c r="RHJ41" s="899"/>
      <c r="RHK41" s="899"/>
      <c r="RHL41" s="899"/>
      <c r="RHM41" s="899"/>
      <c r="RHN41" s="899"/>
      <c r="RHO41" s="899"/>
      <c r="RHP41" s="899"/>
      <c r="RHQ41" s="899"/>
      <c r="RHR41" s="899"/>
      <c r="RHS41" s="899"/>
      <c r="RHT41" s="899"/>
      <c r="RHU41" s="899"/>
      <c r="RHV41" s="899"/>
      <c r="RHW41" s="899"/>
      <c r="RHX41" s="899"/>
      <c r="RHY41" s="899"/>
      <c r="RHZ41" s="899"/>
      <c r="RIA41" s="899"/>
      <c r="RIB41" s="899"/>
      <c r="RIC41" s="899"/>
      <c r="RID41" s="899"/>
      <c r="RIE41" s="899"/>
      <c r="RIF41" s="899"/>
      <c r="RIG41" s="899"/>
      <c r="RIH41" s="899"/>
      <c r="RII41" s="899"/>
      <c r="RIJ41" s="899"/>
      <c r="RIK41" s="899"/>
      <c r="RIL41" s="899"/>
      <c r="RIM41" s="899"/>
      <c r="RIN41" s="899"/>
      <c r="RIO41" s="899"/>
      <c r="RIP41" s="899"/>
      <c r="RIQ41" s="899"/>
      <c r="RIR41" s="899"/>
      <c r="RIS41" s="899"/>
      <c r="RIT41" s="899"/>
      <c r="RIU41" s="899"/>
      <c r="RIV41" s="899"/>
      <c r="RIW41" s="899"/>
      <c r="RIX41" s="899"/>
      <c r="RIY41" s="899"/>
      <c r="RIZ41" s="899"/>
      <c r="RJA41" s="899"/>
      <c r="RJB41" s="899"/>
      <c r="RJC41" s="899"/>
      <c r="RJD41" s="899"/>
      <c r="RJE41" s="899"/>
      <c r="RJF41" s="899"/>
      <c r="RJG41" s="899"/>
      <c r="RJH41" s="899"/>
      <c r="RJI41" s="899"/>
      <c r="RJJ41" s="899"/>
      <c r="RJK41" s="899"/>
      <c r="RJL41" s="899"/>
      <c r="RJM41" s="899"/>
      <c r="RJN41" s="899"/>
      <c r="RJO41" s="899"/>
      <c r="RJP41" s="899"/>
      <c r="RJQ41" s="899"/>
      <c r="RJR41" s="899"/>
      <c r="RJS41" s="899"/>
      <c r="RJT41" s="899"/>
      <c r="RJU41" s="899"/>
      <c r="RJV41" s="899"/>
      <c r="RJW41" s="899"/>
      <c r="RJX41" s="899"/>
      <c r="RJY41" s="899"/>
      <c r="RJZ41" s="899"/>
      <c r="RKA41" s="899"/>
      <c r="RKB41" s="899"/>
      <c r="RKC41" s="899"/>
      <c r="RKD41" s="899"/>
      <c r="RKE41" s="899"/>
      <c r="RKF41" s="899"/>
      <c r="RKG41" s="899"/>
      <c r="RKH41" s="899"/>
      <c r="RKI41" s="899"/>
      <c r="RKJ41" s="899"/>
      <c r="RKK41" s="899"/>
      <c r="RKL41" s="899"/>
      <c r="RKM41" s="899"/>
      <c r="RKN41" s="899"/>
      <c r="RKO41" s="899"/>
      <c r="RKP41" s="899"/>
      <c r="RKQ41" s="899"/>
      <c r="RKR41" s="899"/>
      <c r="RKS41" s="899"/>
      <c r="RKT41" s="899"/>
      <c r="RKU41" s="899"/>
      <c r="RKV41" s="899"/>
      <c r="RKW41" s="899"/>
      <c r="RKX41" s="899"/>
      <c r="RKY41" s="899"/>
      <c r="RKZ41" s="899"/>
      <c r="RLA41" s="899"/>
      <c r="RLB41" s="899"/>
      <c r="RLC41" s="899"/>
      <c r="RLD41" s="899"/>
      <c r="RLE41" s="899"/>
      <c r="RLF41" s="899"/>
      <c r="RLG41" s="899"/>
      <c r="RLH41" s="899"/>
      <c r="RLI41" s="899"/>
      <c r="RLJ41" s="899"/>
      <c r="RLK41" s="899"/>
      <c r="RLL41" s="899"/>
      <c r="RLM41" s="899"/>
      <c r="RLN41" s="899"/>
      <c r="RLO41" s="899"/>
      <c r="RLP41" s="899"/>
      <c r="RLQ41" s="899"/>
      <c r="RLR41" s="899"/>
      <c r="RLS41" s="899"/>
      <c r="RLT41" s="899"/>
      <c r="RLU41" s="899"/>
      <c r="RLV41" s="899"/>
      <c r="RLW41" s="899"/>
      <c r="RLX41" s="899"/>
      <c r="RLY41" s="899"/>
      <c r="RLZ41" s="899"/>
      <c r="RMA41" s="899"/>
      <c r="RMB41" s="899"/>
      <c r="RMC41" s="899"/>
      <c r="RMD41" s="899"/>
      <c r="RME41" s="899"/>
      <c r="RMF41" s="899"/>
      <c r="RMG41" s="899"/>
      <c r="RMH41" s="899"/>
      <c r="RMI41" s="899"/>
      <c r="RMJ41" s="899"/>
      <c r="RMK41" s="899"/>
      <c r="RML41" s="899"/>
      <c r="RMM41" s="899"/>
      <c r="RMN41" s="899"/>
      <c r="RMO41" s="899"/>
      <c r="RMP41" s="899"/>
      <c r="RMQ41" s="899"/>
      <c r="RMR41" s="899"/>
      <c r="RMS41" s="899"/>
      <c r="RMT41" s="899"/>
      <c r="RMU41" s="899"/>
      <c r="RMV41" s="899"/>
      <c r="RMW41" s="899"/>
      <c r="RMX41" s="899"/>
      <c r="RMY41" s="899"/>
      <c r="RMZ41" s="899"/>
      <c r="RNA41" s="899"/>
      <c r="RNB41" s="899"/>
      <c r="RNC41" s="899"/>
      <c r="RND41" s="899"/>
      <c r="RNE41" s="899"/>
      <c r="RNF41" s="899"/>
      <c r="RNG41" s="899"/>
      <c r="RNH41" s="899"/>
      <c r="RNI41" s="899"/>
      <c r="RNJ41" s="899"/>
      <c r="RNK41" s="899"/>
      <c r="RNL41" s="899"/>
      <c r="RNM41" s="899"/>
      <c r="RNN41" s="899"/>
      <c r="RNO41" s="899"/>
      <c r="RNP41" s="899"/>
      <c r="RNQ41" s="899"/>
      <c r="RNR41" s="899"/>
      <c r="RNS41" s="899"/>
      <c r="RNT41" s="899"/>
      <c r="RNU41" s="899"/>
      <c r="RNV41" s="899"/>
      <c r="RNW41" s="899"/>
      <c r="RNX41" s="899"/>
      <c r="RNY41" s="899"/>
      <c r="RNZ41" s="899"/>
      <c r="ROA41" s="899"/>
      <c r="ROB41" s="899"/>
      <c r="ROC41" s="899"/>
      <c r="ROD41" s="899"/>
      <c r="ROE41" s="899"/>
      <c r="ROF41" s="899"/>
      <c r="ROG41" s="899"/>
      <c r="ROH41" s="899"/>
      <c r="ROI41" s="899"/>
      <c r="ROJ41" s="899"/>
      <c r="ROK41" s="899"/>
      <c r="ROL41" s="899"/>
      <c r="ROM41" s="899"/>
      <c r="RON41" s="899"/>
      <c r="ROO41" s="899"/>
      <c r="ROP41" s="899"/>
      <c r="ROQ41" s="899"/>
      <c r="ROR41" s="899"/>
      <c r="ROS41" s="899"/>
      <c r="ROT41" s="899"/>
      <c r="ROU41" s="899"/>
      <c r="ROV41" s="899"/>
      <c r="ROW41" s="899"/>
      <c r="ROX41" s="899"/>
      <c r="ROY41" s="899"/>
      <c r="ROZ41" s="899"/>
      <c r="RPA41" s="899"/>
      <c r="RPB41" s="899"/>
      <c r="RPC41" s="899"/>
      <c r="RPD41" s="899"/>
      <c r="RPE41" s="899"/>
      <c r="RPF41" s="899"/>
      <c r="RPG41" s="899"/>
      <c r="RPH41" s="899"/>
      <c r="RPI41" s="899"/>
      <c r="RPJ41" s="899"/>
      <c r="RPK41" s="899"/>
      <c r="RPL41" s="899"/>
      <c r="RPM41" s="899"/>
      <c r="RPN41" s="899"/>
      <c r="RPO41" s="899"/>
      <c r="RPP41" s="899"/>
      <c r="RPQ41" s="899"/>
      <c r="RPR41" s="899"/>
      <c r="RPS41" s="899"/>
      <c r="RPT41" s="899"/>
      <c r="RPU41" s="899"/>
      <c r="RPV41" s="899"/>
      <c r="RPW41" s="899"/>
      <c r="RPX41" s="899"/>
      <c r="RPY41" s="899"/>
      <c r="RPZ41" s="899"/>
      <c r="RQA41" s="899"/>
      <c r="RQB41" s="899"/>
      <c r="RQC41" s="899"/>
      <c r="RQD41" s="899"/>
      <c r="RQE41" s="899"/>
      <c r="RQF41" s="899"/>
      <c r="RQG41" s="899"/>
      <c r="RQH41" s="899"/>
      <c r="RQI41" s="899"/>
      <c r="RQJ41" s="899"/>
      <c r="RQK41" s="899"/>
      <c r="RQL41" s="899"/>
      <c r="RQM41" s="899"/>
      <c r="RQN41" s="899"/>
      <c r="RQO41" s="899"/>
      <c r="RQP41" s="899"/>
      <c r="RQQ41" s="899"/>
      <c r="RQR41" s="899"/>
      <c r="RQS41" s="899"/>
      <c r="RQT41" s="899"/>
      <c r="RQU41" s="899"/>
      <c r="RQV41" s="899"/>
      <c r="RQW41" s="899"/>
      <c r="RQX41" s="899"/>
      <c r="RQY41" s="899"/>
      <c r="RQZ41" s="899"/>
      <c r="RRA41" s="899"/>
      <c r="RRB41" s="899"/>
      <c r="RRC41" s="899"/>
      <c r="RRD41" s="899"/>
      <c r="RRE41" s="899"/>
      <c r="RRF41" s="899"/>
      <c r="RRG41" s="899"/>
      <c r="RRH41" s="899"/>
      <c r="RRI41" s="899"/>
      <c r="RRJ41" s="899"/>
      <c r="RRK41" s="899"/>
      <c r="RRL41" s="899"/>
      <c r="RRM41" s="899"/>
      <c r="RRN41" s="899"/>
      <c r="RRO41" s="899"/>
      <c r="RRP41" s="899"/>
      <c r="RRQ41" s="899"/>
      <c r="RRR41" s="899"/>
      <c r="RRS41" s="899"/>
      <c r="RRT41" s="899"/>
      <c r="RRU41" s="899"/>
      <c r="RRV41" s="899"/>
      <c r="RRW41" s="899"/>
      <c r="RRX41" s="899"/>
      <c r="RRY41" s="899"/>
      <c r="RRZ41" s="899"/>
      <c r="RSA41" s="899"/>
      <c r="RSB41" s="899"/>
      <c r="RSC41" s="899"/>
      <c r="RSD41" s="899"/>
      <c r="RSE41" s="899"/>
      <c r="RSF41" s="899"/>
      <c r="RSG41" s="899"/>
      <c r="RSH41" s="899"/>
      <c r="RSI41" s="899"/>
      <c r="RSJ41" s="899"/>
      <c r="RSK41" s="899"/>
      <c r="RSL41" s="899"/>
      <c r="RSM41" s="899"/>
      <c r="RSN41" s="899"/>
      <c r="RSO41" s="899"/>
      <c r="RSP41" s="899"/>
      <c r="RSQ41" s="899"/>
      <c r="RSR41" s="899"/>
      <c r="RSS41" s="899"/>
      <c r="RST41" s="899"/>
      <c r="RSU41" s="899"/>
      <c r="RSV41" s="899"/>
      <c r="RSW41" s="899"/>
      <c r="RSX41" s="899"/>
      <c r="RSY41" s="899"/>
      <c r="RSZ41" s="899"/>
      <c r="RTA41" s="899"/>
      <c r="RTB41" s="899"/>
      <c r="RTC41" s="899"/>
      <c r="RTD41" s="899"/>
      <c r="RTE41" s="899"/>
      <c r="RTF41" s="899"/>
      <c r="RTG41" s="899"/>
      <c r="RTH41" s="899"/>
      <c r="RTI41" s="899"/>
      <c r="RTJ41" s="899"/>
      <c r="RTK41" s="899"/>
      <c r="RTL41" s="899"/>
      <c r="RTM41" s="899"/>
      <c r="RTN41" s="899"/>
      <c r="RTO41" s="899"/>
      <c r="RTP41" s="899"/>
      <c r="RTQ41" s="899"/>
      <c r="RTR41" s="899"/>
      <c r="RTS41" s="899"/>
      <c r="RTT41" s="899"/>
      <c r="RTU41" s="899"/>
      <c r="RTV41" s="899"/>
      <c r="RTW41" s="899"/>
      <c r="RTX41" s="899"/>
      <c r="RTY41" s="899"/>
      <c r="RTZ41" s="899"/>
      <c r="RUA41" s="899"/>
      <c r="RUB41" s="899"/>
      <c r="RUC41" s="899"/>
      <c r="RUD41" s="899"/>
      <c r="RUE41" s="899"/>
      <c r="RUF41" s="899"/>
      <c r="RUG41" s="899"/>
      <c r="RUH41" s="899"/>
      <c r="RUI41" s="899"/>
      <c r="RUJ41" s="899"/>
      <c r="RUK41" s="899"/>
      <c r="RUL41" s="899"/>
      <c r="RUM41" s="899"/>
      <c r="RUN41" s="899"/>
      <c r="RUO41" s="899"/>
      <c r="RUP41" s="899"/>
      <c r="RUQ41" s="899"/>
      <c r="RUR41" s="899"/>
      <c r="RUS41" s="899"/>
      <c r="RUT41" s="899"/>
      <c r="RUU41" s="899"/>
      <c r="RUV41" s="899"/>
      <c r="RUW41" s="899"/>
      <c r="RUX41" s="899"/>
      <c r="RUY41" s="899"/>
      <c r="RUZ41" s="899"/>
      <c r="RVA41" s="899"/>
      <c r="RVB41" s="899"/>
      <c r="RVC41" s="899"/>
      <c r="RVD41" s="899"/>
      <c r="RVE41" s="899"/>
      <c r="RVF41" s="899"/>
      <c r="RVG41" s="899"/>
      <c r="RVH41" s="899"/>
      <c r="RVI41" s="899"/>
      <c r="RVJ41" s="899"/>
      <c r="RVK41" s="899"/>
      <c r="RVL41" s="899"/>
      <c r="RVM41" s="899"/>
      <c r="RVN41" s="899"/>
      <c r="RVO41" s="899"/>
      <c r="RVP41" s="899"/>
      <c r="RVQ41" s="899"/>
      <c r="RVR41" s="899"/>
      <c r="RVS41" s="899"/>
      <c r="RVT41" s="899"/>
      <c r="RVU41" s="899"/>
      <c r="RVV41" s="899"/>
      <c r="RVW41" s="899"/>
      <c r="RVX41" s="899"/>
      <c r="RVY41" s="899"/>
      <c r="RVZ41" s="899"/>
      <c r="RWA41" s="899"/>
      <c r="RWB41" s="899"/>
      <c r="RWC41" s="899"/>
      <c r="RWD41" s="899"/>
      <c r="RWE41" s="899"/>
      <c r="RWF41" s="899"/>
      <c r="RWG41" s="899"/>
      <c r="RWH41" s="899"/>
      <c r="RWI41" s="899"/>
      <c r="RWJ41" s="899"/>
      <c r="RWK41" s="899"/>
      <c r="RWL41" s="899"/>
      <c r="RWM41" s="899"/>
      <c r="RWN41" s="899"/>
      <c r="RWO41" s="899"/>
      <c r="RWP41" s="899"/>
      <c r="RWQ41" s="899"/>
      <c r="RWR41" s="899"/>
      <c r="RWS41" s="899"/>
      <c r="RWT41" s="899"/>
      <c r="RWU41" s="899"/>
      <c r="RWV41" s="899"/>
      <c r="RWW41" s="899"/>
      <c r="RWX41" s="899"/>
      <c r="RWY41" s="899"/>
      <c r="RWZ41" s="899"/>
      <c r="RXA41" s="899"/>
      <c r="RXB41" s="899"/>
      <c r="RXC41" s="899"/>
      <c r="RXD41" s="899"/>
      <c r="RXE41" s="899"/>
      <c r="RXF41" s="899"/>
      <c r="RXG41" s="899"/>
      <c r="RXH41" s="899"/>
      <c r="RXI41" s="899"/>
      <c r="RXJ41" s="899"/>
      <c r="RXK41" s="899"/>
      <c r="RXL41" s="899"/>
      <c r="RXM41" s="899"/>
      <c r="RXN41" s="899"/>
      <c r="RXO41" s="899"/>
      <c r="RXP41" s="899"/>
      <c r="RXQ41" s="899"/>
      <c r="RXR41" s="899"/>
      <c r="RXS41" s="899"/>
      <c r="RXT41" s="899"/>
      <c r="RXU41" s="899"/>
      <c r="RXV41" s="899"/>
      <c r="RXW41" s="899"/>
      <c r="RXX41" s="899"/>
      <c r="RXY41" s="899"/>
      <c r="RXZ41" s="899"/>
      <c r="RYA41" s="899"/>
      <c r="RYB41" s="899"/>
      <c r="RYC41" s="899"/>
      <c r="RYD41" s="899"/>
      <c r="RYE41" s="899"/>
      <c r="RYF41" s="899"/>
      <c r="RYG41" s="899"/>
      <c r="RYH41" s="899"/>
      <c r="RYI41" s="899"/>
      <c r="RYJ41" s="899"/>
      <c r="RYK41" s="899"/>
      <c r="RYL41" s="899"/>
      <c r="RYM41" s="899"/>
      <c r="RYN41" s="899"/>
      <c r="RYO41" s="899"/>
      <c r="RYP41" s="899"/>
      <c r="RYQ41" s="899"/>
      <c r="RYR41" s="899"/>
      <c r="RYS41" s="899"/>
      <c r="RYT41" s="899"/>
      <c r="RYU41" s="899"/>
      <c r="RYV41" s="899"/>
      <c r="RYW41" s="899"/>
      <c r="RYX41" s="899"/>
      <c r="RYY41" s="899"/>
      <c r="RYZ41" s="899"/>
      <c r="RZA41" s="899"/>
      <c r="RZB41" s="899"/>
      <c r="RZC41" s="899"/>
      <c r="RZD41" s="899"/>
      <c r="RZE41" s="899"/>
      <c r="RZF41" s="899"/>
      <c r="RZG41" s="899"/>
      <c r="RZH41" s="899"/>
      <c r="RZI41" s="899"/>
      <c r="RZJ41" s="899"/>
      <c r="RZK41" s="899"/>
      <c r="RZL41" s="899"/>
      <c r="RZM41" s="899"/>
      <c r="RZN41" s="899"/>
      <c r="RZO41" s="899"/>
      <c r="RZP41" s="899"/>
      <c r="RZQ41" s="899"/>
      <c r="RZR41" s="899"/>
      <c r="RZS41" s="899"/>
      <c r="RZT41" s="899"/>
      <c r="RZU41" s="899"/>
      <c r="RZV41" s="899"/>
      <c r="RZW41" s="899"/>
      <c r="RZX41" s="899"/>
      <c r="RZY41" s="899"/>
      <c r="RZZ41" s="899"/>
      <c r="SAA41" s="899"/>
      <c r="SAB41" s="899"/>
      <c r="SAC41" s="899"/>
      <c r="SAD41" s="899"/>
      <c r="SAE41" s="899"/>
      <c r="SAF41" s="899"/>
      <c r="SAG41" s="899"/>
      <c r="SAH41" s="899"/>
      <c r="SAI41" s="899"/>
      <c r="SAJ41" s="899"/>
      <c r="SAK41" s="899"/>
      <c r="SAL41" s="899"/>
      <c r="SAM41" s="899"/>
      <c r="SAN41" s="899"/>
      <c r="SAO41" s="899"/>
      <c r="SAP41" s="899"/>
      <c r="SAQ41" s="899"/>
      <c r="SAR41" s="899"/>
      <c r="SAS41" s="899"/>
      <c r="SAT41" s="899"/>
      <c r="SAU41" s="899"/>
      <c r="SAV41" s="899"/>
      <c r="SAW41" s="899"/>
      <c r="SAX41" s="899"/>
      <c r="SAY41" s="899"/>
      <c r="SAZ41" s="899"/>
      <c r="SBA41" s="899"/>
      <c r="SBB41" s="899"/>
      <c r="SBC41" s="899"/>
      <c r="SBD41" s="899"/>
      <c r="SBE41" s="899"/>
      <c r="SBF41" s="899"/>
      <c r="SBG41" s="899"/>
      <c r="SBH41" s="899"/>
      <c r="SBI41" s="899"/>
      <c r="SBJ41" s="899"/>
      <c r="SBK41" s="899"/>
      <c r="SBL41" s="899"/>
      <c r="SBM41" s="899"/>
      <c r="SBN41" s="899"/>
      <c r="SBO41" s="899"/>
      <c r="SBP41" s="899"/>
      <c r="SBQ41" s="899"/>
      <c r="SBR41" s="899"/>
      <c r="SBS41" s="899"/>
      <c r="SBT41" s="899"/>
      <c r="SBU41" s="899"/>
      <c r="SBV41" s="899"/>
      <c r="SBW41" s="899"/>
      <c r="SBX41" s="899"/>
      <c r="SBY41" s="899"/>
      <c r="SBZ41" s="899"/>
      <c r="SCA41" s="899"/>
      <c r="SCB41" s="899"/>
      <c r="SCC41" s="899"/>
      <c r="SCD41" s="899"/>
      <c r="SCE41" s="899"/>
      <c r="SCF41" s="899"/>
      <c r="SCG41" s="899"/>
      <c r="SCH41" s="899"/>
      <c r="SCI41" s="899"/>
      <c r="SCJ41" s="899"/>
      <c r="SCK41" s="899"/>
      <c r="SCL41" s="899"/>
      <c r="SCM41" s="899"/>
      <c r="SCN41" s="899"/>
      <c r="SCO41" s="899"/>
      <c r="SCP41" s="899"/>
      <c r="SCQ41" s="899"/>
      <c r="SCR41" s="899"/>
      <c r="SCS41" s="899"/>
      <c r="SCT41" s="899"/>
      <c r="SCU41" s="899"/>
      <c r="SCV41" s="899"/>
      <c r="SCW41" s="899"/>
      <c r="SCX41" s="899"/>
      <c r="SCY41" s="899"/>
      <c r="SCZ41" s="899"/>
      <c r="SDA41" s="899"/>
      <c r="SDB41" s="899"/>
      <c r="SDC41" s="899"/>
      <c r="SDD41" s="899"/>
      <c r="SDE41" s="899"/>
      <c r="SDF41" s="899"/>
      <c r="SDG41" s="899"/>
      <c r="SDH41" s="899"/>
      <c r="SDI41" s="899"/>
      <c r="SDJ41" s="899"/>
      <c r="SDK41" s="899"/>
      <c r="SDL41" s="899"/>
      <c r="SDM41" s="899"/>
      <c r="SDN41" s="899"/>
      <c r="SDO41" s="899"/>
      <c r="SDP41" s="899"/>
      <c r="SDQ41" s="899"/>
      <c r="SDR41" s="899"/>
      <c r="SDS41" s="899"/>
      <c r="SDT41" s="899"/>
      <c r="SDU41" s="899"/>
      <c r="SDV41" s="899"/>
      <c r="SDW41" s="899"/>
      <c r="SDX41" s="899"/>
      <c r="SDY41" s="899"/>
      <c r="SDZ41" s="899"/>
      <c r="SEA41" s="899"/>
      <c r="SEB41" s="899"/>
      <c r="SEC41" s="899"/>
      <c r="SED41" s="899"/>
      <c r="SEE41" s="899"/>
      <c r="SEF41" s="899"/>
      <c r="SEG41" s="899"/>
      <c r="SEH41" s="899"/>
      <c r="SEI41" s="899"/>
      <c r="SEJ41" s="899"/>
      <c r="SEK41" s="899"/>
      <c r="SEL41" s="899"/>
      <c r="SEM41" s="899"/>
      <c r="SEN41" s="899"/>
      <c r="SEO41" s="899"/>
      <c r="SEP41" s="899"/>
      <c r="SEQ41" s="899"/>
      <c r="SER41" s="899"/>
      <c r="SES41" s="899"/>
      <c r="SET41" s="899"/>
      <c r="SEU41" s="899"/>
      <c r="SEV41" s="899"/>
      <c r="SEW41" s="899"/>
      <c r="SEX41" s="899"/>
      <c r="SEY41" s="899"/>
      <c r="SEZ41" s="899"/>
      <c r="SFA41" s="899"/>
      <c r="SFB41" s="899"/>
      <c r="SFC41" s="899"/>
      <c r="SFD41" s="899"/>
      <c r="SFE41" s="899"/>
      <c r="SFF41" s="899"/>
      <c r="SFG41" s="899"/>
      <c r="SFH41" s="899"/>
      <c r="SFI41" s="899"/>
      <c r="SFJ41" s="899"/>
      <c r="SFK41" s="899"/>
      <c r="SFL41" s="899"/>
      <c r="SFM41" s="899"/>
      <c r="SFN41" s="899"/>
      <c r="SFO41" s="899"/>
      <c r="SFP41" s="899"/>
      <c r="SFQ41" s="899"/>
      <c r="SFR41" s="899"/>
      <c r="SFS41" s="899"/>
      <c r="SFT41" s="899"/>
      <c r="SFU41" s="899"/>
      <c r="SFV41" s="899"/>
      <c r="SFW41" s="899"/>
      <c r="SFX41" s="899"/>
      <c r="SFY41" s="899"/>
      <c r="SFZ41" s="899"/>
      <c r="SGA41" s="899"/>
      <c r="SGB41" s="899"/>
      <c r="SGC41" s="899"/>
      <c r="SGD41" s="899"/>
      <c r="SGE41" s="899"/>
      <c r="SGF41" s="899"/>
      <c r="SGG41" s="899"/>
      <c r="SGH41" s="899"/>
      <c r="SGI41" s="899"/>
      <c r="SGJ41" s="899"/>
      <c r="SGK41" s="899"/>
      <c r="SGL41" s="899"/>
      <c r="SGM41" s="899"/>
      <c r="SGN41" s="899"/>
      <c r="SGO41" s="899"/>
      <c r="SGP41" s="899"/>
      <c r="SGQ41" s="899"/>
      <c r="SGR41" s="899"/>
      <c r="SGS41" s="899"/>
      <c r="SGT41" s="899"/>
      <c r="SGU41" s="899"/>
      <c r="SGV41" s="899"/>
      <c r="SGW41" s="899"/>
      <c r="SGX41" s="899"/>
      <c r="SGY41" s="899"/>
      <c r="SGZ41" s="899"/>
      <c r="SHA41" s="899"/>
      <c r="SHB41" s="899"/>
      <c r="SHC41" s="899"/>
      <c r="SHD41" s="899"/>
      <c r="SHE41" s="899"/>
      <c r="SHF41" s="899"/>
      <c r="SHG41" s="899"/>
      <c r="SHH41" s="899"/>
      <c r="SHI41" s="899"/>
      <c r="SHJ41" s="899"/>
      <c r="SHK41" s="899"/>
      <c r="SHL41" s="899"/>
      <c r="SHM41" s="899"/>
      <c r="SHN41" s="899"/>
      <c r="SHO41" s="899"/>
      <c r="SHP41" s="899"/>
      <c r="SHQ41" s="899"/>
      <c r="SHR41" s="899"/>
      <c r="SHS41" s="899"/>
      <c r="SHT41" s="899"/>
      <c r="SHU41" s="899"/>
      <c r="SHV41" s="899"/>
      <c r="SHW41" s="899"/>
      <c r="SHX41" s="899"/>
      <c r="SHY41" s="899"/>
      <c r="SHZ41" s="899"/>
      <c r="SIA41" s="899"/>
      <c r="SIB41" s="899"/>
      <c r="SIC41" s="899"/>
      <c r="SID41" s="899"/>
      <c r="SIE41" s="899"/>
      <c r="SIF41" s="899"/>
      <c r="SIG41" s="899"/>
      <c r="SIH41" s="899"/>
      <c r="SII41" s="899"/>
      <c r="SIJ41" s="899"/>
      <c r="SIK41" s="899"/>
      <c r="SIL41" s="899"/>
      <c r="SIM41" s="899"/>
      <c r="SIN41" s="899"/>
      <c r="SIO41" s="899"/>
      <c r="SIP41" s="899"/>
      <c r="SIQ41" s="899"/>
      <c r="SIR41" s="899"/>
      <c r="SIS41" s="899"/>
      <c r="SIT41" s="899"/>
      <c r="SIU41" s="899"/>
      <c r="SIV41" s="899"/>
      <c r="SIW41" s="899"/>
      <c r="SIX41" s="899"/>
      <c r="SIY41" s="899"/>
      <c r="SIZ41" s="899"/>
      <c r="SJA41" s="899"/>
      <c r="SJB41" s="899"/>
      <c r="SJC41" s="899"/>
      <c r="SJD41" s="899"/>
      <c r="SJE41" s="899"/>
      <c r="SJF41" s="899"/>
      <c r="SJG41" s="899"/>
      <c r="SJH41" s="899"/>
      <c r="SJI41" s="899"/>
      <c r="SJJ41" s="899"/>
      <c r="SJK41" s="899"/>
      <c r="SJL41" s="899"/>
      <c r="SJM41" s="899"/>
      <c r="SJN41" s="899"/>
      <c r="SJO41" s="899"/>
      <c r="SJP41" s="899"/>
      <c r="SJQ41" s="899"/>
      <c r="SJR41" s="899"/>
      <c r="SJS41" s="899"/>
      <c r="SJT41" s="899"/>
      <c r="SJU41" s="899"/>
      <c r="SJV41" s="899"/>
      <c r="SJW41" s="899"/>
      <c r="SJX41" s="899"/>
      <c r="SJY41" s="899"/>
      <c r="SJZ41" s="899"/>
      <c r="SKA41" s="899"/>
      <c r="SKB41" s="899"/>
      <c r="SKC41" s="899"/>
      <c r="SKD41" s="899"/>
      <c r="SKE41" s="899"/>
      <c r="SKF41" s="899"/>
      <c r="SKG41" s="899"/>
      <c r="SKH41" s="899"/>
      <c r="SKI41" s="899"/>
      <c r="SKJ41" s="899"/>
      <c r="SKK41" s="899"/>
      <c r="SKL41" s="899"/>
      <c r="SKM41" s="899"/>
      <c r="SKN41" s="899"/>
      <c r="SKO41" s="899"/>
      <c r="SKP41" s="899"/>
      <c r="SKQ41" s="899"/>
      <c r="SKR41" s="899"/>
      <c r="SKS41" s="899"/>
      <c r="SKT41" s="899"/>
      <c r="SKU41" s="899"/>
      <c r="SKV41" s="899"/>
      <c r="SKW41" s="899"/>
      <c r="SKX41" s="899"/>
      <c r="SKY41" s="899"/>
      <c r="SKZ41" s="899"/>
      <c r="SLA41" s="899"/>
      <c r="SLB41" s="899"/>
      <c r="SLC41" s="899"/>
      <c r="SLD41" s="899"/>
      <c r="SLE41" s="899"/>
      <c r="SLF41" s="899"/>
      <c r="SLG41" s="899"/>
      <c r="SLH41" s="899"/>
      <c r="SLI41" s="899"/>
      <c r="SLJ41" s="899"/>
      <c r="SLK41" s="899"/>
      <c r="SLL41" s="899"/>
      <c r="SLM41" s="899"/>
      <c r="SLN41" s="899"/>
      <c r="SLO41" s="899"/>
      <c r="SLP41" s="899"/>
      <c r="SLQ41" s="899"/>
      <c r="SLR41" s="899"/>
      <c r="SLS41" s="899"/>
      <c r="SLT41" s="899"/>
      <c r="SLU41" s="899"/>
      <c r="SLV41" s="899"/>
      <c r="SLW41" s="899"/>
      <c r="SLX41" s="899"/>
      <c r="SLY41" s="899"/>
      <c r="SLZ41" s="899"/>
      <c r="SMA41" s="899"/>
      <c r="SMB41" s="899"/>
      <c r="SMC41" s="899"/>
      <c r="SMD41" s="899"/>
      <c r="SME41" s="899"/>
      <c r="SMF41" s="899"/>
      <c r="SMG41" s="899"/>
      <c r="SMH41" s="899"/>
      <c r="SMI41" s="899"/>
      <c r="SMJ41" s="899"/>
      <c r="SMK41" s="899"/>
      <c r="SML41" s="899"/>
      <c r="SMM41" s="899"/>
      <c r="SMN41" s="899"/>
      <c r="SMO41" s="899"/>
      <c r="SMP41" s="899"/>
      <c r="SMQ41" s="899"/>
      <c r="SMR41" s="899"/>
      <c r="SMS41" s="899"/>
      <c r="SMT41" s="899"/>
      <c r="SMU41" s="899"/>
      <c r="SMV41" s="899"/>
      <c r="SMW41" s="899"/>
      <c r="SMX41" s="899"/>
      <c r="SMY41" s="899"/>
      <c r="SMZ41" s="899"/>
      <c r="SNA41" s="899"/>
      <c r="SNB41" s="899"/>
      <c r="SNC41" s="899"/>
      <c r="SND41" s="899"/>
      <c r="SNE41" s="899"/>
      <c r="SNF41" s="899"/>
      <c r="SNG41" s="899"/>
      <c r="SNH41" s="899"/>
      <c r="SNI41" s="899"/>
      <c r="SNJ41" s="899"/>
      <c r="SNK41" s="899"/>
      <c r="SNL41" s="899"/>
      <c r="SNM41" s="899"/>
      <c r="SNN41" s="899"/>
      <c r="SNO41" s="899"/>
      <c r="SNP41" s="899"/>
      <c r="SNQ41" s="899"/>
      <c r="SNR41" s="899"/>
      <c r="SNS41" s="899"/>
      <c r="SNT41" s="899"/>
      <c r="SNU41" s="899"/>
      <c r="SNV41" s="899"/>
      <c r="SNW41" s="899"/>
      <c r="SNX41" s="899"/>
      <c r="SNY41" s="899"/>
      <c r="SNZ41" s="899"/>
      <c r="SOA41" s="899"/>
      <c r="SOB41" s="899"/>
      <c r="SOC41" s="899"/>
      <c r="SOD41" s="899"/>
      <c r="SOE41" s="899"/>
      <c r="SOF41" s="899"/>
      <c r="SOG41" s="899"/>
      <c r="SOH41" s="899"/>
      <c r="SOI41" s="899"/>
      <c r="SOJ41" s="899"/>
      <c r="SOK41" s="899"/>
      <c r="SOL41" s="899"/>
      <c r="SOM41" s="899"/>
      <c r="SON41" s="899"/>
      <c r="SOO41" s="899"/>
      <c r="SOP41" s="899"/>
      <c r="SOQ41" s="899"/>
      <c r="SOR41" s="899"/>
      <c r="SOS41" s="899"/>
      <c r="SOT41" s="899"/>
      <c r="SOU41" s="899"/>
      <c r="SOV41" s="899"/>
      <c r="SOW41" s="899"/>
      <c r="SOX41" s="899"/>
      <c r="SOY41" s="899"/>
      <c r="SOZ41" s="899"/>
      <c r="SPA41" s="899"/>
      <c r="SPB41" s="899"/>
      <c r="SPC41" s="899"/>
      <c r="SPD41" s="899"/>
      <c r="SPE41" s="899"/>
      <c r="SPF41" s="899"/>
      <c r="SPG41" s="899"/>
      <c r="SPH41" s="899"/>
      <c r="SPI41" s="899"/>
      <c r="SPJ41" s="899"/>
      <c r="SPK41" s="899"/>
      <c r="SPL41" s="899"/>
      <c r="SPM41" s="899"/>
      <c r="SPN41" s="899"/>
      <c r="SPO41" s="899"/>
      <c r="SPP41" s="899"/>
      <c r="SPQ41" s="899"/>
      <c r="SPR41" s="899"/>
      <c r="SPS41" s="899"/>
      <c r="SPT41" s="899"/>
      <c r="SPU41" s="899"/>
      <c r="SPV41" s="899"/>
      <c r="SPW41" s="899"/>
      <c r="SPX41" s="899"/>
      <c r="SPY41" s="899"/>
      <c r="SPZ41" s="899"/>
      <c r="SQA41" s="899"/>
      <c r="SQB41" s="899"/>
      <c r="SQC41" s="899"/>
      <c r="SQD41" s="899"/>
      <c r="SQE41" s="899"/>
      <c r="SQF41" s="899"/>
      <c r="SQG41" s="899"/>
      <c r="SQH41" s="899"/>
      <c r="SQI41" s="899"/>
      <c r="SQJ41" s="899"/>
      <c r="SQK41" s="899"/>
      <c r="SQL41" s="899"/>
      <c r="SQM41" s="899"/>
      <c r="SQN41" s="899"/>
      <c r="SQO41" s="899"/>
      <c r="SQP41" s="899"/>
      <c r="SQQ41" s="899"/>
      <c r="SQR41" s="899"/>
      <c r="SQS41" s="899"/>
      <c r="SQT41" s="899"/>
      <c r="SQU41" s="899"/>
      <c r="SQV41" s="899"/>
      <c r="SQW41" s="899"/>
      <c r="SQX41" s="899"/>
      <c r="SQY41" s="899"/>
      <c r="SQZ41" s="899"/>
      <c r="SRA41" s="899"/>
      <c r="SRB41" s="899"/>
      <c r="SRC41" s="899"/>
      <c r="SRD41" s="899"/>
      <c r="SRE41" s="899"/>
      <c r="SRF41" s="899"/>
      <c r="SRG41" s="899"/>
      <c r="SRH41" s="899"/>
      <c r="SRI41" s="899"/>
      <c r="SRJ41" s="899"/>
      <c r="SRK41" s="899"/>
      <c r="SRL41" s="899"/>
      <c r="SRM41" s="899"/>
      <c r="SRN41" s="899"/>
      <c r="SRO41" s="899"/>
      <c r="SRP41" s="899"/>
      <c r="SRQ41" s="899"/>
      <c r="SRR41" s="899"/>
      <c r="SRS41" s="899"/>
      <c r="SRT41" s="899"/>
      <c r="SRU41" s="899"/>
      <c r="SRV41" s="899"/>
      <c r="SRW41" s="899"/>
      <c r="SRX41" s="899"/>
      <c r="SRY41" s="899"/>
      <c r="SRZ41" s="899"/>
      <c r="SSA41" s="899"/>
      <c r="SSB41" s="899"/>
      <c r="SSC41" s="899"/>
      <c r="SSD41" s="899"/>
      <c r="SSE41" s="899"/>
      <c r="SSF41" s="899"/>
      <c r="SSG41" s="899"/>
      <c r="SSH41" s="899"/>
      <c r="SSI41" s="899"/>
      <c r="SSJ41" s="899"/>
      <c r="SSK41" s="899"/>
      <c r="SSL41" s="899"/>
      <c r="SSM41" s="899"/>
      <c r="SSN41" s="899"/>
      <c r="SSO41" s="899"/>
      <c r="SSP41" s="899"/>
      <c r="SSQ41" s="899"/>
      <c r="SSR41" s="899"/>
      <c r="SSS41" s="899"/>
      <c r="SST41" s="899"/>
      <c r="SSU41" s="899"/>
      <c r="SSV41" s="899"/>
      <c r="SSW41" s="899"/>
      <c r="SSX41" s="899"/>
      <c r="SSY41" s="899"/>
      <c r="SSZ41" s="899"/>
      <c r="STA41" s="899"/>
      <c r="STB41" s="899"/>
      <c r="STC41" s="899"/>
      <c r="STD41" s="899"/>
      <c r="STE41" s="899"/>
      <c r="STF41" s="899"/>
      <c r="STG41" s="899"/>
      <c r="STH41" s="899"/>
      <c r="STI41" s="899"/>
      <c r="STJ41" s="899"/>
      <c r="STK41" s="899"/>
      <c r="STL41" s="899"/>
      <c r="STM41" s="899"/>
      <c r="STN41" s="899"/>
      <c r="STO41" s="899"/>
      <c r="STP41" s="899"/>
      <c r="STQ41" s="899"/>
      <c r="STR41" s="899"/>
      <c r="STS41" s="899"/>
      <c r="STT41" s="899"/>
      <c r="STU41" s="899"/>
      <c r="STV41" s="899"/>
      <c r="STW41" s="899"/>
      <c r="STX41" s="899"/>
      <c r="STY41" s="899"/>
      <c r="STZ41" s="899"/>
      <c r="SUA41" s="899"/>
      <c r="SUB41" s="899"/>
      <c r="SUC41" s="899"/>
      <c r="SUD41" s="899"/>
      <c r="SUE41" s="899"/>
      <c r="SUF41" s="899"/>
      <c r="SUG41" s="899"/>
      <c r="SUH41" s="899"/>
      <c r="SUI41" s="899"/>
      <c r="SUJ41" s="899"/>
      <c r="SUK41" s="899"/>
      <c r="SUL41" s="899"/>
      <c r="SUM41" s="899"/>
      <c r="SUN41" s="899"/>
      <c r="SUO41" s="899"/>
      <c r="SUP41" s="899"/>
      <c r="SUQ41" s="899"/>
      <c r="SUR41" s="899"/>
      <c r="SUS41" s="899"/>
      <c r="SUT41" s="899"/>
      <c r="SUU41" s="899"/>
      <c r="SUV41" s="899"/>
      <c r="SUW41" s="899"/>
      <c r="SUX41" s="899"/>
      <c r="SUY41" s="899"/>
      <c r="SUZ41" s="899"/>
      <c r="SVA41" s="899"/>
      <c r="SVB41" s="899"/>
      <c r="SVC41" s="899"/>
      <c r="SVD41" s="899"/>
      <c r="SVE41" s="899"/>
      <c r="SVF41" s="899"/>
      <c r="SVG41" s="899"/>
      <c r="SVH41" s="899"/>
      <c r="SVI41" s="899"/>
      <c r="SVJ41" s="899"/>
      <c r="SVK41" s="899"/>
      <c r="SVL41" s="899"/>
      <c r="SVM41" s="899"/>
      <c r="SVN41" s="899"/>
      <c r="SVO41" s="899"/>
      <c r="SVP41" s="899"/>
      <c r="SVQ41" s="899"/>
      <c r="SVR41" s="899"/>
      <c r="SVS41" s="899"/>
      <c r="SVT41" s="899"/>
      <c r="SVU41" s="899"/>
      <c r="SVV41" s="899"/>
      <c r="SVW41" s="899"/>
      <c r="SVX41" s="899"/>
      <c r="SVY41" s="899"/>
      <c r="SVZ41" s="899"/>
      <c r="SWA41" s="899"/>
      <c r="SWB41" s="899"/>
      <c r="SWC41" s="899"/>
      <c r="SWD41" s="899"/>
      <c r="SWE41" s="899"/>
      <c r="SWF41" s="899"/>
      <c r="SWG41" s="899"/>
      <c r="SWH41" s="899"/>
      <c r="SWI41" s="899"/>
      <c r="SWJ41" s="899"/>
      <c r="SWK41" s="899"/>
      <c r="SWL41" s="899"/>
      <c r="SWM41" s="899"/>
      <c r="SWN41" s="899"/>
      <c r="SWO41" s="899"/>
      <c r="SWP41" s="899"/>
      <c r="SWQ41" s="899"/>
      <c r="SWR41" s="899"/>
      <c r="SWS41" s="899"/>
      <c r="SWT41" s="899"/>
      <c r="SWU41" s="899"/>
      <c r="SWV41" s="899"/>
      <c r="SWW41" s="899"/>
      <c r="SWX41" s="899"/>
      <c r="SWY41" s="899"/>
      <c r="SWZ41" s="899"/>
      <c r="SXA41" s="899"/>
      <c r="SXB41" s="899"/>
      <c r="SXC41" s="899"/>
      <c r="SXD41" s="899"/>
      <c r="SXE41" s="899"/>
      <c r="SXF41" s="899"/>
      <c r="SXG41" s="899"/>
      <c r="SXH41" s="899"/>
      <c r="SXI41" s="899"/>
      <c r="SXJ41" s="899"/>
      <c r="SXK41" s="899"/>
      <c r="SXL41" s="899"/>
      <c r="SXM41" s="899"/>
      <c r="SXN41" s="899"/>
      <c r="SXO41" s="899"/>
      <c r="SXP41" s="899"/>
      <c r="SXQ41" s="899"/>
      <c r="SXR41" s="899"/>
      <c r="SXS41" s="899"/>
      <c r="SXT41" s="899"/>
      <c r="SXU41" s="899"/>
      <c r="SXV41" s="899"/>
      <c r="SXW41" s="899"/>
      <c r="SXX41" s="899"/>
      <c r="SXY41" s="899"/>
      <c r="SXZ41" s="899"/>
      <c r="SYA41" s="899"/>
      <c r="SYB41" s="899"/>
      <c r="SYC41" s="899"/>
      <c r="SYD41" s="899"/>
      <c r="SYE41" s="899"/>
      <c r="SYF41" s="899"/>
      <c r="SYG41" s="899"/>
      <c r="SYH41" s="899"/>
      <c r="SYI41" s="899"/>
      <c r="SYJ41" s="899"/>
      <c r="SYK41" s="899"/>
      <c r="SYL41" s="899"/>
      <c r="SYM41" s="899"/>
      <c r="SYN41" s="899"/>
      <c r="SYO41" s="899"/>
      <c r="SYP41" s="899"/>
      <c r="SYQ41" s="899"/>
      <c r="SYR41" s="899"/>
      <c r="SYS41" s="899"/>
      <c r="SYT41" s="899"/>
      <c r="SYU41" s="899"/>
      <c r="SYV41" s="899"/>
      <c r="SYW41" s="899"/>
      <c r="SYX41" s="899"/>
      <c r="SYY41" s="899"/>
      <c r="SYZ41" s="899"/>
      <c r="SZA41" s="899"/>
      <c r="SZB41" s="899"/>
      <c r="SZC41" s="899"/>
      <c r="SZD41" s="899"/>
      <c r="SZE41" s="899"/>
      <c r="SZF41" s="899"/>
      <c r="SZG41" s="899"/>
      <c r="SZH41" s="899"/>
      <c r="SZI41" s="899"/>
      <c r="SZJ41" s="899"/>
      <c r="SZK41" s="899"/>
      <c r="SZL41" s="899"/>
      <c r="SZM41" s="899"/>
      <c r="SZN41" s="899"/>
      <c r="SZO41" s="899"/>
      <c r="SZP41" s="899"/>
      <c r="SZQ41" s="899"/>
      <c r="SZR41" s="899"/>
      <c r="SZS41" s="899"/>
      <c r="SZT41" s="899"/>
      <c r="SZU41" s="899"/>
      <c r="SZV41" s="899"/>
      <c r="SZW41" s="899"/>
      <c r="SZX41" s="899"/>
      <c r="SZY41" s="899"/>
      <c r="SZZ41" s="899"/>
      <c r="TAA41" s="899"/>
      <c r="TAB41" s="899"/>
      <c r="TAC41" s="899"/>
      <c r="TAD41" s="899"/>
      <c r="TAE41" s="899"/>
      <c r="TAF41" s="899"/>
      <c r="TAG41" s="899"/>
      <c r="TAH41" s="899"/>
      <c r="TAI41" s="899"/>
      <c r="TAJ41" s="899"/>
      <c r="TAK41" s="899"/>
      <c r="TAL41" s="899"/>
      <c r="TAM41" s="899"/>
      <c r="TAN41" s="899"/>
      <c r="TAO41" s="899"/>
      <c r="TAP41" s="899"/>
      <c r="TAQ41" s="899"/>
      <c r="TAR41" s="899"/>
      <c r="TAS41" s="899"/>
      <c r="TAT41" s="899"/>
      <c r="TAU41" s="899"/>
      <c r="TAV41" s="899"/>
      <c r="TAW41" s="899"/>
      <c r="TAX41" s="899"/>
      <c r="TAY41" s="899"/>
      <c r="TAZ41" s="899"/>
      <c r="TBA41" s="899"/>
      <c r="TBB41" s="899"/>
      <c r="TBC41" s="899"/>
      <c r="TBD41" s="899"/>
      <c r="TBE41" s="899"/>
      <c r="TBF41" s="899"/>
      <c r="TBG41" s="899"/>
      <c r="TBH41" s="899"/>
      <c r="TBI41" s="899"/>
      <c r="TBJ41" s="899"/>
      <c r="TBK41" s="899"/>
      <c r="TBL41" s="899"/>
      <c r="TBM41" s="899"/>
      <c r="TBN41" s="899"/>
      <c r="TBO41" s="899"/>
      <c r="TBP41" s="899"/>
      <c r="TBQ41" s="899"/>
      <c r="TBR41" s="899"/>
      <c r="TBS41" s="899"/>
      <c r="TBT41" s="899"/>
      <c r="TBU41" s="899"/>
      <c r="TBV41" s="899"/>
      <c r="TBW41" s="899"/>
      <c r="TBX41" s="899"/>
      <c r="TBY41" s="899"/>
      <c r="TBZ41" s="899"/>
      <c r="TCA41" s="899"/>
      <c r="TCB41" s="899"/>
      <c r="TCC41" s="899"/>
      <c r="TCD41" s="899"/>
      <c r="TCE41" s="899"/>
      <c r="TCF41" s="899"/>
      <c r="TCG41" s="899"/>
      <c r="TCH41" s="899"/>
      <c r="TCI41" s="899"/>
      <c r="TCJ41" s="899"/>
      <c r="TCK41" s="899"/>
      <c r="TCL41" s="899"/>
      <c r="TCM41" s="899"/>
      <c r="TCN41" s="899"/>
      <c r="TCO41" s="899"/>
      <c r="TCP41" s="899"/>
      <c r="TCQ41" s="899"/>
      <c r="TCR41" s="899"/>
      <c r="TCS41" s="899"/>
      <c r="TCT41" s="899"/>
      <c r="TCU41" s="899"/>
      <c r="TCV41" s="899"/>
      <c r="TCW41" s="899"/>
      <c r="TCX41" s="899"/>
      <c r="TCY41" s="899"/>
      <c r="TCZ41" s="899"/>
      <c r="TDA41" s="899"/>
      <c r="TDB41" s="899"/>
      <c r="TDC41" s="899"/>
      <c r="TDD41" s="899"/>
      <c r="TDE41" s="899"/>
      <c r="TDF41" s="899"/>
      <c r="TDG41" s="899"/>
      <c r="TDH41" s="899"/>
      <c r="TDI41" s="899"/>
      <c r="TDJ41" s="899"/>
      <c r="TDK41" s="899"/>
      <c r="TDL41" s="899"/>
      <c r="TDM41" s="899"/>
      <c r="TDN41" s="899"/>
      <c r="TDO41" s="899"/>
      <c r="TDP41" s="899"/>
      <c r="TDQ41" s="899"/>
      <c r="TDR41" s="899"/>
      <c r="TDS41" s="899"/>
      <c r="TDT41" s="899"/>
      <c r="TDU41" s="899"/>
      <c r="TDV41" s="899"/>
      <c r="TDW41" s="899"/>
      <c r="TDX41" s="899"/>
      <c r="TDY41" s="899"/>
      <c r="TDZ41" s="899"/>
      <c r="TEA41" s="899"/>
      <c r="TEB41" s="899"/>
      <c r="TEC41" s="899"/>
      <c r="TED41" s="899"/>
      <c r="TEE41" s="899"/>
      <c r="TEF41" s="899"/>
      <c r="TEG41" s="899"/>
      <c r="TEH41" s="899"/>
      <c r="TEI41" s="899"/>
      <c r="TEJ41" s="899"/>
      <c r="TEK41" s="899"/>
      <c r="TEL41" s="899"/>
      <c r="TEM41" s="899"/>
      <c r="TEN41" s="899"/>
      <c r="TEO41" s="899"/>
      <c r="TEP41" s="899"/>
      <c r="TEQ41" s="899"/>
      <c r="TER41" s="899"/>
      <c r="TES41" s="899"/>
      <c r="TET41" s="899"/>
      <c r="TEU41" s="899"/>
      <c r="TEV41" s="899"/>
      <c r="TEW41" s="899"/>
      <c r="TEX41" s="899"/>
      <c r="TEY41" s="899"/>
      <c r="TEZ41" s="899"/>
      <c r="TFA41" s="899"/>
      <c r="TFB41" s="899"/>
      <c r="TFC41" s="899"/>
      <c r="TFD41" s="899"/>
      <c r="TFE41" s="899"/>
      <c r="TFF41" s="899"/>
      <c r="TFG41" s="899"/>
      <c r="TFH41" s="899"/>
      <c r="TFI41" s="899"/>
      <c r="TFJ41" s="899"/>
      <c r="TFK41" s="899"/>
      <c r="TFL41" s="899"/>
      <c r="TFM41" s="899"/>
      <c r="TFN41" s="899"/>
      <c r="TFO41" s="899"/>
      <c r="TFP41" s="899"/>
      <c r="TFQ41" s="899"/>
      <c r="TFR41" s="899"/>
      <c r="TFS41" s="899"/>
      <c r="TFT41" s="899"/>
      <c r="TFU41" s="899"/>
      <c r="TFV41" s="899"/>
      <c r="TFW41" s="899"/>
      <c r="TFX41" s="899"/>
      <c r="TFY41" s="899"/>
      <c r="TFZ41" s="899"/>
      <c r="TGA41" s="899"/>
      <c r="TGB41" s="899"/>
      <c r="TGC41" s="899"/>
      <c r="TGD41" s="899"/>
      <c r="TGE41" s="899"/>
      <c r="TGF41" s="899"/>
      <c r="TGG41" s="899"/>
      <c r="TGH41" s="899"/>
      <c r="TGI41" s="899"/>
      <c r="TGJ41" s="899"/>
      <c r="TGK41" s="899"/>
      <c r="TGL41" s="899"/>
      <c r="TGM41" s="899"/>
      <c r="TGN41" s="899"/>
      <c r="TGO41" s="899"/>
      <c r="TGP41" s="899"/>
      <c r="TGQ41" s="899"/>
      <c r="TGR41" s="899"/>
      <c r="TGS41" s="899"/>
      <c r="TGT41" s="899"/>
      <c r="TGU41" s="899"/>
      <c r="TGV41" s="899"/>
      <c r="TGW41" s="899"/>
      <c r="TGX41" s="899"/>
      <c r="TGY41" s="899"/>
      <c r="TGZ41" s="899"/>
      <c r="THA41" s="899"/>
      <c r="THB41" s="899"/>
      <c r="THC41" s="899"/>
      <c r="THD41" s="899"/>
      <c r="THE41" s="899"/>
      <c r="THF41" s="899"/>
      <c r="THG41" s="899"/>
      <c r="THH41" s="899"/>
      <c r="THI41" s="899"/>
      <c r="THJ41" s="899"/>
      <c r="THK41" s="899"/>
      <c r="THL41" s="899"/>
      <c r="THM41" s="899"/>
      <c r="THN41" s="899"/>
      <c r="THO41" s="899"/>
      <c r="THP41" s="899"/>
      <c r="THQ41" s="899"/>
      <c r="THR41" s="899"/>
      <c r="THS41" s="899"/>
      <c r="THT41" s="899"/>
      <c r="THU41" s="899"/>
      <c r="THV41" s="899"/>
      <c r="THW41" s="899"/>
      <c r="THX41" s="899"/>
      <c r="THY41" s="899"/>
      <c r="THZ41" s="899"/>
      <c r="TIA41" s="899"/>
      <c r="TIB41" s="899"/>
      <c r="TIC41" s="899"/>
      <c r="TID41" s="899"/>
      <c r="TIE41" s="899"/>
      <c r="TIF41" s="899"/>
      <c r="TIG41" s="899"/>
      <c r="TIH41" s="899"/>
      <c r="TII41" s="899"/>
      <c r="TIJ41" s="899"/>
      <c r="TIK41" s="899"/>
      <c r="TIL41" s="899"/>
      <c r="TIM41" s="899"/>
      <c r="TIN41" s="899"/>
      <c r="TIO41" s="899"/>
      <c r="TIP41" s="899"/>
      <c r="TIQ41" s="899"/>
      <c r="TIR41" s="899"/>
      <c r="TIS41" s="899"/>
      <c r="TIT41" s="899"/>
      <c r="TIU41" s="899"/>
      <c r="TIV41" s="899"/>
      <c r="TIW41" s="899"/>
      <c r="TIX41" s="899"/>
      <c r="TIY41" s="899"/>
      <c r="TIZ41" s="899"/>
      <c r="TJA41" s="899"/>
      <c r="TJB41" s="899"/>
      <c r="TJC41" s="899"/>
      <c r="TJD41" s="899"/>
      <c r="TJE41" s="899"/>
      <c r="TJF41" s="899"/>
      <c r="TJG41" s="899"/>
      <c r="TJH41" s="899"/>
      <c r="TJI41" s="899"/>
      <c r="TJJ41" s="899"/>
      <c r="TJK41" s="899"/>
      <c r="TJL41" s="899"/>
      <c r="TJM41" s="899"/>
      <c r="TJN41" s="899"/>
      <c r="TJO41" s="899"/>
      <c r="TJP41" s="899"/>
      <c r="TJQ41" s="899"/>
      <c r="TJR41" s="899"/>
      <c r="TJS41" s="899"/>
      <c r="TJT41" s="899"/>
      <c r="TJU41" s="899"/>
      <c r="TJV41" s="899"/>
      <c r="TJW41" s="899"/>
      <c r="TJX41" s="899"/>
      <c r="TJY41" s="899"/>
      <c r="TJZ41" s="899"/>
      <c r="TKA41" s="899"/>
      <c r="TKB41" s="899"/>
      <c r="TKC41" s="899"/>
      <c r="TKD41" s="899"/>
      <c r="TKE41" s="899"/>
      <c r="TKF41" s="899"/>
      <c r="TKG41" s="899"/>
      <c r="TKH41" s="899"/>
      <c r="TKI41" s="899"/>
      <c r="TKJ41" s="899"/>
      <c r="TKK41" s="899"/>
      <c r="TKL41" s="899"/>
      <c r="TKM41" s="899"/>
      <c r="TKN41" s="899"/>
      <c r="TKO41" s="899"/>
      <c r="TKP41" s="899"/>
      <c r="TKQ41" s="899"/>
      <c r="TKR41" s="899"/>
      <c r="TKS41" s="899"/>
      <c r="TKT41" s="899"/>
      <c r="TKU41" s="899"/>
      <c r="TKV41" s="899"/>
      <c r="TKW41" s="899"/>
      <c r="TKX41" s="899"/>
      <c r="TKY41" s="899"/>
      <c r="TKZ41" s="899"/>
      <c r="TLA41" s="899"/>
      <c r="TLB41" s="899"/>
      <c r="TLC41" s="899"/>
      <c r="TLD41" s="899"/>
      <c r="TLE41" s="899"/>
      <c r="TLF41" s="899"/>
      <c r="TLG41" s="899"/>
      <c r="TLH41" s="899"/>
      <c r="TLI41" s="899"/>
      <c r="TLJ41" s="899"/>
      <c r="TLK41" s="899"/>
      <c r="TLL41" s="899"/>
      <c r="TLM41" s="899"/>
      <c r="TLN41" s="899"/>
      <c r="TLO41" s="899"/>
      <c r="TLP41" s="899"/>
      <c r="TLQ41" s="899"/>
      <c r="TLR41" s="899"/>
      <c r="TLS41" s="899"/>
      <c r="TLT41" s="899"/>
      <c r="TLU41" s="899"/>
      <c r="TLV41" s="899"/>
      <c r="TLW41" s="899"/>
      <c r="TLX41" s="899"/>
      <c r="TLY41" s="899"/>
      <c r="TLZ41" s="899"/>
      <c r="TMA41" s="899"/>
      <c r="TMB41" s="899"/>
      <c r="TMC41" s="899"/>
      <c r="TMD41" s="899"/>
      <c r="TME41" s="899"/>
      <c r="TMF41" s="899"/>
      <c r="TMG41" s="899"/>
      <c r="TMH41" s="899"/>
      <c r="TMI41" s="899"/>
      <c r="TMJ41" s="899"/>
      <c r="TMK41" s="899"/>
      <c r="TML41" s="899"/>
      <c r="TMM41" s="899"/>
      <c r="TMN41" s="899"/>
      <c r="TMO41" s="899"/>
      <c r="TMP41" s="899"/>
      <c r="TMQ41" s="899"/>
      <c r="TMR41" s="899"/>
      <c r="TMS41" s="899"/>
      <c r="TMT41" s="899"/>
      <c r="TMU41" s="899"/>
      <c r="TMV41" s="899"/>
      <c r="TMW41" s="899"/>
      <c r="TMX41" s="899"/>
      <c r="TMY41" s="899"/>
      <c r="TMZ41" s="899"/>
      <c r="TNA41" s="899"/>
      <c r="TNB41" s="899"/>
      <c r="TNC41" s="899"/>
      <c r="TND41" s="899"/>
      <c r="TNE41" s="899"/>
      <c r="TNF41" s="899"/>
      <c r="TNG41" s="899"/>
      <c r="TNH41" s="899"/>
      <c r="TNI41" s="899"/>
      <c r="TNJ41" s="899"/>
      <c r="TNK41" s="899"/>
      <c r="TNL41" s="899"/>
      <c r="TNM41" s="899"/>
      <c r="TNN41" s="899"/>
      <c r="TNO41" s="899"/>
      <c r="TNP41" s="899"/>
      <c r="TNQ41" s="899"/>
      <c r="TNR41" s="899"/>
      <c r="TNS41" s="899"/>
      <c r="TNT41" s="899"/>
      <c r="TNU41" s="899"/>
      <c r="TNV41" s="899"/>
      <c r="TNW41" s="899"/>
      <c r="TNX41" s="899"/>
      <c r="TNY41" s="899"/>
      <c r="TNZ41" s="899"/>
      <c r="TOA41" s="899"/>
      <c r="TOB41" s="899"/>
      <c r="TOC41" s="899"/>
      <c r="TOD41" s="899"/>
      <c r="TOE41" s="899"/>
      <c r="TOF41" s="899"/>
      <c r="TOG41" s="899"/>
      <c r="TOH41" s="899"/>
      <c r="TOI41" s="899"/>
      <c r="TOJ41" s="899"/>
      <c r="TOK41" s="899"/>
      <c r="TOL41" s="899"/>
      <c r="TOM41" s="899"/>
      <c r="TON41" s="899"/>
      <c r="TOO41" s="899"/>
      <c r="TOP41" s="899"/>
      <c r="TOQ41" s="899"/>
      <c r="TOR41" s="899"/>
      <c r="TOS41" s="899"/>
      <c r="TOT41" s="899"/>
      <c r="TOU41" s="899"/>
      <c r="TOV41" s="899"/>
      <c r="TOW41" s="899"/>
      <c r="TOX41" s="899"/>
      <c r="TOY41" s="899"/>
      <c r="TOZ41" s="899"/>
      <c r="TPA41" s="899"/>
      <c r="TPB41" s="899"/>
      <c r="TPC41" s="899"/>
      <c r="TPD41" s="899"/>
      <c r="TPE41" s="899"/>
      <c r="TPF41" s="899"/>
      <c r="TPG41" s="899"/>
      <c r="TPH41" s="899"/>
      <c r="TPI41" s="899"/>
      <c r="TPJ41" s="899"/>
      <c r="TPK41" s="899"/>
      <c r="TPL41" s="899"/>
      <c r="TPM41" s="899"/>
      <c r="TPN41" s="899"/>
      <c r="TPO41" s="899"/>
      <c r="TPP41" s="899"/>
      <c r="TPQ41" s="899"/>
      <c r="TPR41" s="899"/>
      <c r="TPS41" s="899"/>
      <c r="TPT41" s="899"/>
      <c r="TPU41" s="899"/>
      <c r="TPV41" s="899"/>
      <c r="TPW41" s="899"/>
      <c r="TPX41" s="899"/>
      <c r="TPY41" s="899"/>
      <c r="TPZ41" s="899"/>
      <c r="TQA41" s="899"/>
      <c r="TQB41" s="899"/>
      <c r="TQC41" s="899"/>
      <c r="TQD41" s="899"/>
      <c r="TQE41" s="899"/>
      <c r="TQF41" s="899"/>
      <c r="TQG41" s="899"/>
      <c r="TQH41" s="899"/>
      <c r="TQI41" s="899"/>
      <c r="TQJ41" s="899"/>
      <c r="TQK41" s="899"/>
      <c r="TQL41" s="899"/>
      <c r="TQM41" s="899"/>
      <c r="TQN41" s="899"/>
      <c r="TQO41" s="899"/>
      <c r="TQP41" s="899"/>
      <c r="TQQ41" s="899"/>
      <c r="TQR41" s="899"/>
      <c r="TQS41" s="899"/>
      <c r="TQT41" s="899"/>
      <c r="TQU41" s="899"/>
      <c r="TQV41" s="899"/>
      <c r="TQW41" s="899"/>
      <c r="TQX41" s="899"/>
      <c r="TQY41" s="899"/>
      <c r="TQZ41" s="899"/>
      <c r="TRA41" s="899"/>
      <c r="TRB41" s="899"/>
      <c r="TRC41" s="899"/>
      <c r="TRD41" s="899"/>
      <c r="TRE41" s="899"/>
      <c r="TRF41" s="899"/>
      <c r="TRG41" s="899"/>
      <c r="TRH41" s="899"/>
      <c r="TRI41" s="899"/>
      <c r="TRJ41" s="899"/>
      <c r="TRK41" s="899"/>
      <c r="TRL41" s="899"/>
      <c r="TRM41" s="899"/>
      <c r="TRN41" s="899"/>
      <c r="TRO41" s="899"/>
      <c r="TRP41" s="899"/>
      <c r="TRQ41" s="899"/>
      <c r="TRR41" s="899"/>
      <c r="TRS41" s="899"/>
      <c r="TRT41" s="899"/>
      <c r="TRU41" s="899"/>
      <c r="TRV41" s="899"/>
      <c r="TRW41" s="899"/>
      <c r="TRX41" s="899"/>
      <c r="TRY41" s="899"/>
      <c r="TRZ41" s="899"/>
      <c r="TSA41" s="899"/>
      <c r="TSB41" s="899"/>
      <c r="TSC41" s="899"/>
      <c r="TSD41" s="899"/>
      <c r="TSE41" s="899"/>
      <c r="TSF41" s="899"/>
      <c r="TSG41" s="899"/>
      <c r="TSH41" s="899"/>
      <c r="TSI41" s="899"/>
      <c r="TSJ41" s="899"/>
      <c r="TSK41" s="899"/>
      <c r="TSL41" s="899"/>
      <c r="TSM41" s="899"/>
      <c r="TSN41" s="899"/>
      <c r="TSO41" s="899"/>
      <c r="TSP41" s="899"/>
      <c r="TSQ41" s="899"/>
      <c r="TSR41" s="899"/>
      <c r="TSS41" s="899"/>
      <c r="TST41" s="899"/>
      <c r="TSU41" s="899"/>
      <c r="TSV41" s="899"/>
      <c r="TSW41" s="899"/>
      <c r="TSX41" s="899"/>
      <c r="TSY41" s="899"/>
      <c r="TSZ41" s="899"/>
      <c r="TTA41" s="899"/>
      <c r="TTB41" s="899"/>
      <c r="TTC41" s="899"/>
      <c r="TTD41" s="899"/>
      <c r="TTE41" s="899"/>
      <c r="TTF41" s="899"/>
      <c r="TTG41" s="899"/>
      <c r="TTH41" s="899"/>
      <c r="TTI41" s="899"/>
      <c r="TTJ41" s="899"/>
      <c r="TTK41" s="899"/>
      <c r="TTL41" s="899"/>
      <c r="TTM41" s="899"/>
      <c r="TTN41" s="899"/>
      <c r="TTO41" s="899"/>
      <c r="TTP41" s="899"/>
      <c r="TTQ41" s="899"/>
      <c r="TTR41" s="899"/>
      <c r="TTS41" s="899"/>
      <c r="TTT41" s="899"/>
      <c r="TTU41" s="899"/>
      <c r="TTV41" s="899"/>
      <c r="TTW41" s="899"/>
      <c r="TTX41" s="899"/>
      <c r="TTY41" s="899"/>
      <c r="TTZ41" s="899"/>
      <c r="TUA41" s="899"/>
      <c r="TUB41" s="899"/>
      <c r="TUC41" s="899"/>
      <c r="TUD41" s="899"/>
      <c r="TUE41" s="899"/>
      <c r="TUF41" s="899"/>
      <c r="TUG41" s="899"/>
      <c r="TUH41" s="899"/>
      <c r="TUI41" s="899"/>
      <c r="TUJ41" s="899"/>
      <c r="TUK41" s="899"/>
      <c r="TUL41" s="899"/>
      <c r="TUM41" s="899"/>
      <c r="TUN41" s="899"/>
      <c r="TUO41" s="899"/>
      <c r="TUP41" s="899"/>
      <c r="TUQ41" s="899"/>
      <c r="TUR41" s="899"/>
      <c r="TUS41" s="899"/>
      <c r="TUT41" s="899"/>
      <c r="TUU41" s="899"/>
      <c r="TUV41" s="899"/>
      <c r="TUW41" s="899"/>
      <c r="TUX41" s="899"/>
      <c r="TUY41" s="899"/>
      <c r="TUZ41" s="899"/>
      <c r="TVA41" s="899"/>
      <c r="TVB41" s="899"/>
      <c r="TVC41" s="899"/>
      <c r="TVD41" s="899"/>
      <c r="TVE41" s="899"/>
      <c r="TVF41" s="899"/>
      <c r="TVG41" s="899"/>
      <c r="TVH41" s="899"/>
      <c r="TVI41" s="899"/>
      <c r="TVJ41" s="899"/>
      <c r="TVK41" s="899"/>
      <c r="TVL41" s="899"/>
      <c r="TVM41" s="899"/>
      <c r="TVN41" s="899"/>
      <c r="TVO41" s="899"/>
      <c r="TVP41" s="899"/>
      <c r="TVQ41" s="899"/>
      <c r="TVR41" s="899"/>
      <c r="TVS41" s="899"/>
      <c r="TVT41" s="899"/>
      <c r="TVU41" s="899"/>
      <c r="TVV41" s="899"/>
      <c r="TVW41" s="899"/>
      <c r="TVX41" s="899"/>
      <c r="TVY41" s="899"/>
      <c r="TVZ41" s="899"/>
      <c r="TWA41" s="899"/>
      <c r="TWB41" s="899"/>
      <c r="TWC41" s="899"/>
      <c r="TWD41" s="899"/>
      <c r="TWE41" s="899"/>
      <c r="TWF41" s="899"/>
      <c r="TWG41" s="899"/>
      <c r="TWH41" s="899"/>
      <c r="TWI41" s="899"/>
      <c r="TWJ41" s="899"/>
      <c r="TWK41" s="899"/>
      <c r="TWL41" s="899"/>
      <c r="TWM41" s="899"/>
      <c r="TWN41" s="899"/>
      <c r="TWO41" s="899"/>
      <c r="TWP41" s="899"/>
      <c r="TWQ41" s="899"/>
      <c r="TWR41" s="899"/>
      <c r="TWS41" s="899"/>
      <c r="TWT41" s="899"/>
      <c r="TWU41" s="899"/>
      <c r="TWV41" s="899"/>
      <c r="TWW41" s="899"/>
      <c r="TWX41" s="899"/>
      <c r="TWY41" s="899"/>
      <c r="TWZ41" s="899"/>
      <c r="TXA41" s="899"/>
      <c r="TXB41" s="899"/>
      <c r="TXC41" s="899"/>
      <c r="TXD41" s="899"/>
      <c r="TXE41" s="899"/>
      <c r="TXF41" s="899"/>
      <c r="TXG41" s="899"/>
      <c r="TXH41" s="899"/>
      <c r="TXI41" s="899"/>
      <c r="TXJ41" s="899"/>
      <c r="TXK41" s="899"/>
      <c r="TXL41" s="899"/>
      <c r="TXM41" s="899"/>
      <c r="TXN41" s="899"/>
      <c r="TXO41" s="899"/>
      <c r="TXP41" s="899"/>
      <c r="TXQ41" s="899"/>
      <c r="TXR41" s="899"/>
      <c r="TXS41" s="899"/>
      <c r="TXT41" s="899"/>
      <c r="TXU41" s="899"/>
      <c r="TXV41" s="899"/>
      <c r="TXW41" s="899"/>
      <c r="TXX41" s="899"/>
      <c r="TXY41" s="899"/>
      <c r="TXZ41" s="899"/>
      <c r="TYA41" s="899"/>
      <c r="TYB41" s="899"/>
      <c r="TYC41" s="899"/>
      <c r="TYD41" s="899"/>
      <c r="TYE41" s="899"/>
      <c r="TYF41" s="899"/>
      <c r="TYG41" s="899"/>
      <c r="TYH41" s="899"/>
      <c r="TYI41" s="899"/>
      <c r="TYJ41" s="899"/>
      <c r="TYK41" s="899"/>
      <c r="TYL41" s="899"/>
      <c r="TYM41" s="899"/>
      <c r="TYN41" s="899"/>
      <c r="TYO41" s="899"/>
      <c r="TYP41" s="899"/>
      <c r="TYQ41" s="899"/>
      <c r="TYR41" s="899"/>
      <c r="TYS41" s="899"/>
      <c r="TYT41" s="899"/>
      <c r="TYU41" s="899"/>
      <c r="TYV41" s="899"/>
      <c r="TYW41" s="899"/>
      <c r="TYX41" s="899"/>
      <c r="TYY41" s="899"/>
      <c r="TYZ41" s="899"/>
      <c r="TZA41" s="899"/>
      <c r="TZB41" s="899"/>
      <c r="TZC41" s="899"/>
      <c r="TZD41" s="899"/>
      <c r="TZE41" s="899"/>
      <c r="TZF41" s="899"/>
      <c r="TZG41" s="899"/>
      <c r="TZH41" s="899"/>
      <c r="TZI41" s="899"/>
      <c r="TZJ41" s="899"/>
      <c r="TZK41" s="899"/>
      <c r="TZL41" s="899"/>
      <c r="TZM41" s="899"/>
      <c r="TZN41" s="899"/>
      <c r="TZO41" s="899"/>
      <c r="TZP41" s="899"/>
      <c r="TZQ41" s="899"/>
      <c r="TZR41" s="899"/>
      <c r="TZS41" s="899"/>
      <c r="TZT41" s="899"/>
      <c r="TZU41" s="899"/>
      <c r="TZV41" s="899"/>
      <c r="TZW41" s="899"/>
      <c r="TZX41" s="899"/>
      <c r="TZY41" s="899"/>
      <c r="TZZ41" s="899"/>
      <c r="UAA41" s="899"/>
      <c r="UAB41" s="899"/>
      <c r="UAC41" s="899"/>
      <c r="UAD41" s="899"/>
      <c r="UAE41" s="899"/>
      <c r="UAF41" s="899"/>
      <c r="UAG41" s="899"/>
      <c r="UAH41" s="899"/>
      <c r="UAI41" s="899"/>
      <c r="UAJ41" s="899"/>
      <c r="UAK41" s="899"/>
      <c r="UAL41" s="899"/>
      <c r="UAM41" s="899"/>
      <c r="UAN41" s="899"/>
      <c r="UAO41" s="899"/>
      <c r="UAP41" s="899"/>
      <c r="UAQ41" s="899"/>
      <c r="UAR41" s="899"/>
      <c r="UAS41" s="899"/>
      <c r="UAT41" s="899"/>
      <c r="UAU41" s="899"/>
      <c r="UAV41" s="899"/>
      <c r="UAW41" s="899"/>
      <c r="UAX41" s="899"/>
      <c r="UAY41" s="899"/>
      <c r="UAZ41" s="899"/>
      <c r="UBA41" s="899"/>
      <c r="UBB41" s="899"/>
      <c r="UBC41" s="899"/>
      <c r="UBD41" s="899"/>
      <c r="UBE41" s="899"/>
      <c r="UBF41" s="899"/>
      <c r="UBG41" s="899"/>
      <c r="UBH41" s="899"/>
      <c r="UBI41" s="899"/>
      <c r="UBJ41" s="899"/>
      <c r="UBK41" s="899"/>
      <c r="UBL41" s="899"/>
      <c r="UBM41" s="899"/>
      <c r="UBN41" s="899"/>
      <c r="UBO41" s="899"/>
      <c r="UBP41" s="899"/>
      <c r="UBQ41" s="899"/>
      <c r="UBR41" s="899"/>
      <c r="UBS41" s="899"/>
      <c r="UBT41" s="899"/>
      <c r="UBU41" s="899"/>
      <c r="UBV41" s="899"/>
      <c r="UBW41" s="899"/>
      <c r="UBX41" s="899"/>
      <c r="UBY41" s="899"/>
      <c r="UBZ41" s="899"/>
      <c r="UCA41" s="899"/>
      <c r="UCB41" s="899"/>
      <c r="UCC41" s="899"/>
      <c r="UCD41" s="899"/>
      <c r="UCE41" s="899"/>
      <c r="UCF41" s="899"/>
      <c r="UCG41" s="899"/>
      <c r="UCH41" s="899"/>
      <c r="UCI41" s="899"/>
      <c r="UCJ41" s="899"/>
      <c r="UCK41" s="899"/>
      <c r="UCL41" s="899"/>
      <c r="UCM41" s="899"/>
      <c r="UCN41" s="899"/>
      <c r="UCO41" s="899"/>
      <c r="UCP41" s="899"/>
      <c r="UCQ41" s="899"/>
      <c r="UCR41" s="899"/>
      <c r="UCS41" s="899"/>
      <c r="UCT41" s="899"/>
      <c r="UCU41" s="899"/>
      <c r="UCV41" s="899"/>
      <c r="UCW41" s="899"/>
      <c r="UCX41" s="899"/>
      <c r="UCY41" s="899"/>
      <c r="UCZ41" s="899"/>
      <c r="UDA41" s="899"/>
      <c r="UDB41" s="899"/>
      <c r="UDC41" s="899"/>
      <c r="UDD41" s="899"/>
      <c r="UDE41" s="899"/>
      <c r="UDF41" s="899"/>
      <c r="UDG41" s="899"/>
      <c r="UDH41" s="899"/>
      <c r="UDI41" s="899"/>
      <c r="UDJ41" s="899"/>
      <c r="UDK41" s="899"/>
      <c r="UDL41" s="899"/>
      <c r="UDM41" s="899"/>
      <c r="UDN41" s="899"/>
      <c r="UDO41" s="899"/>
      <c r="UDP41" s="899"/>
      <c r="UDQ41" s="899"/>
      <c r="UDR41" s="899"/>
      <c r="UDS41" s="899"/>
      <c r="UDT41" s="899"/>
      <c r="UDU41" s="899"/>
      <c r="UDV41" s="899"/>
      <c r="UDW41" s="899"/>
      <c r="UDX41" s="899"/>
      <c r="UDY41" s="899"/>
      <c r="UDZ41" s="899"/>
      <c r="UEA41" s="899"/>
      <c r="UEB41" s="899"/>
      <c r="UEC41" s="899"/>
      <c r="UED41" s="899"/>
      <c r="UEE41" s="899"/>
      <c r="UEF41" s="899"/>
      <c r="UEG41" s="899"/>
      <c r="UEH41" s="899"/>
      <c r="UEI41" s="899"/>
      <c r="UEJ41" s="899"/>
      <c r="UEK41" s="899"/>
      <c r="UEL41" s="899"/>
      <c r="UEM41" s="899"/>
      <c r="UEN41" s="899"/>
      <c r="UEO41" s="899"/>
      <c r="UEP41" s="899"/>
      <c r="UEQ41" s="899"/>
      <c r="UER41" s="899"/>
      <c r="UES41" s="899"/>
      <c r="UET41" s="899"/>
      <c r="UEU41" s="899"/>
      <c r="UEV41" s="899"/>
      <c r="UEW41" s="899"/>
      <c r="UEX41" s="899"/>
      <c r="UEY41" s="899"/>
      <c r="UEZ41" s="899"/>
      <c r="UFA41" s="899"/>
      <c r="UFB41" s="899"/>
      <c r="UFC41" s="899"/>
      <c r="UFD41" s="899"/>
      <c r="UFE41" s="899"/>
      <c r="UFF41" s="899"/>
      <c r="UFG41" s="899"/>
      <c r="UFH41" s="899"/>
      <c r="UFI41" s="899"/>
      <c r="UFJ41" s="899"/>
      <c r="UFK41" s="899"/>
      <c r="UFL41" s="899"/>
      <c r="UFM41" s="899"/>
      <c r="UFN41" s="899"/>
      <c r="UFO41" s="899"/>
      <c r="UFP41" s="899"/>
      <c r="UFQ41" s="899"/>
      <c r="UFR41" s="899"/>
      <c r="UFS41" s="899"/>
      <c r="UFT41" s="899"/>
      <c r="UFU41" s="899"/>
      <c r="UFV41" s="899"/>
      <c r="UFW41" s="899"/>
      <c r="UFX41" s="899"/>
      <c r="UFY41" s="899"/>
      <c r="UFZ41" s="899"/>
      <c r="UGA41" s="899"/>
      <c r="UGB41" s="899"/>
      <c r="UGC41" s="899"/>
      <c r="UGD41" s="899"/>
      <c r="UGE41" s="899"/>
      <c r="UGF41" s="899"/>
      <c r="UGG41" s="899"/>
      <c r="UGH41" s="899"/>
      <c r="UGI41" s="899"/>
      <c r="UGJ41" s="899"/>
      <c r="UGK41" s="899"/>
      <c r="UGL41" s="899"/>
      <c r="UGM41" s="899"/>
      <c r="UGN41" s="899"/>
      <c r="UGO41" s="899"/>
      <c r="UGP41" s="899"/>
      <c r="UGQ41" s="899"/>
      <c r="UGR41" s="899"/>
      <c r="UGS41" s="899"/>
      <c r="UGT41" s="899"/>
      <c r="UGU41" s="899"/>
      <c r="UGV41" s="899"/>
      <c r="UGW41" s="899"/>
      <c r="UGX41" s="899"/>
      <c r="UGY41" s="899"/>
      <c r="UGZ41" s="899"/>
      <c r="UHA41" s="899"/>
      <c r="UHB41" s="899"/>
      <c r="UHC41" s="899"/>
      <c r="UHD41" s="899"/>
      <c r="UHE41" s="899"/>
      <c r="UHF41" s="899"/>
      <c r="UHG41" s="899"/>
      <c r="UHH41" s="899"/>
      <c r="UHI41" s="899"/>
      <c r="UHJ41" s="899"/>
      <c r="UHK41" s="899"/>
      <c r="UHL41" s="899"/>
      <c r="UHM41" s="899"/>
      <c r="UHN41" s="899"/>
      <c r="UHO41" s="899"/>
      <c r="UHP41" s="899"/>
      <c r="UHQ41" s="899"/>
      <c r="UHR41" s="899"/>
      <c r="UHS41" s="899"/>
      <c r="UHT41" s="899"/>
      <c r="UHU41" s="899"/>
      <c r="UHV41" s="899"/>
      <c r="UHW41" s="899"/>
      <c r="UHX41" s="899"/>
      <c r="UHY41" s="899"/>
      <c r="UHZ41" s="899"/>
      <c r="UIA41" s="899"/>
      <c r="UIB41" s="899"/>
      <c r="UIC41" s="899"/>
      <c r="UID41" s="899"/>
      <c r="UIE41" s="899"/>
      <c r="UIF41" s="899"/>
      <c r="UIG41" s="899"/>
      <c r="UIH41" s="899"/>
      <c r="UII41" s="899"/>
      <c r="UIJ41" s="899"/>
      <c r="UIK41" s="899"/>
      <c r="UIL41" s="899"/>
      <c r="UIM41" s="899"/>
      <c r="UIN41" s="899"/>
      <c r="UIO41" s="899"/>
      <c r="UIP41" s="899"/>
      <c r="UIQ41" s="899"/>
      <c r="UIR41" s="899"/>
      <c r="UIS41" s="899"/>
      <c r="UIT41" s="899"/>
      <c r="UIU41" s="899"/>
      <c r="UIV41" s="899"/>
      <c r="UIW41" s="899"/>
      <c r="UIX41" s="899"/>
      <c r="UIY41" s="899"/>
      <c r="UIZ41" s="899"/>
      <c r="UJA41" s="899"/>
      <c r="UJB41" s="899"/>
      <c r="UJC41" s="899"/>
      <c r="UJD41" s="899"/>
      <c r="UJE41" s="899"/>
      <c r="UJF41" s="899"/>
      <c r="UJG41" s="899"/>
      <c r="UJH41" s="899"/>
      <c r="UJI41" s="899"/>
      <c r="UJJ41" s="899"/>
      <c r="UJK41" s="899"/>
      <c r="UJL41" s="899"/>
      <c r="UJM41" s="899"/>
      <c r="UJN41" s="899"/>
      <c r="UJO41" s="899"/>
      <c r="UJP41" s="899"/>
      <c r="UJQ41" s="899"/>
      <c r="UJR41" s="899"/>
      <c r="UJS41" s="899"/>
      <c r="UJT41" s="899"/>
      <c r="UJU41" s="899"/>
      <c r="UJV41" s="899"/>
      <c r="UJW41" s="899"/>
      <c r="UJX41" s="899"/>
      <c r="UJY41" s="899"/>
      <c r="UJZ41" s="899"/>
      <c r="UKA41" s="899"/>
      <c r="UKB41" s="899"/>
      <c r="UKC41" s="899"/>
      <c r="UKD41" s="899"/>
      <c r="UKE41" s="899"/>
      <c r="UKF41" s="899"/>
      <c r="UKG41" s="899"/>
      <c r="UKH41" s="899"/>
      <c r="UKI41" s="899"/>
      <c r="UKJ41" s="899"/>
      <c r="UKK41" s="899"/>
      <c r="UKL41" s="899"/>
      <c r="UKM41" s="899"/>
      <c r="UKN41" s="899"/>
      <c r="UKO41" s="899"/>
      <c r="UKP41" s="899"/>
      <c r="UKQ41" s="899"/>
      <c r="UKR41" s="899"/>
      <c r="UKS41" s="899"/>
      <c r="UKT41" s="899"/>
      <c r="UKU41" s="899"/>
      <c r="UKV41" s="899"/>
      <c r="UKW41" s="899"/>
      <c r="UKX41" s="899"/>
      <c r="UKY41" s="899"/>
      <c r="UKZ41" s="899"/>
      <c r="ULA41" s="899"/>
      <c r="ULB41" s="899"/>
      <c r="ULC41" s="899"/>
      <c r="ULD41" s="899"/>
      <c r="ULE41" s="899"/>
      <c r="ULF41" s="899"/>
      <c r="ULG41" s="899"/>
      <c r="ULH41" s="899"/>
      <c r="ULI41" s="899"/>
      <c r="ULJ41" s="899"/>
      <c r="ULK41" s="899"/>
      <c r="ULL41" s="899"/>
      <c r="ULM41" s="899"/>
      <c r="ULN41" s="899"/>
      <c r="ULO41" s="899"/>
      <c r="ULP41" s="899"/>
      <c r="ULQ41" s="899"/>
      <c r="ULR41" s="899"/>
      <c r="ULS41" s="899"/>
      <c r="ULT41" s="899"/>
      <c r="ULU41" s="899"/>
      <c r="ULV41" s="899"/>
      <c r="ULW41" s="899"/>
      <c r="ULX41" s="899"/>
      <c r="ULY41" s="899"/>
      <c r="ULZ41" s="899"/>
      <c r="UMA41" s="899"/>
      <c r="UMB41" s="899"/>
      <c r="UMC41" s="899"/>
      <c r="UMD41" s="899"/>
      <c r="UME41" s="899"/>
      <c r="UMF41" s="899"/>
      <c r="UMG41" s="899"/>
      <c r="UMH41" s="899"/>
      <c r="UMI41" s="899"/>
      <c r="UMJ41" s="899"/>
      <c r="UMK41" s="899"/>
      <c r="UML41" s="899"/>
      <c r="UMM41" s="899"/>
      <c r="UMN41" s="899"/>
      <c r="UMO41" s="899"/>
      <c r="UMP41" s="899"/>
      <c r="UMQ41" s="899"/>
      <c r="UMR41" s="899"/>
      <c r="UMS41" s="899"/>
      <c r="UMT41" s="899"/>
      <c r="UMU41" s="899"/>
      <c r="UMV41" s="899"/>
      <c r="UMW41" s="899"/>
      <c r="UMX41" s="899"/>
      <c r="UMY41" s="899"/>
      <c r="UMZ41" s="899"/>
      <c r="UNA41" s="899"/>
      <c r="UNB41" s="899"/>
      <c r="UNC41" s="899"/>
      <c r="UND41" s="899"/>
      <c r="UNE41" s="899"/>
      <c r="UNF41" s="899"/>
      <c r="UNG41" s="899"/>
      <c r="UNH41" s="899"/>
      <c r="UNI41" s="899"/>
      <c r="UNJ41" s="899"/>
      <c r="UNK41" s="899"/>
      <c r="UNL41" s="899"/>
      <c r="UNM41" s="899"/>
      <c r="UNN41" s="899"/>
      <c r="UNO41" s="899"/>
      <c r="UNP41" s="899"/>
      <c r="UNQ41" s="899"/>
      <c r="UNR41" s="899"/>
      <c r="UNS41" s="899"/>
      <c r="UNT41" s="899"/>
      <c r="UNU41" s="899"/>
      <c r="UNV41" s="899"/>
      <c r="UNW41" s="899"/>
      <c r="UNX41" s="899"/>
      <c r="UNY41" s="899"/>
      <c r="UNZ41" s="899"/>
      <c r="UOA41" s="899"/>
      <c r="UOB41" s="899"/>
      <c r="UOC41" s="899"/>
      <c r="UOD41" s="899"/>
      <c r="UOE41" s="899"/>
      <c r="UOF41" s="899"/>
      <c r="UOG41" s="899"/>
      <c r="UOH41" s="899"/>
      <c r="UOI41" s="899"/>
      <c r="UOJ41" s="899"/>
      <c r="UOK41" s="899"/>
      <c r="UOL41" s="899"/>
      <c r="UOM41" s="899"/>
      <c r="UON41" s="899"/>
      <c r="UOO41" s="899"/>
      <c r="UOP41" s="899"/>
      <c r="UOQ41" s="899"/>
      <c r="UOR41" s="899"/>
      <c r="UOS41" s="899"/>
      <c r="UOT41" s="899"/>
      <c r="UOU41" s="899"/>
      <c r="UOV41" s="899"/>
      <c r="UOW41" s="899"/>
      <c r="UOX41" s="899"/>
      <c r="UOY41" s="899"/>
      <c r="UOZ41" s="899"/>
      <c r="UPA41" s="899"/>
      <c r="UPB41" s="899"/>
      <c r="UPC41" s="899"/>
      <c r="UPD41" s="899"/>
      <c r="UPE41" s="899"/>
      <c r="UPF41" s="899"/>
      <c r="UPG41" s="899"/>
      <c r="UPH41" s="899"/>
      <c r="UPI41" s="899"/>
      <c r="UPJ41" s="899"/>
      <c r="UPK41" s="899"/>
      <c r="UPL41" s="899"/>
      <c r="UPM41" s="899"/>
      <c r="UPN41" s="899"/>
      <c r="UPO41" s="899"/>
      <c r="UPP41" s="899"/>
      <c r="UPQ41" s="899"/>
      <c r="UPR41" s="899"/>
      <c r="UPS41" s="899"/>
      <c r="UPT41" s="899"/>
      <c r="UPU41" s="899"/>
      <c r="UPV41" s="899"/>
      <c r="UPW41" s="899"/>
      <c r="UPX41" s="899"/>
      <c r="UPY41" s="899"/>
      <c r="UPZ41" s="899"/>
      <c r="UQA41" s="899"/>
      <c r="UQB41" s="899"/>
      <c r="UQC41" s="899"/>
      <c r="UQD41" s="899"/>
      <c r="UQE41" s="899"/>
      <c r="UQF41" s="899"/>
      <c r="UQG41" s="899"/>
      <c r="UQH41" s="899"/>
      <c r="UQI41" s="899"/>
      <c r="UQJ41" s="899"/>
      <c r="UQK41" s="899"/>
      <c r="UQL41" s="899"/>
      <c r="UQM41" s="899"/>
      <c r="UQN41" s="899"/>
      <c r="UQO41" s="899"/>
      <c r="UQP41" s="899"/>
      <c r="UQQ41" s="899"/>
      <c r="UQR41" s="899"/>
      <c r="UQS41" s="899"/>
      <c r="UQT41" s="899"/>
      <c r="UQU41" s="899"/>
      <c r="UQV41" s="899"/>
      <c r="UQW41" s="899"/>
      <c r="UQX41" s="899"/>
      <c r="UQY41" s="899"/>
      <c r="UQZ41" s="899"/>
      <c r="URA41" s="899"/>
      <c r="URB41" s="899"/>
      <c r="URC41" s="899"/>
      <c r="URD41" s="899"/>
      <c r="URE41" s="899"/>
      <c r="URF41" s="899"/>
      <c r="URG41" s="899"/>
      <c r="URH41" s="899"/>
      <c r="URI41" s="899"/>
      <c r="URJ41" s="899"/>
      <c r="URK41" s="899"/>
      <c r="URL41" s="899"/>
      <c r="URM41" s="899"/>
      <c r="URN41" s="899"/>
      <c r="URO41" s="899"/>
      <c r="URP41" s="899"/>
      <c r="URQ41" s="899"/>
      <c r="URR41" s="899"/>
      <c r="URS41" s="899"/>
      <c r="URT41" s="899"/>
      <c r="URU41" s="899"/>
      <c r="URV41" s="899"/>
      <c r="URW41" s="899"/>
      <c r="URX41" s="899"/>
      <c r="URY41" s="899"/>
      <c r="URZ41" s="899"/>
      <c r="USA41" s="899"/>
      <c r="USB41" s="899"/>
      <c r="USC41" s="899"/>
      <c r="USD41" s="899"/>
      <c r="USE41" s="899"/>
      <c r="USF41" s="899"/>
      <c r="USG41" s="899"/>
      <c r="USH41" s="899"/>
      <c r="USI41" s="899"/>
      <c r="USJ41" s="899"/>
      <c r="USK41" s="899"/>
      <c r="USL41" s="899"/>
      <c r="USM41" s="899"/>
      <c r="USN41" s="899"/>
      <c r="USO41" s="899"/>
      <c r="USP41" s="899"/>
      <c r="USQ41" s="899"/>
      <c r="USR41" s="899"/>
      <c r="USS41" s="899"/>
      <c r="UST41" s="899"/>
      <c r="USU41" s="899"/>
      <c r="USV41" s="899"/>
      <c r="USW41" s="899"/>
      <c r="USX41" s="899"/>
      <c r="USY41" s="899"/>
      <c r="USZ41" s="899"/>
      <c r="UTA41" s="899"/>
      <c r="UTB41" s="899"/>
      <c r="UTC41" s="899"/>
      <c r="UTD41" s="899"/>
      <c r="UTE41" s="899"/>
      <c r="UTF41" s="899"/>
      <c r="UTG41" s="899"/>
      <c r="UTH41" s="899"/>
      <c r="UTI41" s="899"/>
      <c r="UTJ41" s="899"/>
      <c r="UTK41" s="899"/>
      <c r="UTL41" s="899"/>
      <c r="UTM41" s="899"/>
      <c r="UTN41" s="899"/>
      <c r="UTO41" s="899"/>
      <c r="UTP41" s="899"/>
      <c r="UTQ41" s="899"/>
      <c r="UTR41" s="899"/>
      <c r="UTS41" s="899"/>
      <c r="UTT41" s="899"/>
      <c r="UTU41" s="899"/>
      <c r="UTV41" s="899"/>
      <c r="UTW41" s="899"/>
      <c r="UTX41" s="899"/>
      <c r="UTY41" s="899"/>
      <c r="UTZ41" s="899"/>
      <c r="UUA41" s="899"/>
      <c r="UUB41" s="899"/>
      <c r="UUC41" s="899"/>
      <c r="UUD41" s="899"/>
      <c r="UUE41" s="899"/>
      <c r="UUF41" s="899"/>
      <c r="UUG41" s="899"/>
      <c r="UUH41" s="899"/>
      <c r="UUI41" s="899"/>
      <c r="UUJ41" s="899"/>
      <c r="UUK41" s="899"/>
      <c r="UUL41" s="899"/>
      <c r="UUM41" s="899"/>
      <c r="UUN41" s="899"/>
      <c r="UUO41" s="899"/>
      <c r="UUP41" s="899"/>
      <c r="UUQ41" s="899"/>
      <c r="UUR41" s="899"/>
      <c r="UUS41" s="899"/>
      <c r="UUT41" s="899"/>
      <c r="UUU41" s="899"/>
      <c r="UUV41" s="899"/>
      <c r="UUW41" s="899"/>
      <c r="UUX41" s="899"/>
      <c r="UUY41" s="899"/>
      <c r="UUZ41" s="899"/>
      <c r="UVA41" s="899"/>
      <c r="UVB41" s="899"/>
      <c r="UVC41" s="899"/>
      <c r="UVD41" s="899"/>
      <c r="UVE41" s="899"/>
      <c r="UVF41" s="899"/>
      <c r="UVG41" s="899"/>
      <c r="UVH41" s="899"/>
      <c r="UVI41" s="899"/>
      <c r="UVJ41" s="899"/>
      <c r="UVK41" s="899"/>
      <c r="UVL41" s="899"/>
      <c r="UVM41" s="899"/>
      <c r="UVN41" s="899"/>
      <c r="UVO41" s="899"/>
      <c r="UVP41" s="899"/>
      <c r="UVQ41" s="899"/>
      <c r="UVR41" s="899"/>
      <c r="UVS41" s="899"/>
      <c r="UVT41" s="899"/>
      <c r="UVU41" s="899"/>
      <c r="UVV41" s="899"/>
      <c r="UVW41" s="899"/>
      <c r="UVX41" s="899"/>
      <c r="UVY41" s="899"/>
      <c r="UVZ41" s="899"/>
      <c r="UWA41" s="899"/>
      <c r="UWB41" s="899"/>
      <c r="UWC41" s="899"/>
      <c r="UWD41" s="899"/>
      <c r="UWE41" s="899"/>
      <c r="UWF41" s="899"/>
      <c r="UWG41" s="899"/>
      <c r="UWH41" s="899"/>
      <c r="UWI41" s="899"/>
      <c r="UWJ41" s="899"/>
      <c r="UWK41" s="899"/>
      <c r="UWL41" s="899"/>
      <c r="UWM41" s="899"/>
      <c r="UWN41" s="899"/>
      <c r="UWO41" s="899"/>
      <c r="UWP41" s="899"/>
      <c r="UWQ41" s="899"/>
      <c r="UWR41" s="899"/>
      <c r="UWS41" s="899"/>
      <c r="UWT41" s="899"/>
      <c r="UWU41" s="899"/>
      <c r="UWV41" s="899"/>
      <c r="UWW41" s="899"/>
      <c r="UWX41" s="899"/>
      <c r="UWY41" s="899"/>
      <c r="UWZ41" s="899"/>
      <c r="UXA41" s="899"/>
      <c r="UXB41" s="899"/>
      <c r="UXC41" s="899"/>
      <c r="UXD41" s="899"/>
      <c r="UXE41" s="899"/>
      <c r="UXF41" s="899"/>
      <c r="UXG41" s="899"/>
      <c r="UXH41" s="899"/>
      <c r="UXI41" s="899"/>
      <c r="UXJ41" s="899"/>
      <c r="UXK41" s="899"/>
      <c r="UXL41" s="899"/>
      <c r="UXM41" s="899"/>
      <c r="UXN41" s="899"/>
      <c r="UXO41" s="899"/>
      <c r="UXP41" s="899"/>
      <c r="UXQ41" s="899"/>
      <c r="UXR41" s="899"/>
      <c r="UXS41" s="899"/>
      <c r="UXT41" s="899"/>
      <c r="UXU41" s="899"/>
      <c r="UXV41" s="899"/>
      <c r="UXW41" s="899"/>
      <c r="UXX41" s="899"/>
      <c r="UXY41" s="899"/>
      <c r="UXZ41" s="899"/>
      <c r="UYA41" s="899"/>
      <c r="UYB41" s="899"/>
      <c r="UYC41" s="899"/>
      <c r="UYD41" s="899"/>
      <c r="UYE41" s="899"/>
      <c r="UYF41" s="899"/>
      <c r="UYG41" s="899"/>
      <c r="UYH41" s="899"/>
      <c r="UYI41" s="899"/>
      <c r="UYJ41" s="899"/>
      <c r="UYK41" s="899"/>
      <c r="UYL41" s="899"/>
      <c r="UYM41" s="899"/>
      <c r="UYN41" s="899"/>
      <c r="UYO41" s="899"/>
      <c r="UYP41" s="899"/>
      <c r="UYQ41" s="899"/>
      <c r="UYR41" s="899"/>
      <c r="UYS41" s="899"/>
      <c r="UYT41" s="899"/>
      <c r="UYU41" s="899"/>
      <c r="UYV41" s="899"/>
      <c r="UYW41" s="899"/>
      <c r="UYX41" s="899"/>
      <c r="UYY41" s="899"/>
      <c r="UYZ41" s="899"/>
      <c r="UZA41" s="899"/>
      <c r="UZB41" s="899"/>
      <c r="UZC41" s="899"/>
      <c r="UZD41" s="899"/>
      <c r="UZE41" s="899"/>
      <c r="UZF41" s="899"/>
      <c r="UZG41" s="899"/>
      <c r="UZH41" s="899"/>
      <c r="UZI41" s="899"/>
      <c r="UZJ41" s="899"/>
      <c r="UZK41" s="899"/>
      <c r="UZL41" s="899"/>
      <c r="UZM41" s="899"/>
      <c r="UZN41" s="899"/>
      <c r="UZO41" s="899"/>
      <c r="UZP41" s="899"/>
      <c r="UZQ41" s="899"/>
      <c r="UZR41" s="899"/>
      <c r="UZS41" s="899"/>
      <c r="UZT41" s="899"/>
      <c r="UZU41" s="899"/>
      <c r="UZV41" s="899"/>
      <c r="UZW41" s="899"/>
      <c r="UZX41" s="899"/>
      <c r="UZY41" s="899"/>
      <c r="UZZ41" s="899"/>
      <c r="VAA41" s="899"/>
      <c r="VAB41" s="899"/>
      <c r="VAC41" s="899"/>
      <c r="VAD41" s="899"/>
      <c r="VAE41" s="899"/>
      <c r="VAF41" s="899"/>
      <c r="VAG41" s="899"/>
      <c r="VAH41" s="899"/>
      <c r="VAI41" s="899"/>
      <c r="VAJ41" s="899"/>
      <c r="VAK41" s="899"/>
      <c r="VAL41" s="899"/>
      <c r="VAM41" s="899"/>
      <c r="VAN41" s="899"/>
      <c r="VAO41" s="899"/>
      <c r="VAP41" s="899"/>
      <c r="VAQ41" s="899"/>
      <c r="VAR41" s="899"/>
      <c r="VAS41" s="899"/>
      <c r="VAT41" s="899"/>
      <c r="VAU41" s="899"/>
      <c r="VAV41" s="899"/>
      <c r="VAW41" s="899"/>
      <c r="VAX41" s="899"/>
      <c r="VAY41" s="899"/>
      <c r="VAZ41" s="899"/>
      <c r="VBA41" s="899"/>
      <c r="VBB41" s="899"/>
      <c r="VBC41" s="899"/>
      <c r="VBD41" s="899"/>
      <c r="VBE41" s="899"/>
      <c r="VBF41" s="899"/>
      <c r="VBG41" s="899"/>
      <c r="VBH41" s="899"/>
      <c r="VBI41" s="899"/>
      <c r="VBJ41" s="899"/>
      <c r="VBK41" s="899"/>
      <c r="VBL41" s="899"/>
      <c r="VBM41" s="899"/>
      <c r="VBN41" s="899"/>
      <c r="VBO41" s="899"/>
      <c r="VBP41" s="899"/>
      <c r="VBQ41" s="899"/>
      <c r="VBR41" s="899"/>
      <c r="VBS41" s="899"/>
      <c r="VBT41" s="899"/>
      <c r="VBU41" s="899"/>
      <c r="VBV41" s="899"/>
      <c r="VBW41" s="899"/>
      <c r="VBX41" s="899"/>
      <c r="VBY41" s="899"/>
      <c r="VBZ41" s="899"/>
      <c r="VCA41" s="899"/>
      <c r="VCB41" s="899"/>
      <c r="VCC41" s="899"/>
      <c r="VCD41" s="899"/>
      <c r="VCE41" s="899"/>
      <c r="VCF41" s="899"/>
      <c r="VCG41" s="899"/>
      <c r="VCH41" s="899"/>
      <c r="VCI41" s="899"/>
      <c r="VCJ41" s="899"/>
      <c r="VCK41" s="899"/>
      <c r="VCL41" s="899"/>
      <c r="VCM41" s="899"/>
      <c r="VCN41" s="899"/>
      <c r="VCO41" s="899"/>
      <c r="VCP41" s="899"/>
      <c r="VCQ41" s="899"/>
      <c r="VCR41" s="899"/>
      <c r="VCS41" s="899"/>
      <c r="VCT41" s="899"/>
      <c r="VCU41" s="899"/>
      <c r="VCV41" s="899"/>
      <c r="VCW41" s="899"/>
      <c r="VCX41" s="899"/>
      <c r="VCY41" s="899"/>
      <c r="VCZ41" s="899"/>
      <c r="VDA41" s="899"/>
      <c r="VDB41" s="899"/>
      <c r="VDC41" s="899"/>
      <c r="VDD41" s="899"/>
      <c r="VDE41" s="899"/>
      <c r="VDF41" s="899"/>
      <c r="VDG41" s="899"/>
      <c r="VDH41" s="899"/>
      <c r="VDI41" s="899"/>
      <c r="VDJ41" s="899"/>
      <c r="VDK41" s="899"/>
      <c r="VDL41" s="899"/>
      <c r="VDM41" s="899"/>
      <c r="VDN41" s="899"/>
      <c r="VDO41" s="899"/>
      <c r="VDP41" s="899"/>
      <c r="VDQ41" s="899"/>
      <c r="VDR41" s="899"/>
      <c r="VDS41" s="899"/>
      <c r="VDT41" s="899"/>
      <c r="VDU41" s="899"/>
      <c r="VDV41" s="899"/>
      <c r="VDW41" s="899"/>
      <c r="VDX41" s="899"/>
      <c r="VDY41" s="899"/>
      <c r="VDZ41" s="899"/>
      <c r="VEA41" s="899"/>
      <c r="VEB41" s="899"/>
      <c r="VEC41" s="899"/>
      <c r="VED41" s="899"/>
      <c r="VEE41" s="899"/>
      <c r="VEF41" s="899"/>
      <c r="VEG41" s="899"/>
      <c r="VEH41" s="899"/>
      <c r="VEI41" s="899"/>
      <c r="VEJ41" s="899"/>
      <c r="VEK41" s="899"/>
      <c r="VEL41" s="899"/>
      <c r="VEM41" s="899"/>
      <c r="VEN41" s="899"/>
      <c r="VEO41" s="899"/>
      <c r="VEP41" s="899"/>
      <c r="VEQ41" s="899"/>
      <c r="VER41" s="899"/>
      <c r="VES41" s="899"/>
      <c r="VET41" s="899"/>
      <c r="VEU41" s="899"/>
      <c r="VEV41" s="899"/>
      <c r="VEW41" s="899"/>
      <c r="VEX41" s="899"/>
      <c r="VEY41" s="899"/>
      <c r="VEZ41" s="899"/>
      <c r="VFA41" s="899"/>
      <c r="VFB41" s="899"/>
      <c r="VFC41" s="899"/>
      <c r="VFD41" s="899"/>
      <c r="VFE41" s="899"/>
      <c r="VFF41" s="899"/>
      <c r="VFG41" s="899"/>
      <c r="VFH41" s="899"/>
      <c r="VFI41" s="899"/>
      <c r="VFJ41" s="899"/>
      <c r="VFK41" s="899"/>
      <c r="VFL41" s="899"/>
      <c r="VFM41" s="899"/>
      <c r="VFN41" s="899"/>
      <c r="VFO41" s="899"/>
      <c r="VFP41" s="899"/>
      <c r="VFQ41" s="899"/>
      <c r="VFR41" s="899"/>
      <c r="VFS41" s="899"/>
      <c r="VFT41" s="899"/>
      <c r="VFU41" s="899"/>
      <c r="VFV41" s="899"/>
      <c r="VFW41" s="899"/>
      <c r="VFX41" s="899"/>
      <c r="VFY41" s="899"/>
      <c r="VFZ41" s="899"/>
      <c r="VGA41" s="899"/>
      <c r="VGB41" s="899"/>
      <c r="VGC41" s="899"/>
      <c r="VGD41" s="899"/>
      <c r="VGE41" s="899"/>
      <c r="VGF41" s="899"/>
      <c r="VGG41" s="899"/>
      <c r="VGH41" s="899"/>
      <c r="VGI41" s="899"/>
      <c r="VGJ41" s="899"/>
      <c r="VGK41" s="899"/>
      <c r="VGL41" s="899"/>
      <c r="VGM41" s="899"/>
      <c r="VGN41" s="899"/>
      <c r="VGO41" s="899"/>
      <c r="VGP41" s="899"/>
      <c r="VGQ41" s="899"/>
      <c r="VGR41" s="899"/>
      <c r="VGS41" s="899"/>
      <c r="VGT41" s="899"/>
      <c r="VGU41" s="899"/>
      <c r="VGV41" s="899"/>
      <c r="VGW41" s="899"/>
      <c r="VGX41" s="899"/>
      <c r="VGY41" s="899"/>
      <c r="VGZ41" s="899"/>
      <c r="VHA41" s="899"/>
      <c r="VHB41" s="899"/>
      <c r="VHC41" s="899"/>
      <c r="VHD41" s="899"/>
      <c r="VHE41" s="899"/>
      <c r="VHF41" s="899"/>
      <c r="VHG41" s="899"/>
      <c r="VHH41" s="899"/>
      <c r="VHI41" s="899"/>
      <c r="VHJ41" s="899"/>
      <c r="VHK41" s="899"/>
      <c r="VHL41" s="899"/>
      <c r="VHM41" s="899"/>
      <c r="VHN41" s="899"/>
      <c r="VHO41" s="899"/>
      <c r="VHP41" s="899"/>
      <c r="VHQ41" s="899"/>
      <c r="VHR41" s="899"/>
      <c r="VHS41" s="899"/>
      <c r="VHT41" s="899"/>
      <c r="VHU41" s="899"/>
      <c r="VHV41" s="899"/>
      <c r="VHW41" s="899"/>
      <c r="VHX41" s="899"/>
      <c r="VHY41" s="899"/>
      <c r="VHZ41" s="899"/>
      <c r="VIA41" s="899"/>
      <c r="VIB41" s="899"/>
      <c r="VIC41" s="899"/>
      <c r="VID41" s="899"/>
      <c r="VIE41" s="899"/>
      <c r="VIF41" s="899"/>
      <c r="VIG41" s="899"/>
      <c r="VIH41" s="899"/>
      <c r="VII41" s="899"/>
      <c r="VIJ41" s="899"/>
      <c r="VIK41" s="899"/>
      <c r="VIL41" s="899"/>
      <c r="VIM41" s="899"/>
      <c r="VIN41" s="899"/>
      <c r="VIO41" s="899"/>
      <c r="VIP41" s="899"/>
      <c r="VIQ41" s="899"/>
      <c r="VIR41" s="899"/>
      <c r="VIS41" s="899"/>
      <c r="VIT41" s="899"/>
      <c r="VIU41" s="899"/>
      <c r="VIV41" s="899"/>
      <c r="VIW41" s="899"/>
      <c r="VIX41" s="899"/>
      <c r="VIY41" s="899"/>
      <c r="VIZ41" s="899"/>
      <c r="VJA41" s="899"/>
      <c r="VJB41" s="899"/>
      <c r="VJC41" s="899"/>
      <c r="VJD41" s="899"/>
      <c r="VJE41" s="899"/>
      <c r="VJF41" s="899"/>
      <c r="VJG41" s="899"/>
      <c r="VJH41" s="899"/>
      <c r="VJI41" s="899"/>
      <c r="VJJ41" s="899"/>
      <c r="VJK41" s="899"/>
      <c r="VJL41" s="899"/>
      <c r="VJM41" s="899"/>
      <c r="VJN41" s="899"/>
      <c r="VJO41" s="899"/>
      <c r="VJP41" s="899"/>
      <c r="VJQ41" s="899"/>
      <c r="VJR41" s="899"/>
      <c r="VJS41" s="899"/>
      <c r="VJT41" s="899"/>
      <c r="VJU41" s="899"/>
      <c r="VJV41" s="899"/>
      <c r="VJW41" s="899"/>
      <c r="VJX41" s="899"/>
      <c r="VJY41" s="899"/>
      <c r="VJZ41" s="899"/>
      <c r="VKA41" s="899"/>
      <c r="VKB41" s="899"/>
      <c r="VKC41" s="899"/>
      <c r="VKD41" s="899"/>
      <c r="VKE41" s="899"/>
      <c r="VKF41" s="899"/>
      <c r="VKG41" s="899"/>
      <c r="VKH41" s="899"/>
      <c r="VKI41" s="899"/>
      <c r="VKJ41" s="899"/>
      <c r="VKK41" s="899"/>
      <c r="VKL41" s="899"/>
      <c r="VKM41" s="899"/>
      <c r="VKN41" s="899"/>
      <c r="VKO41" s="899"/>
      <c r="VKP41" s="899"/>
      <c r="VKQ41" s="899"/>
      <c r="VKR41" s="899"/>
      <c r="VKS41" s="899"/>
      <c r="VKT41" s="899"/>
      <c r="VKU41" s="899"/>
      <c r="VKV41" s="899"/>
      <c r="VKW41" s="899"/>
      <c r="VKX41" s="899"/>
      <c r="VKY41" s="899"/>
      <c r="VKZ41" s="899"/>
      <c r="VLA41" s="899"/>
      <c r="VLB41" s="899"/>
      <c r="VLC41" s="899"/>
      <c r="VLD41" s="899"/>
      <c r="VLE41" s="899"/>
      <c r="VLF41" s="899"/>
      <c r="VLG41" s="899"/>
      <c r="VLH41" s="899"/>
      <c r="VLI41" s="899"/>
      <c r="VLJ41" s="899"/>
      <c r="VLK41" s="899"/>
      <c r="VLL41" s="899"/>
      <c r="VLM41" s="899"/>
      <c r="VLN41" s="899"/>
      <c r="VLO41" s="899"/>
      <c r="VLP41" s="899"/>
      <c r="VLQ41" s="899"/>
      <c r="VLR41" s="899"/>
      <c r="VLS41" s="899"/>
      <c r="VLT41" s="899"/>
      <c r="VLU41" s="899"/>
      <c r="VLV41" s="899"/>
      <c r="VLW41" s="899"/>
      <c r="VLX41" s="899"/>
      <c r="VLY41" s="899"/>
      <c r="VLZ41" s="899"/>
      <c r="VMA41" s="899"/>
      <c r="VMB41" s="899"/>
      <c r="VMC41" s="899"/>
      <c r="VMD41" s="899"/>
      <c r="VME41" s="899"/>
      <c r="VMF41" s="899"/>
      <c r="VMG41" s="899"/>
      <c r="VMH41" s="899"/>
      <c r="VMI41" s="899"/>
      <c r="VMJ41" s="899"/>
      <c r="VMK41" s="899"/>
      <c r="VML41" s="899"/>
      <c r="VMM41" s="899"/>
      <c r="VMN41" s="899"/>
      <c r="VMO41" s="899"/>
      <c r="VMP41" s="899"/>
      <c r="VMQ41" s="899"/>
      <c r="VMR41" s="899"/>
      <c r="VMS41" s="899"/>
      <c r="VMT41" s="899"/>
      <c r="VMU41" s="899"/>
      <c r="VMV41" s="899"/>
      <c r="VMW41" s="899"/>
      <c r="VMX41" s="899"/>
      <c r="VMY41" s="899"/>
      <c r="VMZ41" s="899"/>
      <c r="VNA41" s="899"/>
      <c r="VNB41" s="899"/>
      <c r="VNC41" s="899"/>
      <c r="VND41" s="899"/>
      <c r="VNE41" s="899"/>
      <c r="VNF41" s="899"/>
      <c r="VNG41" s="899"/>
      <c r="VNH41" s="899"/>
      <c r="VNI41" s="899"/>
      <c r="VNJ41" s="899"/>
      <c r="VNK41" s="899"/>
      <c r="VNL41" s="899"/>
      <c r="VNM41" s="899"/>
      <c r="VNN41" s="899"/>
      <c r="VNO41" s="899"/>
      <c r="VNP41" s="899"/>
      <c r="VNQ41" s="899"/>
      <c r="VNR41" s="899"/>
      <c r="VNS41" s="899"/>
      <c r="VNT41" s="899"/>
      <c r="VNU41" s="899"/>
      <c r="VNV41" s="899"/>
      <c r="VNW41" s="899"/>
      <c r="VNX41" s="899"/>
      <c r="VNY41" s="899"/>
      <c r="VNZ41" s="899"/>
      <c r="VOA41" s="899"/>
      <c r="VOB41" s="899"/>
      <c r="VOC41" s="899"/>
      <c r="VOD41" s="899"/>
      <c r="VOE41" s="899"/>
      <c r="VOF41" s="899"/>
      <c r="VOG41" s="899"/>
      <c r="VOH41" s="899"/>
      <c r="VOI41" s="899"/>
      <c r="VOJ41" s="899"/>
      <c r="VOK41" s="899"/>
      <c r="VOL41" s="899"/>
      <c r="VOM41" s="899"/>
      <c r="VON41" s="899"/>
      <c r="VOO41" s="899"/>
      <c r="VOP41" s="899"/>
      <c r="VOQ41" s="899"/>
      <c r="VOR41" s="899"/>
      <c r="VOS41" s="899"/>
      <c r="VOT41" s="899"/>
      <c r="VOU41" s="899"/>
      <c r="VOV41" s="899"/>
      <c r="VOW41" s="899"/>
      <c r="VOX41" s="899"/>
      <c r="VOY41" s="899"/>
      <c r="VOZ41" s="899"/>
      <c r="VPA41" s="899"/>
      <c r="VPB41" s="899"/>
      <c r="VPC41" s="899"/>
      <c r="VPD41" s="899"/>
      <c r="VPE41" s="899"/>
      <c r="VPF41" s="899"/>
      <c r="VPG41" s="899"/>
      <c r="VPH41" s="899"/>
      <c r="VPI41" s="899"/>
      <c r="VPJ41" s="899"/>
      <c r="VPK41" s="899"/>
      <c r="VPL41" s="899"/>
      <c r="VPM41" s="899"/>
      <c r="VPN41" s="899"/>
      <c r="VPO41" s="899"/>
      <c r="VPP41" s="899"/>
      <c r="VPQ41" s="899"/>
      <c r="VPR41" s="899"/>
      <c r="VPS41" s="899"/>
      <c r="VPT41" s="899"/>
      <c r="VPU41" s="899"/>
      <c r="VPV41" s="899"/>
      <c r="VPW41" s="899"/>
      <c r="VPX41" s="899"/>
      <c r="VPY41" s="899"/>
      <c r="VPZ41" s="899"/>
      <c r="VQA41" s="899"/>
      <c r="VQB41" s="899"/>
      <c r="VQC41" s="899"/>
      <c r="VQD41" s="899"/>
      <c r="VQE41" s="899"/>
      <c r="VQF41" s="899"/>
      <c r="VQG41" s="899"/>
      <c r="VQH41" s="899"/>
      <c r="VQI41" s="899"/>
      <c r="VQJ41" s="899"/>
      <c r="VQK41" s="899"/>
      <c r="VQL41" s="899"/>
      <c r="VQM41" s="899"/>
      <c r="VQN41" s="899"/>
      <c r="VQO41" s="899"/>
      <c r="VQP41" s="899"/>
      <c r="VQQ41" s="899"/>
      <c r="VQR41" s="899"/>
      <c r="VQS41" s="899"/>
      <c r="VQT41" s="899"/>
      <c r="VQU41" s="899"/>
      <c r="VQV41" s="899"/>
      <c r="VQW41" s="899"/>
      <c r="VQX41" s="899"/>
      <c r="VQY41" s="899"/>
      <c r="VQZ41" s="899"/>
      <c r="VRA41" s="899"/>
      <c r="VRB41" s="899"/>
      <c r="VRC41" s="899"/>
      <c r="VRD41" s="899"/>
      <c r="VRE41" s="899"/>
      <c r="VRF41" s="899"/>
      <c r="VRG41" s="899"/>
      <c r="VRH41" s="899"/>
      <c r="VRI41" s="899"/>
      <c r="VRJ41" s="899"/>
      <c r="VRK41" s="899"/>
      <c r="VRL41" s="899"/>
      <c r="VRM41" s="899"/>
      <c r="VRN41" s="899"/>
      <c r="VRO41" s="899"/>
      <c r="VRP41" s="899"/>
      <c r="VRQ41" s="899"/>
      <c r="VRR41" s="899"/>
      <c r="VRS41" s="899"/>
      <c r="VRT41" s="899"/>
      <c r="VRU41" s="899"/>
      <c r="VRV41" s="899"/>
      <c r="VRW41" s="899"/>
      <c r="VRX41" s="899"/>
      <c r="VRY41" s="899"/>
      <c r="VRZ41" s="899"/>
      <c r="VSA41" s="899"/>
      <c r="VSB41" s="899"/>
      <c r="VSC41" s="899"/>
      <c r="VSD41" s="899"/>
      <c r="VSE41" s="899"/>
      <c r="VSF41" s="899"/>
      <c r="VSG41" s="899"/>
      <c r="VSH41" s="899"/>
      <c r="VSI41" s="899"/>
      <c r="VSJ41" s="899"/>
      <c r="VSK41" s="899"/>
      <c r="VSL41" s="899"/>
      <c r="VSM41" s="899"/>
      <c r="VSN41" s="899"/>
      <c r="VSO41" s="899"/>
      <c r="VSP41" s="899"/>
      <c r="VSQ41" s="899"/>
      <c r="VSR41" s="899"/>
      <c r="VSS41" s="899"/>
      <c r="VST41" s="899"/>
      <c r="VSU41" s="899"/>
      <c r="VSV41" s="899"/>
      <c r="VSW41" s="899"/>
      <c r="VSX41" s="899"/>
      <c r="VSY41" s="899"/>
      <c r="VSZ41" s="899"/>
      <c r="VTA41" s="899"/>
      <c r="VTB41" s="899"/>
      <c r="VTC41" s="899"/>
      <c r="VTD41" s="899"/>
      <c r="VTE41" s="899"/>
      <c r="VTF41" s="899"/>
      <c r="VTG41" s="899"/>
      <c r="VTH41" s="899"/>
      <c r="VTI41" s="899"/>
      <c r="VTJ41" s="899"/>
      <c r="VTK41" s="899"/>
      <c r="VTL41" s="899"/>
      <c r="VTM41" s="899"/>
      <c r="VTN41" s="899"/>
      <c r="VTO41" s="899"/>
      <c r="VTP41" s="899"/>
      <c r="VTQ41" s="899"/>
      <c r="VTR41" s="899"/>
      <c r="VTS41" s="899"/>
      <c r="VTT41" s="899"/>
      <c r="VTU41" s="899"/>
      <c r="VTV41" s="899"/>
      <c r="VTW41" s="899"/>
      <c r="VTX41" s="899"/>
      <c r="VTY41" s="899"/>
      <c r="VTZ41" s="899"/>
      <c r="VUA41" s="899"/>
      <c r="VUB41" s="899"/>
      <c r="VUC41" s="899"/>
      <c r="VUD41" s="899"/>
      <c r="VUE41" s="899"/>
      <c r="VUF41" s="899"/>
      <c r="VUG41" s="899"/>
      <c r="VUH41" s="899"/>
      <c r="VUI41" s="899"/>
      <c r="VUJ41" s="899"/>
      <c r="VUK41" s="899"/>
      <c r="VUL41" s="899"/>
      <c r="VUM41" s="899"/>
      <c r="VUN41" s="899"/>
      <c r="VUO41" s="899"/>
      <c r="VUP41" s="899"/>
      <c r="VUQ41" s="899"/>
      <c r="VUR41" s="899"/>
      <c r="VUS41" s="899"/>
      <c r="VUT41" s="899"/>
      <c r="VUU41" s="899"/>
      <c r="VUV41" s="899"/>
      <c r="VUW41" s="899"/>
      <c r="VUX41" s="899"/>
      <c r="VUY41" s="899"/>
      <c r="VUZ41" s="899"/>
      <c r="VVA41" s="899"/>
      <c r="VVB41" s="899"/>
      <c r="VVC41" s="899"/>
      <c r="VVD41" s="899"/>
      <c r="VVE41" s="899"/>
      <c r="VVF41" s="899"/>
      <c r="VVG41" s="899"/>
      <c r="VVH41" s="899"/>
      <c r="VVI41" s="899"/>
      <c r="VVJ41" s="899"/>
      <c r="VVK41" s="899"/>
      <c r="VVL41" s="899"/>
      <c r="VVM41" s="899"/>
      <c r="VVN41" s="899"/>
      <c r="VVO41" s="899"/>
      <c r="VVP41" s="899"/>
      <c r="VVQ41" s="899"/>
      <c r="VVR41" s="899"/>
      <c r="VVS41" s="899"/>
      <c r="VVT41" s="899"/>
      <c r="VVU41" s="899"/>
      <c r="VVV41" s="899"/>
      <c r="VVW41" s="899"/>
      <c r="VVX41" s="899"/>
      <c r="VVY41" s="899"/>
      <c r="VVZ41" s="899"/>
      <c r="VWA41" s="899"/>
      <c r="VWB41" s="899"/>
      <c r="VWC41" s="899"/>
      <c r="VWD41" s="899"/>
      <c r="VWE41" s="899"/>
      <c r="VWF41" s="899"/>
      <c r="VWG41" s="899"/>
      <c r="VWH41" s="899"/>
      <c r="VWI41" s="899"/>
      <c r="VWJ41" s="899"/>
      <c r="VWK41" s="899"/>
      <c r="VWL41" s="899"/>
      <c r="VWM41" s="899"/>
      <c r="VWN41" s="899"/>
      <c r="VWO41" s="899"/>
      <c r="VWP41" s="899"/>
      <c r="VWQ41" s="899"/>
      <c r="VWR41" s="899"/>
      <c r="VWS41" s="899"/>
      <c r="VWT41" s="899"/>
      <c r="VWU41" s="899"/>
      <c r="VWV41" s="899"/>
      <c r="VWW41" s="899"/>
      <c r="VWX41" s="899"/>
      <c r="VWY41" s="899"/>
      <c r="VWZ41" s="899"/>
      <c r="VXA41" s="899"/>
      <c r="VXB41" s="899"/>
      <c r="VXC41" s="899"/>
      <c r="VXD41" s="899"/>
      <c r="VXE41" s="899"/>
      <c r="VXF41" s="899"/>
      <c r="VXG41" s="899"/>
      <c r="VXH41" s="899"/>
      <c r="VXI41" s="899"/>
      <c r="VXJ41" s="899"/>
      <c r="VXK41" s="899"/>
      <c r="VXL41" s="899"/>
      <c r="VXM41" s="899"/>
      <c r="VXN41" s="899"/>
      <c r="VXO41" s="899"/>
      <c r="VXP41" s="899"/>
      <c r="VXQ41" s="899"/>
      <c r="VXR41" s="899"/>
      <c r="VXS41" s="899"/>
      <c r="VXT41" s="899"/>
      <c r="VXU41" s="899"/>
      <c r="VXV41" s="899"/>
      <c r="VXW41" s="899"/>
      <c r="VXX41" s="899"/>
      <c r="VXY41" s="899"/>
      <c r="VXZ41" s="899"/>
      <c r="VYA41" s="899"/>
      <c r="VYB41" s="899"/>
      <c r="VYC41" s="899"/>
      <c r="VYD41" s="899"/>
      <c r="VYE41" s="899"/>
      <c r="VYF41" s="899"/>
      <c r="VYG41" s="899"/>
      <c r="VYH41" s="899"/>
      <c r="VYI41" s="899"/>
      <c r="VYJ41" s="899"/>
      <c r="VYK41" s="899"/>
      <c r="VYL41" s="899"/>
      <c r="VYM41" s="899"/>
      <c r="VYN41" s="899"/>
      <c r="VYO41" s="899"/>
      <c r="VYP41" s="899"/>
      <c r="VYQ41" s="899"/>
      <c r="VYR41" s="899"/>
      <c r="VYS41" s="899"/>
      <c r="VYT41" s="899"/>
      <c r="VYU41" s="899"/>
      <c r="VYV41" s="899"/>
      <c r="VYW41" s="899"/>
      <c r="VYX41" s="899"/>
      <c r="VYY41" s="899"/>
      <c r="VYZ41" s="899"/>
      <c r="VZA41" s="899"/>
      <c r="VZB41" s="899"/>
      <c r="VZC41" s="899"/>
      <c r="VZD41" s="899"/>
      <c r="VZE41" s="899"/>
      <c r="VZF41" s="899"/>
      <c r="VZG41" s="899"/>
      <c r="VZH41" s="899"/>
      <c r="VZI41" s="899"/>
      <c r="VZJ41" s="899"/>
      <c r="VZK41" s="899"/>
      <c r="VZL41" s="899"/>
      <c r="VZM41" s="899"/>
      <c r="VZN41" s="899"/>
      <c r="VZO41" s="899"/>
      <c r="VZP41" s="899"/>
      <c r="VZQ41" s="899"/>
      <c r="VZR41" s="899"/>
      <c r="VZS41" s="899"/>
      <c r="VZT41" s="899"/>
      <c r="VZU41" s="899"/>
      <c r="VZV41" s="899"/>
      <c r="VZW41" s="899"/>
      <c r="VZX41" s="899"/>
      <c r="VZY41" s="899"/>
      <c r="VZZ41" s="899"/>
      <c r="WAA41" s="899"/>
      <c r="WAB41" s="899"/>
      <c r="WAC41" s="899"/>
      <c r="WAD41" s="899"/>
      <c r="WAE41" s="899"/>
      <c r="WAF41" s="899"/>
      <c r="WAG41" s="899"/>
      <c r="WAH41" s="899"/>
      <c r="WAI41" s="899"/>
      <c r="WAJ41" s="899"/>
      <c r="WAK41" s="899"/>
      <c r="WAL41" s="899"/>
      <c r="WAM41" s="899"/>
      <c r="WAN41" s="899"/>
      <c r="WAO41" s="899"/>
      <c r="WAP41" s="899"/>
      <c r="WAQ41" s="899"/>
      <c r="WAR41" s="899"/>
      <c r="WAS41" s="899"/>
      <c r="WAT41" s="899"/>
      <c r="WAU41" s="899"/>
      <c r="WAV41" s="899"/>
      <c r="WAW41" s="899"/>
      <c r="WAX41" s="899"/>
      <c r="WAY41" s="899"/>
      <c r="WAZ41" s="899"/>
      <c r="WBA41" s="899"/>
      <c r="WBB41" s="899"/>
      <c r="WBC41" s="899"/>
      <c r="WBD41" s="899"/>
      <c r="WBE41" s="899"/>
      <c r="WBF41" s="899"/>
      <c r="WBG41" s="899"/>
      <c r="WBH41" s="899"/>
      <c r="WBI41" s="899"/>
      <c r="WBJ41" s="899"/>
      <c r="WBK41" s="899"/>
      <c r="WBL41" s="899"/>
      <c r="WBM41" s="899"/>
      <c r="WBN41" s="899"/>
      <c r="WBO41" s="899"/>
      <c r="WBP41" s="899"/>
      <c r="WBQ41" s="899"/>
      <c r="WBR41" s="899"/>
      <c r="WBS41" s="899"/>
      <c r="WBT41" s="899"/>
      <c r="WBU41" s="899"/>
      <c r="WBV41" s="899"/>
      <c r="WBW41" s="899"/>
      <c r="WBX41" s="899"/>
      <c r="WBY41" s="899"/>
      <c r="WBZ41" s="899"/>
      <c r="WCA41" s="899"/>
      <c r="WCB41" s="899"/>
      <c r="WCC41" s="899"/>
      <c r="WCD41" s="899"/>
      <c r="WCE41" s="899"/>
      <c r="WCF41" s="899"/>
      <c r="WCG41" s="899"/>
      <c r="WCH41" s="899"/>
      <c r="WCI41" s="899"/>
      <c r="WCJ41" s="899"/>
      <c r="WCK41" s="899"/>
      <c r="WCL41" s="899"/>
      <c r="WCM41" s="899"/>
      <c r="WCN41" s="899"/>
      <c r="WCO41" s="899"/>
      <c r="WCP41" s="899"/>
      <c r="WCQ41" s="899"/>
      <c r="WCR41" s="899"/>
      <c r="WCS41" s="899"/>
      <c r="WCT41" s="899"/>
      <c r="WCU41" s="899"/>
      <c r="WCV41" s="899"/>
      <c r="WCW41" s="899"/>
      <c r="WCX41" s="899"/>
      <c r="WCY41" s="899"/>
      <c r="WCZ41" s="899"/>
      <c r="WDA41" s="899"/>
      <c r="WDB41" s="899"/>
      <c r="WDC41" s="899"/>
      <c r="WDD41" s="899"/>
      <c r="WDE41" s="899"/>
      <c r="WDF41" s="899"/>
      <c r="WDG41" s="899"/>
      <c r="WDH41" s="899"/>
      <c r="WDI41" s="899"/>
      <c r="WDJ41" s="899"/>
      <c r="WDK41" s="899"/>
      <c r="WDL41" s="899"/>
      <c r="WDM41" s="899"/>
      <c r="WDN41" s="899"/>
      <c r="WDO41" s="899"/>
      <c r="WDP41" s="899"/>
      <c r="WDQ41" s="899"/>
      <c r="WDR41" s="899"/>
      <c r="WDS41" s="899"/>
      <c r="WDT41" s="899"/>
      <c r="WDU41" s="899"/>
      <c r="WDV41" s="899"/>
      <c r="WDW41" s="899"/>
      <c r="WDX41" s="899"/>
      <c r="WDY41" s="899"/>
      <c r="WDZ41" s="899"/>
      <c r="WEA41" s="899"/>
      <c r="WEB41" s="899"/>
      <c r="WEC41" s="899"/>
      <c r="WED41" s="899"/>
      <c r="WEE41" s="899"/>
      <c r="WEF41" s="899"/>
      <c r="WEG41" s="899"/>
      <c r="WEH41" s="899"/>
      <c r="WEI41" s="899"/>
      <c r="WEJ41" s="899"/>
      <c r="WEK41" s="899"/>
      <c r="WEL41" s="899"/>
      <c r="WEM41" s="899"/>
      <c r="WEN41" s="899"/>
      <c r="WEO41" s="899"/>
      <c r="WEP41" s="899"/>
      <c r="WEQ41" s="899"/>
      <c r="WER41" s="899"/>
      <c r="WES41" s="899"/>
      <c r="WET41" s="899"/>
      <c r="WEU41" s="899"/>
      <c r="WEV41" s="899"/>
      <c r="WEW41" s="899"/>
      <c r="WEX41" s="899"/>
      <c r="WEY41" s="899"/>
      <c r="WEZ41" s="899"/>
      <c r="WFA41" s="899"/>
      <c r="WFB41" s="899"/>
      <c r="WFC41" s="899"/>
      <c r="WFD41" s="899"/>
      <c r="WFE41" s="899"/>
      <c r="WFF41" s="899"/>
      <c r="WFG41" s="899"/>
      <c r="WFH41" s="899"/>
      <c r="WFI41" s="899"/>
      <c r="WFJ41" s="899"/>
      <c r="WFK41" s="899"/>
      <c r="WFL41" s="899"/>
      <c r="WFM41" s="899"/>
      <c r="WFN41" s="899"/>
      <c r="WFO41" s="899"/>
      <c r="WFP41" s="899"/>
      <c r="WFQ41" s="899"/>
      <c r="WFR41" s="899"/>
      <c r="WFS41" s="899"/>
      <c r="WFT41" s="899"/>
      <c r="WFU41" s="899"/>
      <c r="WFV41" s="899"/>
      <c r="WFW41" s="899"/>
      <c r="WFX41" s="899"/>
      <c r="WFY41" s="899"/>
      <c r="WFZ41" s="899"/>
      <c r="WGA41" s="899"/>
      <c r="WGB41" s="899"/>
      <c r="WGC41" s="899"/>
      <c r="WGD41" s="899"/>
      <c r="WGE41" s="899"/>
      <c r="WGF41" s="899"/>
      <c r="WGG41" s="899"/>
      <c r="WGH41" s="899"/>
      <c r="WGI41" s="899"/>
      <c r="WGJ41" s="899"/>
      <c r="WGK41" s="899"/>
      <c r="WGL41" s="899"/>
      <c r="WGM41" s="899"/>
      <c r="WGN41" s="899"/>
      <c r="WGO41" s="899"/>
      <c r="WGP41" s="899"/>
      <c r="WGQ41" s="899"/>
      <c r="WGR41" s="899"/>
      <c r="WGS41" s="899"/>
      <c r="WGT41" s="899"/>
      <c r="WGU41" s="899"/>
      <c r="WGV41" s="899"/>
      <c r="WGW41" s="899"/>
      <c r="WGX41" s="899"/>
      <c r="WGY41" s="899"/>
      <c r="WGZ41" s="899"/>
      <c r="WHA41" s="899"/>
      <c r="WHB41" s="899"/>
      <c r="WHC41" s="899"/>
      <c r="WHD41" s="899"/>
      <c r="WHE41" s="899"/>
      <c r="WHF41" s="899"/>
      <c r="WHG41" s="899"/>
      <c r="WHH41" s="899"/>
      <c r="WHI41" s="899"/>
      <c r="WHJ41" s="899"/>
      <c r="WHK41" s="899"/>
      <c r="WHL41" s="899"/>
      <c r="WHM41" s="899"/>
      <c r="WHN41" s="899"/>
      <c r="WHO41" s="899"/>
      <c r="WHP41" s="899"/>
      <c r="WHQ41" s="899"/>
      <c r="WHR41" s="899"/>
      <c r="WHS41" s="899"/>
      <c r="WHT41" s="899"/>
      <c r="WHU41" s="899"/>
      <c r="WHV41" s="899"/>
      <c r="WHW41" s="899"/>
      <c r="WHX41" s="899"/>
      <c r="WHY41" s="899"/>
      <c r="WHZ41" s="899"/>
      <c r="WIA41" s="899"/>
      <c r="WIB41" s="899"/>
      <c r="WIC41" s="899"/>
      <c r="WID41" s="899"/>
      <c r="WIE41" s="899"/>
      <c r="WIF41" s="899"/>
      <c r="WIG41" s="899"/>
      <c r="WIH41" s="899"/>
      <c r="WII41" s="899"/>
      <c r="WIJ41" s="899"/>
      <c r="WIK41" s="899"/>
      <c r="WIL41" s="899"/>
      <c r="WIM41" s="899"/>
      <c r="WIN41" s="899"/>
      <c r="WIO41" s="899"/>
      <c r="WIP41" s="899"/>
      <c r="WIQ41" s="899"/>
      <c r="WIR41" s="899"/>
      <c r="WIS41" s="899"/>
      <c r="WIT41" s="899"/>
      <c r="WIU41" s="899"/>
      <c r="WIV41" s="899"/>
      <c r="WIW41" s="899"/>
      <c r="WIX41" s="899"/>
      <c r="WIY41" s="899"/>
      <c r="WIZ41" s="899"/>
      <c r="WJA41" s="899"/>
      <c r="WJB41" s="899"/>
      <c r="WJC41" s="899"/>
      <c r="WJD41" s="899"/>
      <c r="WJE41" s="899"/>
      <c r="WJF41" s="899"/>
      <c r="WJG41" s="899"/>
      <c r="WJH41" s="899"/>
      <c r="WJI41" s="899"/>
      <c r="WJJ41" s="899"/>
      <c r="WJK41" s="899"/>
      <c r="WJL41" s="899"/>
      <c r="WJM41" s="899"/>
      <c r="WJN41" s="899"/>
      <c r="WJO41" s="899"/>
      <c r="WJP41" s="899"/>
      <c r="WJQ41" s="899"/>
      <c r="WJR41" s="899"/>
      <c r="WJS41" s="899"/>
      <c r="WJT41" s="899"/>
      <c r="WJU41" s="899"/>
      <c r="WJV41" s="899"/>
      <c r="WJW41" s="899"/>
      <c r="WJX41" s="899"/>
      <c r="WJY41" s="899"/>
      <c r="WJZ41" s="899"/>
      <c r="WKA41" s="899"/>
      <c r="WKB41" s="899"/>
      <c r="WKC41" s="899"/>
      <c r="WKD41" s="899"/>
      <c r="WKE41" s="899"/>
      <c r="WKF41" s="899"/>
      <c r="WKG41" s="899"/>
      <c r="WKH41" s="899"/>
      <c r="WKI41" s="899"/>
      <c r="WKJ41" s="899"/>
      <c r="WKK41" s="899"/>
      <c r="WKL41" s="899"/>
      <c r="WKM41" s="899"/>
      <c r="WKN41" s="899"/>
      <c r="WKO41" s="899"/>
      <c r="WKP41" s="899"/>
      <c r="WKQ41" s="899"/>
      <c r="WKR41" s="899"/>
      <c r="WKS41" s="899"/>
      <c r="WKT41" s="899"/>
      <c r="WKU41" s="899"/>
      <c r="WKV41" s="899"/>
      <c r="WKW41" s="899"/>
      <c r="WKX41" s="899"/>
      <c r="WKY41" s="899"/>
      <c r="WKZ41" s="899"/>
      <c r="WLA41" s="899"/>
      <c r="WLB41" s="899"/>
      <c r="WLC41" s="899"/>
      <c r="WLD41" s="899"/>
      <c r="WLE41" s="899"/>
      <c r="WLF41" s="899"/>
      <c r="WLG41" s="899"/>
      <c r="WLH41" s="899"/>
      <c r="WLI41" s="899"/>
      <c r="WLJ41" s="899"/>
      <c r="WLK41" s="899"/>
      <c r="WLL41" s="899"/>
      <c r="WLM41" s="899"/>
      <c r="WLN41" s="899"/>
      <c r="WLO41" s="899"/>
      <c r="WLP41" s="899"/>
      <c r="WLQ41" s="899"/>
      <c r="WLR41" s="899"/>
      <c r="WLS41" s="899"/>
      <c r="WLT41" s="899"/>
      <c r="WLU41" s="899"/>
      <c r="WLV41" s="899"/>
      <c r="WLW41" s="899"/>
      <c r="WLX41" s="899"/>
      <c r="WLY41" s="899"/>
      <c r="WLZ41" s="899"/>
      <c r="WMA41" s="899"/>
      <c r="WMB41" s="899"/>
      <c r="WMC41" s="899"/>
      <c r="WMD41" s="899"/>
      <c r="WME41" s="899"/>
      <c r="WMF41" s="899"/>
      <c r="WMG41" s="899"/>
      <c r="WMH41" s="899"/>
      <c r="WMI41" s="899"/>
      <c r="WMJ41" s="899"/>
      <c r="WMK41" s="899"/>
      <c r="WML41" s="899"/>
      <c r="WMM41" s="899"/>
      <c r="WMN41" s="899"/>
      <c r="WMO41" s="899"/>
      <c r="WMP41" s="899"/>
      <c r="WMQ41" s="899"/>
      <c r="WMR41" s="899"/>
      <c r="WMS41" s="899"/>
      <c r="WMT41" s="899"/>
      <c r="WMU41" s="899"/>
      <c r="WMV41" s="899"/>
      <c r="WMW41" s="899"/>
      <c r="WMX41" s="899"/>
      <c r="WMY41" s="899"/>
      <c r="WMZ41" s="899"/>
      <c r="WNA41" s="899"/>
      <c r="WNB41" s="899"/>
      <c r="WNC41" s="899"/>
      <c r="WND41" s="899"/>
      <c r="WNE41" s="899"/>
      <c r="WNF41" s="899"/>
      <c r="WNG41" s="899"/>
      <c r="WNH41" s="899"/>
      <c r="WNI41" s="899"/>
      <c r="WNJ41" s="899"/>
      <c r="WNK41" s="899"/>
      <c r="WNL41" s="899"/>
      <c r="WNM41" s="899"/>
      <c r="WNN41" s="899"/>
      <c r="WNO41" s="899"/>
      <c r="WNP41" s="899"/>
      <c r="WNQ41" s="899"/>
      <c r="WNR41" s="899"/>
      <c r="WNS41" s="899"/>
      <c r="WNT41" s="899"/>
      <c r="WNU41" s="899"/>
      <c r="WNV41" s="899"/>
      <c r="WNW41" s="899"/>
      <c r="WNX41" s="899"/>
      <c r="WNY41" s="899"/>
      <c r="WNZ41" s="899"/>
      <c r="WOA41" s="899"/>
      <c r="WOB41" s="899"/>
      <c r="WOC41" s="899"/>
      <c r="WOD41" s="899"/>
      <c r="WOE41" s="899"/>
      <c r="WOF41" s="899"/>
      <c r="WOG41" s="899"/>
      <c r="WOH41" s="899"/>
      <c r="WOI41" s="899"/>
      <c r="WOJ41" s="899"/>
      <c r="WOK41" s="899"/>
      <c r="WOL41" s="899"/>
      <c r="WOM41" s="899"/>
      <c r="WON41" s="899"/>
      <c r="WOO41" s="899"/>
      <c r="WOP41" s="899"/>
      <c r="WOQ41" s="899"/>
      <c r="WOR41" s="899"/>
      <c r="WOS41" s="899"/>
      <c r="WOT41" s="899"/>
      <c r="WOU41" s="899"/>
      <c r="WOV41" s="899"/>
      <c r="WOW41" s="899"/>
      <c r="WOX41" s="899"/>
      <c r="WOY41" s="899"/>
      <c r="WOZ41" s="899"/>
      <c r="WPA41" s="899"/>
      <c r="WPB41" s="899"/>
      <c r="WPC41" s="899"/>
      <c r="WPD41" s="899"/>
      <c r="WPE41" s="899"/>
      <c r="WPF41" s="899"/>
      <c r="WPG41" s="899"/>
      <c r="WPH41" s="899"/>
      <c r="WPI41" s="899"/>
      <c r="WPJ41" s="899"/>
      <c r="WPK41" s="899"/>
      <c r="WPL41" s="899"/>
      <c r="WPM41" s="899"/>
      <c r="WPN41" s="899"/>
      <c r="WPO41" s="899"/>
      <c r="WPP41" s="899"/>
      <c r="WPQ41" s="899"/>
      <c r="WPR41" s="899"/>
      <c r="WPS41" s="899"/>
      <c r="WPT41" s="899"/>
      <c r="WPU41" s="899"/>
      <c r="WPV41" s="899"/>
      <c r="WPW41" s="899"/>
      <c r="WPX41" s="899"/>
      <c r="WPY41" s="899"/>
      <c r="WPZ41" s="899"/>
      <c r="WQA41" s="899"/>
      <c r="WQB41" s="899"/>
      <c r="WQC41" s="899"/>
      <c r="WQD41" s="899"/>
      <c r="WQE41" s="899"/>
      <c r="WQF41" s="899"/>
      <c r="WQG41" s="899"/>
      <c r="WQH41" s="899"/>
      <c r="WQI41" s="899"/>
      <c r="WQJ41" s="899"/>
      <c r="WQK41" s="899"/>
      <c r="WQL41" s="899"/>
      <c r="WQM41" s="899"/>
      <c r="WQN41" s="899"/>
      <c r="WQO41" s="899"/>
      <c r="WQP41" s="899"/>
      <c r="WQQ41" s="899"/>
      <c r="WQR41" s="899"/>
      <c r="WQS41" s="899"/>
      <c r="WQT41" s="899"/>
      <c r="WQU41" s="899"/>
      <c r="WQV41" s="899"/>
      <c r="WQW41" s="899"/>
      <c r="WQX41" s="899"/>
      <c r="WQY41" s="899"/>
      <c r="WQZ41" s="899"/>
      <c r="WRA41" s="899"/>
      <c r="WRB41" s="899"/>
      <c r="WRC41" s="899"/>
      <c r="WRD41" s="899"/>
      <c r="WRE41" s="899"/>
      <c r="WRF41" s="899"/>
      <c r="WRG41" s="899"/>
      <c r="WRH41" s="899"/>
      <c r="WRI41" s="899"/>
      <c r="WRJ41" s="899"/>
      <c r="WRK41" s="899"/>
      <c r="WRL41" s="899"/>
      <c r="WRM41" s="899"/>
      <c r="WRN41" s="899"/>
      <c r="WRO41" s="899"/>
      <c r="WRP41" s="899"/>
      <c r="WRQ41" s="899"/>
      <c r="WRR41" s="899"/>
      <c r="WRS41" s="899"/>
      <c r="WRT41" s="899"/>
      <c r="WRU41" s="899"/>
      <c r="WRV41" s="899"/>
      <c r="WRW41" s="899"/>
      <c r="WRX41" s="899"/>
      <c r="WRY41" s="899"/>
      <c r="WRZ41" s="899"/>
      <c r="WSA41" s="899"/>
      <c r="WSB41" s="899"/>
      <c r="WSC41" s="899"/>
      <c r="WSD41" s="899"/>
      <c r="WSE41" s="899"/>
      <c r="WSF41" s="899"/>
      <c r="WSG41" s="899"/>
      <c r="WSH41" s="899"/>
      <c r="WSI41" s="899"/>
      <c r="WSJ41" s="899"/>
      <c r="WSK41" s="899"/>
      <c r="WSL41" s="899"/>
      <c r="WSM41" s="899"/>
      <c r="WSN41" s="899"/>
      <c r="WSO41" s="899"/>
      <c r="WSP41" s="899"/>
      <c r="WSQ41" s="899"/>
      <c r="WSR41" s="899"/>
      <c r="WSS41" s="899"/>
      <c r="WST41" s="899"/>
      <c r="WSU41" s="899"/>
      <c r="WSV41" s="899"/>
      <c r="WSW41" s="899"/>
      <c r="WSX41" s="899"/>
      <c r="WSY41" s="899"/>
      <c r="WSZ41" s="899"/>
      <c r="WTA41" s="899"/>
      <c r="WTB41" s="899"/>
      <c r="WTC41" s="899"/>
      <c r="WTD41" s="899"/>
      <c r="WTE41" s="899"/>
      <c r="WTF41" s="899"/>
      <c r="WTG41" s="899"/>
      <c r="WTH41" s="899"/>
      <c r="WTI41" s="899"/>
      <c r="WTJ41" s="899"/>
      <c r="WTK41" s="899"/>
      <c r="WTL41" s="899"/>
      <c r="WTM41" s="899"/>
      <c r="WTN41" s="899"/>
      <c r="WTO41" s="899"/>
      <c r="WTP41" s="899"/>
      <c r="WTQ41" s="899"/>
      <c r="WTR41" s="899"/>
      <c r="WTS41" s="899"/>
      <c r="WTT41" s="899"/>
      <c r="WTU41" s="899"/>
      <c r="WTV41" s="899"/>
      <c r="WTW41" s="899"/>
      <c r="WTX41" s="899"/>
      <c r="WTY41" s="899"/>
      <c r="WTZ41" s="899"/>
      <c r="WUA41" s="899"/>
      <c r="WUB41" s="899"/>
      <c r="WUC41" s="899"/>
      <c r="WUD41" s="899"/>
      <c r="WUE41" s="899"/>
      <c r="WUF41" s="899"/>
      <c r="WUG41" s="899"/>
      <c r="WUH41" s="899"/>
      <c r="WUI41" s="899"/>
      <c r="WUJ41" s="899"/>
      <c r="WUK41" s="899"/>
      <c r="WUL41" s="899"/>
      <c r="WUM41" s="899"/>
      <c r="WUN41" s="899"/>
      <c r="WUO41" s="899"/>
      <c r="WUP41" s="899"/>
      <c r="WUQ41" s="899"/>
      <c r="WUR41" s="899"/>
      <c r="WUS41" s="899"/>
      <c r="WUT41" s="899"/>
      <c r="WUU41" s="899"/>
      <c r="WUV41" s="899"/>
      <c r="WUW41" s="899"/>
      <c r="WUX41" s="899"/>
      <c r="WUY41" s="899"/>
      <c r="WUZ41" s="899"/>
      <c r="WVA41" s="899"/>
      <c r="WVB41" s="899"/>
      <c r="WVC41" s="899"/>
      <c r="WVD41" s="899"/>
      <c r="WVE41" s="899"/>
      <c r="WVF41" s="899"/>
      <c r="WVG41" s="899"/>
      <c r="WVH41" s="899"/>
      <c r="WVI41" s="899"/>
      <c r="WVJ41" s="899"/>
      <c r="WVK41" s="899"/>
      <c r="WVL41" s="899"/>
      <c r="WVM41" s="899"/>
      <c r="WVN41" s="899"/>
      <c r="WVO41" s="899"/>
      <c r="WVP41" s="899"/>
      <c r="WVQ41" s="899"/>
      <c r="WVR41" s="899"/>
      <c r="WVS41" s="899"/>
      <c r="WVT41" s="899"/>
      <c r="WVU41" s="899"/>
      <c r="WVV41" s="899"/>
      <c r="WVW41" s="899"/>
      <c r="WVX41" s="899"/>
      <c r="WVY41" s="899"/>
      <c r="WVZ41" s="899"/>
      <c r="WWA41" s="899"/>
      <c r="WWB41" s="899"/>
      <c r="WWC41" s="899"/>
      <c r="WWD41" s="899"/>
      <c r="WWE41" s="899"/>
      <c r="WWF41" s="899"/>
      <c r="WWG41" s="899"/>
      <c r="WWH41" s="899"/>
      <c r="WWI41" s="899"/>
      <c r="WWJ41" s="899"/>
      <c r="WWK41" s="899"/>
      <c r="WWL41" s="899"/>
      <c r="WWM41" s="899"/>
      <c r="WWN41" s="899"/>
      <c r="WWO41" s="899"/>
      <c r="WWP41" s="899"/>
      <c r="WWQ41" s="899"/>
      <c r="WWR41" s="899"/>
      <c r="WWS41" s="899"/>
      <c r="WWT41" s="899"/>
      <c r="WWU41" s="899"/>
      <c r="WWV41" s="899"/>
      <c r="WWW41" s="899"/>
      <c r="WWX41" s="899"/>
      <c r="WWY41" s="899"/>
      <c r="WWZ41" s="899"/>
      <c r="WXA41" s="899"/>
      <c r="WXB41" s="899"/>
      <c r="WXC41" s="899"/>
      <c r="WXD41" s="899"/>
      <c r="WXE41" s="899"/>
      <c r="WXF41" s="899"/>
      <c r="WXG41" s="899"/>
      <c r="WXH41" s="899"/>
      <c r="WXI41" s="899"/>
      <c r="WXJ41" s="899"/>
      <c r="WXK41" s="899"/>
      <c r="WXL41" s="899"/>
      <c r="WXM41" s="899"/>
      <c r="WXN41" s="899"/>
      <c r="WXO41" s="899"/>
      <c r="WXP41" s="899"/>
      <c r="WXQ41" s="899"/>
      <c r="WXR41" s="899"/>
      <c r="WXS41" s="899"/>
      <c r="WXT41" s="899"/>
      <c r="WXU41" s="899"/>
      <c r="WXV41" s="899"/>
      <c r="WXW41" s="899"/>
      <c r="WXX41" s="899"/>
      <c r="WXY41" s="899"/>
      <c r="WXZ41" s="899"/>
      <c r="WYA41" s="899"/>
      <c r="WYB41" s="899"/>
      <c r="WYC41" s="899"/>
      <c r="WYD41" s="899"/>
      <c r="WYE41" s="899"/>
      <c r="WYF41" s="899"/>
      <c r="WYG41" s="899"/>
      <c r="WYH41" s="899"/>
      <c r="WYI41" s="899"/>
      <c r="WYJ41" s="899"/>
      <c r="WYK41" s="899"/>
      <c r="WYL41" s="899"/>
      <c r="WYM41" s="899"/>
      <c r="WYN41" s="899"/>
      <c r="WYO41" s="899"/>
      <c r="WYP41" s="899"/>
      <c r="WYQ41" s="899"/>
      <c r="WYR41" s="899"/>
      <c r="WYS41" s="899"/>
      <c r="WYT41" s="899"/>
      <c r="WYU41" s="899"/>
      <c r="WYV41" s="899"/>
      <c r="WYW41" s="899"/>
      <c r="WYX41" s="899"/>
      <c r="WYY41" s="899"/>
      <c r="WYZ41" s="899"/>
      <c r="WZA41" s="899"/>
      <c r="WZB41" s="899"/>
      <c r="WZC41" s="899"/>
      <c r="WZD41" s="899"/>
      <c r="WZE41" s="899"/>
      <c r="WZF41" s="899"/>
      <c r="WZG41" s="899"/>
      <c r="WZH41" s="899"/>
      <c r="WZI41" s="899"/>
      <c r="WZJ41" s="899"/>
      <c r="WZK41" s="899"/>
      <c r="WZL41" s="899"/>
      <c r="WZM41" s="899"/>
      <c r="WZN41" s="899"/>
      <c r="WZO41" s="899"/>
      <c r="WZP41" s="899"/>
      <c r="WZQ41" s="899"/>
      <c r="WZR41" s="899"/>
      <c r="WZS41" s="899"/>
      <c r="WZT41" s="899"/>
      <c r="WZU41" s="899"/>
      <c r="WZV41" s="899"/>
      <c r="WZW41" s="899"/>
      <c r="WZX41" s="899"/>
      <c r="WZY41" s="899"/>
      <c r="WZZ41" s="899"/>
      <c r="XAA41" s="899"/>
      <c r="XAB41" s="899"/>
      <c r="XAC41" s="899"/>
      <c r="XAD41" s="899"/>
      <c r="XAE41" s="899"/>
      <c r="XAF41" s="899"/>
      <c r="XAG41" s="899"/>
      <c r="XAH41" s="899"/>
      <c r="XAI41" s="899"/>
      <c r="XAJ41" s="899"/>
      <c r="XAK41" s="899"/>
      <c r="XAL41" s="899"/>
      <c r="XAM41" s="899"/>
      <c r="XAN41" s="899"/>
      <c r="XAO41" s="899"/>
      <c r="XAP41" s="899"/>
      <c r="XAQ41" s="899"/>
      <c r="XAR41" s="899"/>
      <c r="XAS41" s="899"/>
      <c r="XAT41" s="899"/>
      <c r="XAU41" s="899"/>
      <c r="XAV41" s="899"/>
      <c r="XAW41" s="899"/>
      <c r="XAX41" s="899"/>
      <c r="XAY41" s="899"/>
      <c r="XAZ41" s="899"/>
      <c r="XBA41" s="899"/>
      <c r="XBB41" s="899"/>
      <c r="XBC41" s="899"/>
      <c r="XBD41" s="899"/>
      <c r="XBE41" s="899"/>
      <c r="XBF41" s="899"/>
      <c r="XBG41" s="899"/>
      <c r="XBH41" s="899"/>
      <c r="XBI41" s="899"/>
      <c r="XBJ41" s="899"/>
      <c r="XBK41" s="899"/>
      <c r="XBL41" s="899"/>
      <c r="XBM41" s="899"/>
      <c r="XBN41" s="899"/>
      <c r="XBO41" s="899"/>
      <c r="XBP41" s="899"/>
      <c r="XBQ41" s="899"/>
      <c r="XBR41" s="899"/>
      <c r="XBS41" s="899"/>
      <c r="XBT41" s="899"/>
      <c r="XBU41" s="899"/>
      <c r="XBV41" s="899"/>
      <c r="XBW41" s="899"/>
      <c r="XBX41" s="899"/>
      <c r="XBY41" s="899"/>
      <c r="XBZ41" s="899"/>
      <c r="XCA41" s="899"/>
      <c r="XCB41" s="899"/>
      <c r="XCC41" s="899"/>
      <c r="XCD41" s="899"/>
      <c r="XCE41" s="899"/>
      <c r="XCF41" s="899"/>
      <c r="XCG41" s="899"/>
      <c r="XCH41" s="899"/>
      <c r="XCI41" s="899"/>
      <c r="XCJ41" s="899"/>
      <c r="XCK41" s="899"/>
      <c r="XCL41" s="899"/>
      <c r="XCM41" s="899"/>
      <c r="XCN41" s="899"/>
      <c r="XCO41" s="899"/>
      <c r="XCP41" s="899"/>
      <c r="XCQ41" s="899"/>
      <c r="XCR41" s="899"/>
      <c r="XCS41" s="899"/>
      <c r="XCT41" s="899"/>
      <c r="XCU41" s="899"/>
      <c r="XCV41" s="899"/>
      <c r="XCW41" s="899"/>
      <c r="XCX41" s="899"/>
      <c r="XCY41" s="899"/>
      <c r="XCZ41" s="899"/>
      <c r="XDA41" s="899"/>
      <c r="XDB41" s="899"/>
      <c r="XDC41" s="899"/>
      <c r="XDD41" s="899"/>
      <c r="XDE41" s="899"/>
      <c r="XDF41" s="899"/>
      <c r="XDG41" s="899"/>
      <c r="XDH41" s="899"/>
      <c r="XDI41" s="899"/>
      <c r="XDJ41" s="899"/>
      <c r="XDK41" s="899"/>
      <c r="XDL41" s="899"/>
      <c r="XDM41" s="899"/>
      <c r="XDN41" s="899"/>
      <c r="XDO41" s="899"/>
      <c r="XDP41" s="899"/>
      <c r="XDQ41" s="899"/>
      <c r="XDR41" s="899"/>
      <c r="XDS41" s="899"/>
      <c r="XDT41" s="899"/>
      <c r="XDU41" s="899"/>
      <c r="XDV41" s="899"/>
      <c r="XDW41" s="899"/>
      <c r="XDX41" s="899"/>
      <c r="XDY41" s="899"/>
      <c r="XDZ41" s="899"/>
      <c r="XEA41" s="899"/>
      <c r="XEB41" s="899"/>
    </row>
    <row r="42" spans="1:16356" ht="30" customHeight="1">
      <c r="A42" s="118" t="s">
        <v>101</v>
      </c>
      <c r="B42" s="122" t="s">
        <v>102</v>
      </c>
      <c r="C42" s="121"/>
      <c r="D42" s="121"/>
      <c r="E42" s="121"/>
      <c r="F42" s="121"/>
      <c r="G42" s="121"/>
      <c r="H42" s="121"/>
      <c r="I42" s="121"/>
      <c r="J42" s="121"/>
      <c r="K42" s="121"/>
      <c r="L42" s="121"/>
      <c r="M42" s="121"/>
      <c r="N42" s="121"/>
      <c r="O42" s="5"/>
      <c r="P42" s="5"/>
      <c r="Q42" s="5"/>
      <c r="R42" s="5"/>
      <c r="S42" s="5"/>
      <c r="T42" s="5"/>
      <c r="U42" s="7"/>
      <c r="V42" s="7"/>
      <c r="W42" s="7"/>
      <c r="X42" s="7"/>
      <c r="Y42" s="35"/>
      <c r="Z42" s="7"/>
      <c r="AA42" s="7"/>
      <c r="AB42" s="7"/>
      <c r="AC42" s="7"/>
      <c r="AD42" s="35"/>
      <c r="AE42" s="7"/>
      <c r="AF42" s="7"/>
      <c r="AG42" s="7"/>
      <c r="AH42" s="7"/>
      <c r="AI42" s="35"/>
      <c r="AJ42" s="7"/>
      <c r="AK42" s="99"/>
      <c r="AL42" s="5"/>
      <c r="AM42" s="191"/>
      <c r="AN42" s="191"/>
      <c r="AO42" s="191"/>
      <c r="AP42" s="191"/>
      <c r="AQ42" s="191"/>
      <c r="AR42" s="191"/>
      <c r="AS42" s="191"/>
      <c r="AT42" s="191"/>
      <c r="AU42" s="191"/>
      <c r="AV42" s="191"/>
      <c r="AW42" s="191"/>
      <c r="AX42" s="191"/>
      <c r="AY42" s="191"/>
      <c r="AZ42" s="191"/>
      <c r="BA42" s="191"/>
      <c r="BB42" s="191"/>
      <c r="BC42" s="191"/>
      <c r="BD42" s="191"/>
      <c r="BE42" s="191"/>
      <c r="BF42" s="704"/>
      <c r="BG42" s="191"/>
      <c r="BH42" s="191"/>
      <c r="BI42" s="191"/>
      <c r="BJ42" s="191"/>
      <c r="BK42" s="699"/>
      <c r="BL42" s="191"/>
      <c r="BM42" s="191"/>
      <c r="BN42" s="191"/>
      <c r="BO42" s="191"/>
      <c r="BP42" s="699"/>
      <c r="BQ42" s="191"/>
      <c r="BR42" s="191"/>
      <c r="BS42" s="191"/>
      <c r="BT42" s="191"/>
    </row>
    <row r="43" spans="1:16356" ht="45.75" customHeight="1">
      <c r="A43" s="135"/>
      <c r="B43" s="135"/>
      <c r="U43" s="6"/>
      <c r="V43" s="6"/>
      <c r="W43" s="6"/>
      <c r="X43" s="6"/>
      <c r="Y43" s="38"/>
      <c r="Z43" s="6"/>
      <c r="AA43" s="6"/>
      <c r="AB43" s="6"/>
      <c r="AC43" s="6"/>
      <c r="AD43" s="38"/>
      <c r="AE43" s="6"/>
      <c r="AF43" s="6"/>
      <c r="AG43" s="6"/>
      <c r="AH43" s="6"/>
      <c r="AI43" s="38"/>
      <c r="AJ43" s="6"/>
      <c r="AK43" s="98"/>
      <c r="AL43" s="5"/>
      <c r="AM43" s="6"/>
      <c r="AN43" s="6"/>
      <c r="AO43" s="38"/>
      <c r="AP43" s="6"/>
      <c r="AQ43" s="6"/>
      <c r="AR43" s="6"/>
      <c r="AS43" s="6"/>
      <c r="AT43" s="38"/>
      <c r="AU43" s="6"/>
      <c r="AV43" s="6"/>
      <c r="AW43" s="6"/>
      <c r="AX43" s="6"/>
      <c r="AY43" s="38"/>
      <c r="AZ43" s="6"/>
      <c r="BA43" s="6"/>
      <c r="BB43" s="6"/>
      <c r="BC43" s="6"/>
      <c r="BD43" s="38"/>
      <c r="BE43" s="6"/>
      <c r="BF43" s="705"/>
      <c r="BG43" s="6"/>
      <c r="BH43" s="6"/>
      <c r="BI43" s="38"/>
      <c r="BJ43" s="6"/>
      <c r="BK43" s="700"/>
      <c r="BL43" s="6"/>
      <c r="BM43" s="6"/>
      <c r="BN43" s="38"/>
      <c r="BO43" s="6"/>
      <c r="BP43" s="700"/>
      <c r="BQ43" s="6"/>
      <c r="BR43" s="6"/>
      <c r="BS43" s="38"/>
      <c r="BT43" s="6"/>
    </row>
    <row r="44" spans="1:16356" ht="12.9">
      <c r="A44" s="903"/>
      <c r="B44" s="903"/>
      <c r="C44" s="903"/>
      <c r="D44" s="903"/>
      <c r="E44" s="903"/>
      <c r="F44" s="903"/>
      <c r="G44" s="903"/>
      <c r="H44" s="903"/>
      <c r="I44" s="903"/>
      <c r="J44" s="903"/>
      <c r="K44" s="903"/>
      <c r="L44" s="903"/>
      <c r="M44" s="903"/>
      <c r="N44" s="903"/>
      <c r="O44" s="5"/>
      <c r="P44" s="5"/>
      <c r="Q44" s="5"/>
      <c r="R44" s="5"/>
      <c r="S44" s="5"/>
      <c r="T44" s="5"/>
      <c r="U44" s="7"/>
      <c r="V44" s="7"/>
      <c r="W44" s="7"/>
      <c r="X44" s="7"/>
      <c r="Y44" s="35"/>
      <c r="Z44" s="7"/>
      <c r="AA44" s="7"/>
      <c r="AB44" s="7"/>
      <c r="AC44" s="7"/>
      <c r="AD44" s="35"/>
      <c r="AE44" s="7"/>
      <c r="AF44" s="7"/>
      <c r="AG44" s="7"/>
      <c r="AH44" s="7"/>
      <c r="AI44" s="35"/>
      <c r="AJ44" s="7"/>
      <c r="AK44" s="99"/>
      <c r="AL44" s="5"/>
      <c r="AM44" s="7"/>
      <c r="AN44" s="7"/>
      <c r="AO44" s="35"/>
      <c r="AP44" s="7"/>
      <c r="AQ44" s="7"/>
      <c r="AR44" s="7"/>
      <c r="AS44" s="7"/>
      <c r="AT44" s="35"/>
      <c r="AU44" s="7"/>
      <c r="AV44" s="7"/>
      <c r="AW44" s="7"/>
      <c r="AX44" s="7"/>
      <c r="AY44" s="35"/>
      <c r="AZ44" s="7"/>
      <c r="BA44" s="7"/>
      <c r="BB44" s="7"/>
      <c r="BC44" s="7"/>
      <c r="BD44" s="35"/>
      <c r="BE44" s="7"/>
      <c r="BF44" s="706"/>
      <c r="BG44" s="7"/>
      <c r="BH44" s="7"/>
      <c r="BI44" s="35"/>
      <c r="BJ44" s="7"/>
      <c r="BK44" s="8"/>
      <c r="BL44" s="7"/>
      <c r="BM44" s="7"/>
      <c r="BN44" s="35"/>
      <c r="BO44" s="7"/>
      <c r="BP44" s="8"/>
      <c r="BQ44" s="7"/>
      <c r="BR44" s="7"/>
      <c r="BS44" s="35"/>
      <c r="BT44" s="7"/>
    </row>
    <row r="45" spans="1:16356" ht="15" customHeight="1">
      <c r="U45" s="6"/>
      <c r="V45" s="6"/>
      <c r="W45" s="6"/>
      <c r="X45" s="6"/>
      <c r="Y45" s="38"/>
      <c r="Z45" s="6"/>
      <c r="AA45" s="6"/>
      <c r="AB45" s="6"/>
      <c r="AC45" s="6"/>
      <c r="AD45" s="38"/>
      <c r="AE45" s="6"/>
      <c r="AF45" s="6"/>
      <c r="AG45" s="6"/>
      <c r="AH45" s="6"/>
      <c r="AI45" s="38"/>
      <c r="AJ45" s="6"/>
      <c r="AK45" s="98"/>
      <c r="AL45" s="5"/>
      <c r="AM45" s="6"/>
      <c r="AN45" s="6"/>
      <c r="AO45" s="38"/>
      <c r="AP45" s="6"/>
      <c r="AQ45" s="6"/>
      <c r="AR45" s="6"/>
      <c r="AS45" s="6"/>
      <c r="AT45" s="38"/>
      <c r="AU45" s="6"/>
      <c r="AV45" s="6"/>
      <c r="AW45" s="6"/>
      <c r="AX45" s="6"/>
      <c r="AY45" s="38"/>
      <c r="AZ45" s="6"/>
      <c r="BA45" s="6"/>
      <c r="BB45" s="6"/>
      <c r="BC45" s="6"/>
      <c r="BD45" s="38"/>
      <c r="BE45" s="6"/>
      <c r="BF45" s="705"/>
      <c r="BG45" s="6"/>
      <c r="BH45" s="6"/>
      <c r="BI45" s="38"/>
      <c r="BJ45" s="6"/>
      <c r="BK45" s="700"/>
      <c r="BL45" s="6"/>
      <c r="BM45" s="6"/>
      <c r="BN45" s="38"/>
      <c r="BO45" s="6"/>
      <c r="BP45" s="700"/>
      <c r="BQ45" s="6"/>
      <c r="BR45" s="6"/>
      <c r="BS45" s="38"/>
      <c r="BT45" s="6"/>
    </row>
    <row r="46" spans="1:16356" ht="28.5" customHeight="1">
      <c r="U46" s="6"/>
      <c r="V46" s="6"/>
      <c r="W46" s="6"/>
      <c r="X46" s="6"/>
      <c r="Y46" s="38"/>
      <c r="Z46" s="6"/>
      <c r="AA46" s="6"/>
      <c r="AB46" s="6"/>
      <c r="AC46" s="6"/>
      <c r="AD46" s="38"/>
      <c r="AE46" s="6"/>
      <c r="AF46" s="6"/>
      <c r="AG46" s="6"/>
      <c r="AH46" s="6"/>
      <c r="AI46" s="38"/>
      <c r="AJ46" s="6"/>
      <c r="AK46" s="98"/>
      <c r="AL46" s="5"/>
      <c r="AM46" s="6"/>
      <c r="AN46" s="6"/>
      <c r="AO46" s="38"/>
      <c r="AP46" s="6"/>
      <c r="AQ46" s="6"/>
      <c r="AR46" s="6"/>
      <c r="AS46" s="6"/>
      <c r="AT46" s="38"/>
      <c r="AU46" s="6"/>
      <c r="AV46" s="6"/>
      <c r="AW46" s="6"/>
      <c r="AX46" s="6"/>
      <c r="AY46" s="38"/>
      <c r="AZ46" s="6"/>
      <c r="BA46" s="6"/>
      <c r="BB46" s="6"/>
      <c r="BC46" s="6"/>
      <c r="BD46" s="38"/>
      <c r="BE46" s="6"/>
      <c r="BF46" s="705"/>
      <c r="BG46" s="6"/>
      <c r="BH46" s="6"/>
      <c r="BI46" s="38"/>
      <c r="BJ46" s="6"/>
      <c r="BK46" s="700"/>
      <c r="BL46" s="6"/>
      <c r="BM46" s="6"/>
      <c r="BN46" s="38"/>
      <c r="BO46" s="6"/>
      <c r="BP46" s="700"/>
      <c r="BQ46" s="6"/>
      <c r="BR46" s="6"/>
      <c r="BS46" s="38"/>
      <c r="BT46" s="6"/>
    </row>
    <row r="47" spans="1:16356" ht="28.5" customHeight="1">
      <c r="U47" s="6"/>
      <c r="V47" s="6"/>
      <c r="W47" s="6"/>
      <c r="X47" s="6"/>
      <c r="Y47" s="38"/>
      <c r="Z47" s="6"/>
      <c r="AA47" s="6"/>
      <c r="AB47" s="6"/>
      <c r="AC47" s="6"/>
      <c r="AD47" s="38"/>
      <c r="AE47" s="6"/>
      <c r="AF47" s="6"/>
      <c r="AG47" s="6"/>
      <c r="AH47" s="6"/>
      <c r="AI47" s="38"/>
      <c r="AJ47" s="6"/>
      <c r="AK47" s="98"/>
      <c r="AL47" s="5"/>
      <c r="AM47" s="6"/>
      <c r="AN47" s="6"/>
      <c r="AO47" s="38"/>
      <c r="AP47" s="6"/>
      <c r="AQ47" s="6"/>
      <c r="AR47" s="6"/>
      <c r="AS47" s="6"/>
      <c r="AT47" s="38"/>
      <c r="AU47" s="6"/>
      <c r="AV47" s="6"/>
      <c r="AW47" s="6"/>
      <c r="AX47" s="6"/>
      <c r="AY47" s="38"/>
      <c r="AZ47" s="6"/>
      <c r="BA47" s="6"/>
      <c r="BB47" s="6"/>
      <c r="BC47" s="6"/>
      <c r="BD47" s="38"/>
      <c r="BE47" s="6"/>
      <c r="BF47" s="705"/>
      <c r="BG47" s="6"/>
      <c r="BH47" s="6"/>
      <c r="BI47" s="38"/>
      <c r="BJ47" s="6"/>
      <c r="BK47" s="700"/>
      <c r="BL47" s="6"/>
      <c r="BM47" s="6"/>
      <c r="BN47" s="38"/>
      <c r="BO47" s="6"/>
      <c r="BP47" s="700"/>
      <c r="BQ47" s="6"/>
      <c r="BR47" s="6"/>
      <c r="BS47" s="38"/>
      <c r="BT47" s="6"/>
    </row>
    <row r="48" spans="1:16356" ht="28.5" customHeight="1">
      <c r="U48" s="6"/>
      <c r="V48" s="6"/>
      <c r="W48" s="6"/>
      <c r="X48" s="6"/>
      <c r="Y48" s="38"/>
      <c r="Z48" s="6"/>
      <c r="AA48" s="6"/>
      <c r="AB48" s="6"/>
      <c r="AC48" s="6"/>
      <c r="AD48" s="38"/>
      <c r="AE48" s="6"/>
      <c r="AF48" s="6"/>
      <c r="AG48" s="6"/>
      <c r="AH48" s="6"/>
      <c r="AI48" s="38"/>
      <c r="AJ48" s="6"/>
      <c r="AK48" s="98"/>
      <c r="AL48" s="5"/>
      <c r="AM48" s="6"/>
      <c r="AN48" s="6"/>
      <c r="AO48" s="38"/>
      <c r="AP48" s="6"/>
      <c r="AQ48" s="6"/>
      <c r="AR48" s="6"/>
      <c r="AS48" s="6"/>
      <c r="AT48" s="38"/>
      <c r="AU48" s="6"/>
      <c r="AV48" s="6"/>
      <c r="AW48" s="6"/>
      <c r="AX48" s="6"/>
      <c r="AY48" s="38"/>
      <c r="AZ48" s="6"/>
      <c r="BA48" s="6"/>
      <c r="BB48" s="6"/>
      <c r="BC48" s="6"/>
      <c r="BD48" s="38"/>
      <c r="BE48" s="6"/>
      <c r="BF48" s="705"/>
      <c r="BG48" s="6"/>
      <c r="BH48" s="6"/>
      <c r="BI48" s="38"/>
      <c r="BJ48" s="6"/>
      <c r="BK48" s="700"/>
      <c r="BL48" s="6"/>
      <c r="BM48" s="6"/>
      <c r="BN48" s="38"/>
      <c r="BO48" s="6"/>
      <c r="BP48" s="700"/>
      <c r="BQ48" s="6"/>
      <c r="BR48" s="6"/>
      <c r="BS48" s="38"/>
      <c r="BT48" s="6"/>
    </row>
    <row r="49" spans="21:72" ht="28.5" customHeight="1">
      <c r="U49" s="6"/>
      <c r="V49" s="6"/>
      <c r="W49" s="6"/>
      <c r="X49" s="6"/>
      <c r="Y49" s="38"/>
      <c r="Z49" s="6"/>
      <c r="AA49" s="6"/>
      <c r="AB49" s="6"/>
      <c r="AC49" s="6"/>
      <c r="AD49" s="38"/>
      <c r="AE49" s="6"/>
      <c r="AF49" s="6"/>
      <c r="AG49" s="6"/>
      <c r="AH49" s="6"/>
      <c r="AI49" s="38"/>
      <c r="AJ49" s="6"/>
      <c r="AK49" s="98"/>
      <c r="AL49" s="5"/>
      <c r="AM49" s="6"/>
      <c r="AN49" s="6"/>
      <c r="AO49" s="38"/>
      <c r="AP49" s="6"/>
      <c r="AQ49" s="6"/>
      <c r="AR49" s="6"/>
      <c r="AS49" s="6"/>
      <c r="AT49" s="38"/>
      <c r="AU49" s="6"/>
      <c r="AV49" s="6"/>
      <c r="AW49" s="6"/>
      <c r="AX49" s="6"/>
      <c r="AY49" s="38"/>
      <c r="AZ49" s="6"/>
      <c r="BA49" s="6"/>
      <c r="BB49" s="6"/>
      <c r="BC49" s="6"/>
      <c r="BD49" s="38"/>
      <c r="BE49" s="6"/>
      <c r="BF49" s="705"/>
      <c r="BG49" s="6"/>
      <c r="BH49" s="6"/>
      <c r="BI49" s="38"/>
      <c r="BJ49" s="6"/>
      <c r="BK49" s="700"/>
      <c r="BL49" s="6"/>
      <c r="BM49" s="6"/>
      <c r="BN49" s="38"/>
      <c r="BO49" s="6"/>
      <c r="BP49" s="700"/>
      <c r="BQ49" s="6"/>
      <c r="BR49" s="6"/>
      <c r="BS49" s="38"/>
      <c r="BT49" s="6"/>
    </row>
    <row r="50" spans="21:72" ht="28.5" customHeight="1">
      <c r="U50" s="6"/>
      <c r="V50" s="6"/>
      <c r="W50" s="6"/>
      <c r="X50" s="6"/>
      <c r="Y50" s="38"/>
      <c r="Z50" s="6"/>
      <c r="AA50" s="6"/>
      <c r="AB50" s="6"/>
      <c r="AC50" s="6"/>
      <c r="AD50" s="38"/>
      <c r="AE50" s="6"/>
      <c r="AF50" s="6"/>
      <c r="AG50" s="6"/>
      <c r="AH50" s="6"/>
      <c r="AI50" s="38"/>
      <c r="AJ50" s="6"/>
      <c r="AK50" s="98"/>
      <c r="AL50" s="5"/>
      <c r="AM50" s="6"/>
      <c r="AN50" s="6"/>
      <c r="AO50" s="38"/>
      <c r="AP50" s="6"/>
      <c r="AQ50" s="6"/>
      <c r="AR50" s="6"/>
      <c r="AS50" s="6"/>
      <c r="AT50" s="38"/>
      <c r="AU50" s="6"/>
      <c r="AV50" s="6"/>
      <c r="AW50" s="6"/>
      <c r="AX50" s="6"/>
      <c r="AY50" s="38"/>
      <c r="AZ50" s="6"/>
      <c r="BA50" s="6"/>
      <c r="BB50" s="6"/>
      <c r="BC50" s="6"/>
      <c r="BD50" s="38"/>
      <c r="BE50" s="6"/>
      <c r="BF50" s="705"/>
      <c r="BG50" s="6"/>
      <c r="BH50" s="6"/>
      <c r="BI50" s="38"/>
      <c r="BJ50" s="6"/>
      <c r="BK50" s="700"/>
      <c r="BL50" s="6"/>
      <c r="BM50" s="6"/>
      <c r="BN50" s="38"/>
      <c r="BO50" s="6"/>
      <c r="BP50" s="700"/>
      <c r="BQ50" s="6"/>
      <c r="BR50" s="6"/>
      <c r="BS50" s="38"/>
      <c r="BT50" s="6"/>
    </row>
    <row r="51" spans="21:72" ht="28.5" customHeight="1">
      <c r="U51" s="6"/>
      <c r="V51" s="6"/>
      <c r="W51" s="6"/>
      <c r="X51" s="6"/>
      <c r="Y51" s="38"/>
      <c r="Z51" s="6"/>
      <c r="AA51" s="6"/>
      <c r="AB51" s="6"/>
      <c r="AC51" s="6"/>
      <c r="AD51" s="38"/>
      <c r="AE51" s="6"/>
      <c r="AF51" s="6"/>
      <c r="AG51" s="6"/>
      <c r="AH51" s="6"/>
      <c r="AI51" s="38"/>
      <c r="AJ51" s="6"/>
      <c r="AK51" s="98"/>
      <c r="AL51" s="5"/>
      <c r="AM51" s="6"/>
      <c r="AN51" s="6"/>
      <c r="AO51" s="38"/>
      <c r="AP51" s="6"/>
      <c r="AQ51" s="6"/>
      <c r="AR51" s="6"/>
      <c r="AS51" s="6"/>
      <c r="AT51" s="38"/>
      <c r="AU51" s="6"/>
      <c r="AV51" s="6"/>
      <c r="AW51" s="6"/>
      <c r="AX51" s="6"/>
      <c r="AY51" s="38"/>
      <c r="AZ51" s="6"/>
      <c r="BA51" s="6"/>
      <c r="BB51" s="6"/>
      <c r="BC51" s="6"/>
      <c r="BD51" s="38"/>
      <c r="BE51" s="6"/>
      <c r="BF51" s="705"/>
      <c r="BG51" s="6"/>
      <c r="BH51" s="6"/>
      <c r="BI51" s="38"/>
      <c r="BJ51" s="6"/>
      <c r="BK51" s="700"/>
      <c r="BL51" s="6"/>
      <c r="BM51" s="6"/>
      <c r="BN51" s="38"/>
      <c r="BO51" s="6"/>
      <c r="BP51" s="700"/>
      <c r="BQ51" s="6"/>
      <c r="BR51" s="6"/>
      <c r="BS51" s="38"/>
      <c r="BT51" s="6"/>
    </row>
    <row r="52" spans="21:72" ht="28.5" customHeight="1">
      <c r="U52" s="6"/>
      <c r="V52" s="6"/>
      <c r="W52" s="6"/>
      <c r="X52" s="6"/>
      <c r="Y52" s="38"/>
      <c r="Z52" s="6"/>
      <c r="AA52" s="6"/>
      <c r="AB52" s="6"/>
      <c r="AC52" s="6"/>
      <c r="AD52" s="38"/>
      <c r="AE52" s="6"/>
      <c r="AF52" s="6"/>
      <c r="AG52" s="6"/>
      <c r="AH52" s="6"/>
      <c r="AI52" s="38"/>
      <c r="AJ52" s="6"/>
      <c r="AK52" s="98"/>
      <c r="AL52" s="5"/>
      <c r="AM52" s="6"/>
      <c r="AN52" s="6"/>
      <c r="AO52" s="38"/>
      <c r="AP52" s="6"/>
      <c r="AQ52" s="6"/>
      <c r="AR52" s="6"/>
      <c r="AS52" s="6"/>
      <c r="AT52" s="38"/>
      <c r="AU52" s="6"/>
      <c r="AV52" s="6"/>
      <c r="AW52" s="6"/>
      <c r="AX52" s="6"/>
      <c r="AY52" s="38"/>
      <c r="AZ52" s="6"/>
      <c r="BA52" s="6"/>
      <c r="BB52" s="6"/>
      <c r="BC52" s="6"/>
      <c r="BD52" s="38"/>
      <c r="BE52" s="6"/>
      <c r="BF52" s="705"/>
      <c r="BG52" s="6"/>
      <c r="BH52" s="6"/>
      <c r="BI52" s="38"/>
      <c r="BJ52" s="6"/>
      <c r="BK52" s="700"/>
      <c r="BL52" s="6"/>
      <c r="BM52" s="6"/>
      <c r="BN52" s="38"/>
      <c r="BO52" s="6"/>
      <c r="BP52" s="700"/>
      <c r="BQ52" s="6"/>
      <c r="BR52" s="6"/>
      <c r="BS52" s="38"/>
      <c r="BT52" s="6"/>
    </row>
    <row r="53" spans="21:72" ht="28.5" customHeight="1">
      <c r="U53" s="6"/>
      <c r="V53" s="6"/>
      <c r="W53" s="6"/>
      <c r="X53" s="6"/>
      <c r="Y53" s="38"/>
      <c r="Z53" s="6"/>
      <c r="AA53" s="6"/>
      <c r="AB53" s="6"/>
      <c r="AC53" s="6"/>
      <c r="AD53" s="38"/>
      <c r="AE53" s="6"/>
      <c r="AF53" s="6"/>
      <c r="AG53" s="6"/>
      <c r="AH53" s="6"/>
      <c r="AI53" s="38"/>
      <c r="AJ53" s="6"/>
      <c r="AK53" s="98"/>
      <c r="AL53" s="5"/>
      <c r="AM53" s="6"/>
      <c r="AN53" s="6"/>
      <c r="AO53" s="38"/>
      <c r="AP53" s="6"/>
      <c r="AQ53" s="6"/>
      <c r="AR53" s="6"/>
      <c r="AS53" s="6"/>
      <c r="AT53" s="38"/>
      <c r="AU53" s="6"/>
      <c r="AV53" s="6"/>
      <c r="AW53" s="6"/>
      <c r="AX53" s="6"/>
      <c r="AY53" s="38"/>
      <c r="AZ53" s="6"/>
      <c r="BA53" s="6"/>
      <c r="BB53" s="6"/>
      <c r="BC53" s="6"/>
      <c r="BD53" s="38"/>
      <c r="BE53" s="6"/>
      <c r="BF53" s="705"/>
      <c r="BG53" s="6"/>
      <c r="BH53" s="6"/>
      <c r="BI53" s="38"/>
      <c r="BJ53" s="6"/>
      <c r="BK53" s="700"/>
      <c r="BL53" s="6"/>
      <c r="BM53" s="6"/>
      <c r="BN53" s="38"/>
      <c r="BO53" s="6"/>
      <c r="BP53" s="700"/>
      <c r="BQ53" s="6"/>
      <c r="BR53" s="6"/>
      <c r="BS53" s="38"/>
      <c r="BT53" s="6"/>
    </row>
    <row r="54" spans="21:72" ht="28.5" customHeight="1">
      <c r="U54" s="6"/>
      <c r="V54" s="6"/>
      <c r="W54" s="6"/>
      <c r="X54" s="6"/>
      <c r="Y54" s="38"/>
      <c r="Z54" s="6"/>
      <c r="AA54" s="6"/>
      <c r="AB54" s="6"/>
      <c r="AC54" s="6"/>
      <c r="AD54" s="38"/>
      <c r="AE54" s="6"/>
      <c r="AF54" s="6"/>
      <c r="AG54" s="6"/>
      <c r="AH54" s="6"/>
      <c r="AI54" s="38"/>
      <c r="AJ54" s="6"/>
      <c r="AK54" s="98"/>
      <c r="AL54" s="5"/>
      <c r="AM54" s="6"/>
      <c r="AN54" s="6"/>
      <c r="AO54" s="38"/>
      <c r="AP54" s="6"/>
      <c r="AQ54" s="6"/>
      <c r="AR54" s="6"/>
      <c r="AS54" s="6"/>
      <c r="AT54" s="38"/>
      <c r="AU54" s="6"/>
      <c r="AV54" s="6"/>
      <c r="AW54" s="6"/>
      <c r="AX54" s="6"/>
      <c r="AY54" s="38"/>
      <c r="AZ54" s="6"/>
      <c r="BA54" s="6"/>
      <c r="BB54" s="6"/>
      <c r="BC54" s="6"/>
      <c r="BD54" s="38"/>
      <c r="BE54" s="6"/>
      <c r="BF54" s="705"/>
      <c r="BG54" s="6"/>
      <c r="BH54" s="6"/>
      <c r="BI54" s="38"/>
      <c r="BJ54" s="6"/>
      <c r="BK54" s="700"/>
      <c r="BL54" s="6"/>
      <c r="BM54" s="6"/>
      <c r="BN54" s="38"/>
      <c r="BO54" s="6"/>
      <c r="BP54" s="700"/>
      <c r="BQ54" s="6"/>
      <c r="BR54" s="6"/>
      <c r="BS54" s="38"/>
      <c r="BT54" s="6"/>
    </row>
    <row r="55" spans="21:72" ht="28.5" customHeight="1">
      <c r="AL55" s="5"/>
    </row>
    <row r="56" spans="21:72" ht="28.5" customHeight="1">
      <c r="AL56" s="5"/>
    </row>
    <row r="57" spans="21:72" ht="28.5" customHeight="1">
      <c r="AL57" s="5"/>
    </row>
    <row r="58" spans="21:72" ht="28.5" customHeight="1">
      <c r="AL58" s="5"/>
    </row>
  </sheetData>
  <customSheetViews>
    <customSheetView guid="{ED9E521F-BC9B-4E88-8A9F-5288A046401B}" scale="115" showPageBreaks="1" showGridLines="0" fitToPage="1" printArea="1" topLeftCell="A22">
      <selection activeCell="J37" sqref="J37"/>
      <pageMargins left="0" right="0" top="0" bottom="0" header="0" footer="0"/>
      <pageSetup paperSize="9" scale="47" orientation="landscape" r:id="rId1"/>
    </customSheetView>
    <customSheetView guid="{634BFE77-A2AA-4FA6-8ED5-F02244B9F10C}" showPageBreaks="1" showGridLines="0" fitToPage="1" printArea="1" hiddenColumns="1">
      <pane xSplit="31" ySplit="4" topLeftCell="BA5" activePane="bottomRight" state="frozen"/>
      <selection pane="bottomRight" activeCell="BH6" sqref="BH6:BH9"/>
      <pageMargins left="0" right="0" top="0" bottom="0" header="0" footer="0"/>
      <pageSetup paperSize="9" scale="50" orientation="landscape"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31" ySplit="4" topLeftCell="BG24" activePane="bottomRight" state="frozen"/>
      <selection pane="bottomRight" activeCell="BG27" sqref="BG27:BH27"/>
      <pageMargins left="0" right="0" top="0" bottom="0" header="0" footer="0"/>
      <pageSetup paperSize="9" scale="49" orientation="landscape" r:id="rId3"/>
    </customSheetView>
    <customSheetView guid="{B87BD74C-18F3-4393-BF03-31B25889E08F}" scale="85" showGridLines="0" fitToPage="1" hiddenColumns="1">
      <pane xSplit="31" ySplit="4" topLeftCell="BD11" activePane="bottomRight" state="frozen"/>
      <selection pane="bottomRight" activeCell="BG29" sqref="BG29"/>
      <pageMargins left="0" right="0" top="0" bottom="0" header="0" footer="0"/>
      <pageSetup paperSize="9" scale="50" orientation="landscape" r:id="rId4"/>
    </customSheetView>
  </customSheetViews>
  <mergeCells count="2909">
    <mergeCell ref="XAZ41:XBP41"/>
    <mergeCell ref="XBQ41:XCG41"/>
    <mergeCell ref="XCH41:XCX41"/>
    <mergeCell ref="XCY41:XDO41"/>
    <mergeCell ref="XDP41:XEB41"/>
    <mergeCell ref="WXS41:WYI41"/>
    <mergeCell ref="WYJ41:WYZ41"/>
    <mergeCell ref="WZA41:WZQ41"/>
    <mergeCell ref="WZR41:XAH41"/>
    <mergeCell ref="XAI41:XAY41"/>
    <mergeCell ref="WUL41:WVB41"/>
    <mergeCell ref="WVC41:WVS41"/>
    <mergeCell ref="WVT41:WWJ41"/>
    <mergeCell ref="WWK41:WXA41"/>
    <mergeCell ref="WXB41:WXR41"/>
    <mergeCell ref="WRE41:WRU41"/>
    <mergeCell ref="WRV41:WSL41"/>
    <mergeCell ref="WSM41:WTC41"/>
    <mergeCell ref="WTD41:WTT41"/>
    <mergeCell ref="WTU41:WUK41"/>
    <mergeCell ref="WNX41:WON41"/>
    <mergeCell ref="WOO41:WPE41"/>
    <mergeCell ref="WPF41:WPV41"/>
    <mergeCell ref="WPW41:WQM41"/>
    <mergeCell ref="WQN41:WRD41"/>
    <mergeCell ref="WKQ41:WLG41"/>
    <mergeCell ref="WLH41:WLX41"/>
    <mergeCell ref="WLY41:WMO41"/>
    <mergeCell ref="WMP41:WNF41"/>
    <mergeCell ref="WNG41:WNW41"/>
    <mergeCell ref="WHJ41:WHZ41"/>
    <mergeCell ref="WIA41:WIQ41"/>
    <mergeCell ref="WIR41:WJH41"/>
    <mergeCell ref="WJI41:WJY41"/>
    <mergeCell ref="WJZ41:WKP41"/>
    <mergeCell ref="WEC41:WES41"/>
    <mergeCell ref="WET41:WFJ41"/>
    <mergeCell ref="WFK41:WGA41"/>
    <mergeCell ref="WGB41:WGR41"/>
    <mergeCell ref="WGS41:WHI41"/>
    <mergeCell ref="WAV41:WBL41"/>
    <mergeCell ref="WBM41:WCC41"/>
    <mergeCell ref="WCD41:WCT41"/>
    <mergeCell ref="WCU41:WDK41"/>
    <mergeCell ref="WDL41:WEB41"/>
    <mergeCell ref="VXO41:VYE41"/>
    <mergeCell ref="VYF41:VYV41"/>
    <mergeCell ref="VYW41:VZM41"/>
    <mergeCell ref="VZN41:WAD41"/>
    <mergeCell ref="WAE41:WAU41"/>
    <mergeCell ref="VUH41:VUX41"/>
    <mergeCell ref="VUY41:VVO41"/>
    <mergeCell ref="VVP41:VWF41"/>
    <mergeCell ref="VWG41:VWW41"/>
    <mergeCell ref="VWX41:VXN41"/>
    <mergeCell ref="VRA41:VRQ41"/>
    <mergeCell ref="VRR41:VSH41"/>
    <mergeCell ref="VSI41:VSY41"/>
    <mergeCell ref="VSZ41:VTP41"/>
    <mergeCell ref="VTQ41:VUG41"/>
    <mergeCell ref="VNT41:VOJ41"/>
    <mergeCell ref="VOK41:VPA41"/>
    <mergeCell ref="VPB41:VPR41"/>
    <mergeCell ref="VPS41:VQI41"/>
    <mergeCell ref="VQJ41:VQZ41"/>
    <mergeCell ref="VKM41:VLC41"/>
    <mergeCell ref="VLD41:VLT41"/>
    <mergeCell ref="VLU41:VMK41"/>
    <mergeCell ref="VML41:VNB41"/>
    <mergeCell ref="VNC41:VNS41"/>
    <mergeCell ref="VHF41:VHV41"/>
    <mergeCell ref="VHW41:VIM41"/>
    <mergeCell ref="VIN41:VJD41"/>
    <mergeCell ref="VJE41:VJU41"/>
    <mergeCell ref="VJV41:VKL41"/>
    <mergeCell ref="VDY41:VEO41"/>
    <mergeCell ref="VEP41:VFF41"/>
    <mergeCell ref="VFG41:VFW41"/>
    <mergeCell ref="VFX41:VGN41"/>
    <mergeCell ref="VGO41:VHE41"/>
    <mergeCell ref="VAR41:VBH41"/>
    <mergeCell ref="VBI41:VBY41"/>
    <mergeCell ref="VBZ41:VCP41"/>
    <mergeCell ref="VCQ41:VDG41"/>
    <mergeCell ref="VDH41:VDX41"/>
    <mergeCell ref="UXK41:UYA41"/>
    <mergeCell ref="UYB41:UYR41"/>
    <mergeCell ref="UYS41:UZI41"/>
    <mergeCell ref="UZJ41:UZZ41"/>
    <mergeCell ref="VAA41:VAQ41"/>
    <mergeCell ref="UUD41:UUT41"/>
    <mergeCell ref="UUU41:UVK41"/>
    <mergeCell ref="UVL41:UWB41"/>
    <mergeCell ref="UWC41:UWS41"/>
    <mergeCell ref="UWT41:UXJ41"/>
    <mergeCell ref="UQW41:URM41"/>
    <mergeCell ref="URN41:USD41"/>
    <mergeCell ref="USE41:USU41"/>
    <mergeCell ref="USV41:UTL41"/>
    <mergeCell ref="UTM41:UUC41"/>
    <mergeCell ref="UNP41:UOF41"/>
    <mergeCell ref="UOG41:UOW41"/>
    <mergeCell ref="UOX41:UPN41"/>
    <mergeCell ref="UPO41:UQE41"/>
    <mergeCell ref="UQF41:UQV41"/>
    <mergeCell ref="UKI41:UKY41"/>
    <mergeCell ref="UKZ41:ULP41"/>
    <mergeCell ref="ULQ41:UMG41"/>
    <mergeCell ref="UMH41:UMX41"/>
    <mergeCell ref="UMY41:UNO41"/>
    <mergeCell ref="UHB41:UHR41"/>
    <mergeCell ref="UHS41:UII41"/>
    <mergeCell ref="UIJ41:UIZ41"/>
    <mergeCell ref="UJA41:UJQ41"/>
    <mergeCell ref="UJR41:UKH41"/>
    <mergeCell ref="UDU41:UEK41"/>
    <mergeCell ref="UEL41:UFB41"/>
    <mergeCell ref="UFC41:UFS41"/>
    <mergeCell ref="UFT41:UGJ41"/>
    <mergeCell ref="UGK41:UHA41"/>
    <mergeCell ref="UAN41:UBD41"/>
    <mergeCell ref="UBE41:UBU41"/>
    <mergeCell ref="UBV41:UCL41"/>
    <mergeCell ref="UCM41:UDC41"/>
    <mergeCell ref="UDD41:UDT41"/>
    <mergeCell ref="TXG41:TXW41"/>
    <mergeCell ref="TXX41:TYN41"/>
    <mergeCell ref="TYO41:TZE41"/>
    <mergeCell ref="TZF41:TZV41"/>
    <mergeCell ref="TZW41:UAM41"/>
    <mergeCell ref="TTZ41:TUP41"/>
    <mergeCell ref="TUQ41:TVG41"/>
    <mergeCell ref="TVH41:TVX41"/>
    <mergeCell ref="TVY41:TWO41"/>
    <mergeCell ref="TWP41:TXF41"/>
    <mergeCell ref="TQS41:TRI41"/>
    <mergeCell ref="TRJ41:TRZ41"/>
    <mergeCell ref="TSA41:TSQ41"/>
    <mergeCell ref="TSR41:TTH41"/>
    <mergeCell ref="TTI41:TTY41"/>
    <mergeCell ref="TNL41:TOB41"/>
    <mergeCell ref="TOC41:TOS41"/>
    <mergeCell ref="TOT41:TPJ41"/>
    <mergeCell ref="TPK41:TQA41"/>
    <mergeCell ref="TQB41:TQR41"/>
    <mergeCell ref="TKE41:TKU41"/>
    <mergeCell ref="TKV41:TLL41"/>
    <mergeCell ref="TLM41:TMC41"/>
    <mergeCell ref="TMD41:TMT41"/>
    <mergeCell ref="TMU41:TNK41"/>
    <mergeCell ref="TGX41:THN41"/>
    <mergeCell ref="THO41:TIE41"/>
    <mergeCell ref="TIF41:TIV41"/>
    <mergeCell ref="TIW41:TJM41"/>
    <mergeCell ref="TJN41:TKD41"/>
    <mergeCell ref="TDQ41:TEG41"/>
    <mergeCell ref="TEH41:TEX41"/>
    <mergeCell ref="TEY41:TFO41"/>
    <mergeCell ref="TFP41:TGF41"/>
    <mergeCell ref="TGG41:TGW41"/>
    <mergeCell ref="TAJ41:TAZ41"/>
    <mergeCell ref="TBA41:TBQ41"/>
    <mergeCell ref="TBR41:TCH41"/>
    <mergeCell ref="TCI41:TCY41"/>
    <mergeCell ref="TCZ41:TDP41"/>
    <mergeCell ref="SXC41:SXS41"/>
    <mergeCell ref="SXT41:SYJ41"/>
    <mergeCell ref="SYK41:SZA41"/>
    <mergeCell ref="SZB41:SZR41"/>
    <mergeCell ref="SZS41:TAI41"/>
    <mergeCell ref="STV41:SUL41"/>
    <mergeCell ref="SUM41:SVC41"/>
    <mergeCell ref="SVD41:SVT41"/>
    <mergeCell ref="SVU41:SWK41"/>
    <mergeCell ref="SWL41:SXB41"/>
    <mergeCell ref="SQO41:SRE41"/>
    <mergeCell ref="SRF41:SRV41"/>
    <mergeCell ref="SRW41:SSM41"/>
    <mergeCell ref="SSN41:STD41"/>
    <mergeCell ref="STE41:STU41"/>
    <mergeCell ref="SNH41:SNX41"/>
    <mergeCell ref="SNY41:SOO41"/>
    <mergeCell ref="SOP41:SPF41"/>
    <mergeCell ref="SPG41:SPW41"/>
    <mergeCell ref="SPX41:SQN41"/>
    <mergeCell ref="SKA41:SKQ41"/>
    <mergeCell ref="SKR41:SLH41"/>
    <mergeCell ref="SLI41:SLY41"/>
    <mergeCell ref="SLZ41:SMP41"/>
    <mergeCell ref="SMQ41:SNG41"/>
    <mergeCell ref="SGT41:SHJ41"/>
    <mergeCell ref="SHK41:SIA41"/>
    <mergeCell ref="SIB41:SIR41"/>
    <mergeCell ref="SIS41:SJI41"/>
    <mergeCell ref="SJJ41:SJZ41"/>
    <mergeCell ref="SDM41:SEC41"/>
    <mergeCell ref="SED41:SET41"/>
    <mergeCell ref="SEU41:SFK41"/>
    <mergeCell ref="SFL41:SGB41"/>
    <mergeCell ref="SGC41:SGS41"/>
    <mergeCell ref="SAF41:SAV41"/>
    <mergeCell ref="SAW41:SBM41"/>
    <mergeCell ref="SBN41:SCD41"/>
    <mergeCell ref="SCE41:SCU41"/>
    <mergeCell ref="SCV41:SDL41"/>
    <mergeCell ref="RWY41:RXO41"/>
    <mergeCell ref="RXP41:RYF41"/>
    <mergeCell ref="RYG41:RYW41"/>
    <mergeCell ref="RYX41:RZN41"/>
    <mergeCell ref="RZO41:SAE41"/>
    <mergeCell ref="RTR41:RUH41"/>
    <mergeCell ref="RUI41:RUY41"/>
    <mergeCell ref="RUZ41:RVP41"/>
    <mergeCell ref="RVQ41:RWG41"/>
    <mergeCell ref="RWH41:RWX41"/>
    <mergeCell ref="RQK41:RRA41"/>
    <mergeCell ref="RRB41:RRR41"/>
    <mergeCell ref="RRS41:RSI41"/>
    <mergeCell ref="RSJ41:RSZ41"/>
    <mergeCell ref="RTA41:RTQ41"/>
    <mergeCell ref="RND41:RNT41"/>
    <mergeCell ref="RNU41:ROK41"/>
    <mergeCell ref="ROL41:RPB41"/>
    <mergeCell ref="RPC41:RPS41"/>
    <mergeCell ref="RPT41:RQJ41"/>
    <mergeCell ref="RJW41:RKM41"/>
    <mergeCell ref="RKN41:RLD41"/>
    <mergeCell ref="RLE41:RLU41"/>
    <mergeCell ref="RLV41:RML41"/>
    <mergeCell ref="RMM41:RNC41"/>
    <mergeCell ref="RGP41:RHF41"/>
    <mergeCell ref="RHG41:RHW41"/>
    <mergeCell ref="RHX41:RIN41"/>
    <mergeCell ref="RIO41:RJE41"/>
    <mergeCell ref="RJF41:RJV41"/>
    <mergeCell ref="RDI41:RDY41"/>
    <mergeCell ref="RDZ41:REP41"/>
    <mergeCell ref="REQ41:RFG41"/>
    <mergeCell ref="RFH41:RFX41"/>
    <mergeCell ref="RFY41:RGO41"/>
    <mergeCell ref="RAB41:RAR41"/>
    <mergeCell ref="RAS41:RBI41"/>
    <mergeCell ref="RBJ41:RBZ41"/>
    <mergeCell ref="RCA41:RCQ41"/>
    <mergeCell ref="RCR41:RDH41"/>
    <mergeCell ref="QWU41:QXK41"/>
    <mergeCell ref="QXL41:QYB41"/>
    <mergeCell ref="QYC41:QYS41"/>
    <mergeCell ref="QYT41:QZJ41"/>
    <mergeCell ref="QZK41:RAA41"/>
    <mergeCell ref="QTN41:QUD41"/>
    <mergeCell ref="QUE41:QUU41"/>
    <mergeCell ref="QUV41:QVL41"/>
    <mergeCell ref="QVM41:QWC41"/>
    <mergeCell ref="QWD41:QWT41"/>
    <mergeCell ref="QQG41:QQW41"/>
    <mergeCell ref="QQX41:QRN41"/>
    <mergeCell ref="QRO41:QSE41"/>
    <mergeCell ref="QSF41:QSV41"/>
    <mergeCell ref="QSW41:QTM41"/>
    <mergeCell ref="QMZ41:QNP41"/>
    <mergeCell ref="QNQ41:QOG41"/>
    <mergeCell ref="QOH41:QOX41"/>
    <mergeCell ref="QOY41:QPO41"/>
    <mergeCell ref="QPP41:QQF41"/>
    <mergeCell ref="QJS41:QKI41"/>
    <mergeCell ref="QKJ41:QKZ41"/>
    <mergeCell ref="QLA41:QLQ41"/>
    <mergeCell ref="QLR41:QMH41"/>
    <mergeCell ref="QMI41:QMY41"/>
    <mergeCell ref="QGL41:QHB41"/>
    <mergeCell ref="QHC41:QHS41"/>
    <mergeCell ref="QHT41:QIJ41"/>
    <mergeCell ref="QIK41:QJA41"/>
    <mergeCell ref="QJB41:QJR41"/>
    <mergeCell ref="QDE41:QDU41"/>
    <mergeCell ref="QDV41:QEL41"/>
    <mergeCell ref="QEM41:QFC41"/>
    <mergeCell ref="QFD41:QFT41"/>
    <mergeCell ref="QFU41:QGK41"/>
    <mergeCell ref="PZX41:QAN41"/>
    <mergeCell ref="QAO41:QBE41"/>
    <mergeCell ref="QBF41:QBV41"/>
    <mergeCell ref="QBW41:QCM41"/>
    <mergeCell ref="QCN41:QDD41"/>
    <mergeCell ref="PWQ41:PXG41"/>
    <mergeCell ref="PXH41:PXX41"/>
    <mergeCell ref="PXY41:PYO41"/>
    <mergeCell ref="PYP41:PZF41"/>
    <mergeCell ref="PZG41:PZW41"/>
    <mergeCell ref="PTJ41:PTZ41"/>
    <mergeCell ref="PUA41:PUQ41"/>
    <mergeCell ref="PUR41:PVH41"/>
    <mergeCell ref="PVI41:PVY41"/>
    <mergeCell ref="PVZ41:PWP41"/>
    <mergeCell ref="PQC41:PQS41"/>
    <mergeCell ref="PQT41:PRJ41"/>
    <mergeCell ref="PRK41:PSA41"/>
    <mergeCell ref="PSB41:PSR41"/>
    <mergeCell ref="PSS41:PTI41"/>
    <mergeCell ref="PMV41:PNL41"/>
    <mergeCell ref="PNM41:POC41"/>
    <mergeCell ref="POD41:POT41"/>
    <mergeCell ref="POU41:PPK41"/>
    <mergeCell ref="PPL41:PQB41"/>
    <mergeCell ref="PJO41:PKE41"/>
    <mergeCell ref="PKF41:PKV41"/>
    <mergeCell ref="PKW41:PLM41"/>
    <mergeCell ref="PLN41:PMD41"/>
    <mergeCell ref="PME41:PMU41"/>
    <mergeCell ref="PGH41:PGX41"/>
    <mergeCell ref="PGY41:PHO41"/>
    <mergeCell ref="PHP41:PIF41"/>
    <mergeCell ref="PIG41:PIW41"/>
    <mergeCell ref="PIX41:PJN41"/>
    <mergeCell ref="PDA41:PDQ41"/>
    <mergeCell ref="PDR41:PEH41"/>
    <mergeCell ref="PEI41:PEY41"/>
    <mergeCell ref="PEZ41:PFP41"/>
    <mergeCell ref="PFQ41:PGG41"/>
    <mergeCell ref="OZT41:PAJ41"/>
    <mergeCell ref="PAK41:PBA41"/>
    <mergeCell ref="PBB41:PBR41"/>
    <mergeCell ref="PBS41:PCI41"/>
    <mergeCell ref="PCJ41:PCZ41"/>
    <mergeCell ref="OWM41:OXC41"/>
    <mergeCell ref="OXD41:OXT41"/>
    <mergeCell ref="OXU41:OYK41"/>
    <mergeCell ref="OYL41:OZB41"/>
    <mergeCell ref="OZC41:OZS41"/>
    <mergeCell ref="OTF41:OTV41"/>
    <mergeCell ref="OTW41:OUM41"/>
    <mergeCell ref="OUN41:OVD41"/>
    <mergeCell ref="OVE41:OVU41"/>
    <mergeCell ref="OVV41:OWL41"/>
    <mergeCell ref="OPY41:OQO41"/>
    <mergeCell ref="OQP41:ORF41"/>
    <mergeCell ref="ORG41:ORW41"/>
    <mergeCell ref="ORX41:OSN41"/>
    <mergeCell ref="OSO41:OTE41"/>
    <mergeCell ref="OMR41:ONH41"/>
    <mergeCell ref="ONI41:ONY41"/>
    <mergeCell ref="ONZ41:OOP41"/>
    <mergeCell ref="OOQ41:OPG41"/>
    <mergeCell ref="OPH41:OPX41"/>
    <mergeCell ref="OJK41:OKA41"/>
    <mergeCell ref="OKB41:OKR41"/>
    <mergeCell ref="OKS41:OLI41"/>
    <mergeCell ref="OLJ41:OLZ41"/>
    <mergeCell ref="OMA41:OMQ41"/>
    <mergeCell ref="OGD41:OGT41"/>
    <mergeCell ref="OGU41:OHK41"/>
    <mergeCell ref="OHL41:OIB41"/>
    <mergeCell ref="OIC41:OIS41"/>
    <mergeCell ref="OIT41:OJJ41"/>
    <mergeCell ref="OCW41:ODM41"/>
    <mergeCell ref="ODN41:OED41"/>
    <mergeCell ref="OEE41:OEU41"/>
    <mergeCell ref="OEV41:OFL41"/>
    <mergeCell ref="OFM41:OGC41"/>
    <mergeCell ref="NZP41:OAF41"/>
    <mergeCell ref="OAG41:OAW41"/>
    <mergeCell ref="OAX41:OBN41"/>
    <mergeCell ref="OBO41:OCE41"/>
    <mergeCell ref="OCF41:OCV41"/>
    <mergeCell ref="NWI41:NWY41"/>
    <mergeCell ref="NWZ41:NXP41"/>
    <mergeCell ref="NXQ41:NYG41"/>
    <mergeCell ref="NYH41:NYX41"/>
    <mergeCell ref="NYY41:NZO41"/>
    <mergeCell ref="NTB41:NTR41"/>
    <mergeCell ref="NTS41:NUI41"/>
    <mergeCell ref="NUJ41:NUZ41"/>
    <mergeCell ref="NVA41:NVQ41"/>
    <mergeCell ref="NVR41:NWH41"/>
    <mergeCell ref="NPU41:NQK41"/>
    <mergeCell ref="NQL41:NRB41"/>
    <mergeCell ref="NRC41:NRS41"/>
    <mergeCell ref="NRT41:NSJ41"/>
    <mergeCell ref="NSK41:NTA41"/>
    <mergeCell ref="NMN41:NND41"/>
    <mergeCell ref="NNE41:NNU41"/>
    <mergeCell ref="NNV41:NOL41"/>
    <mergeCell ref="NOM41:NPC41"/>
    <mergeCell ref="NPD41:NPT41"/>
    <mergeCell ref="NJG41:NJW41"/>
    <mergeCell ref="NJX41:NKN41"/>
    <mergeCell ref="NKO41:NLE41"/>
    <mergeCell ref="NLF41:NLV41"/>
    <mergeCell ref="NLW41:NMM41"/>
    <mergeCell ref="NFZ41:NGP41"/>
    <mergeCell ref="NGQ41:NHG41"/>
    <mergeCell ref="NHH41:NHX41"/>
    <mergeCell ref="NHY41:NIO41"/>
    <mergeCell ref="NIP41:NJF41"/>
    <mergeCell ref="NCS41:NDI41"/>
    <mergeCell ref="NDJ41:NDZ41"/>
    <mergeCell ref="NEA41:NEQ41"/>
    <mergeCell ref="NER41:NFH41"/>
    <mergeCell ref="NFI41:NFY41"/>
    <mergeCell ref="MZL41:NAB41"/>
    <mergeCell ref="NAC41:NAS41"/>
    <mergeCell ref="NAT41:NBJ41"/>
    <mergeCell ref="NBK41:NCA41"/>
    <mergeCell ref="NCB41:NCR41"/>
    <mergeCell ref="MWE41:MWU41"/>
    <mergeCell ref="MWV41:MXL41"/>
    <mergeCell ref="MXM41:MYC41"/>
    <mergeCell ref="MYD41:MYT41"/>
    <mergeCell ref="MYU41:MZK41"/>
    <mergeCell ref="MSX41:MTN41"/>
    <mergeCell ref="MTO41:MUE41"/>
    <mergeCell ref="MUF41:MUV41"/>
    <mergeCell ref="MUW41:MVM41"/>
    <mergeCell ref="MVN41:MWD41"/>
    <mergeCell ref="MPQ41:MQG41"/>
    <mergeCell ref="MQH41:MQX41"/>
    <mergeCell ref="MQY41:MRO41"/>
    <mergeCell ref="MRP41:MSF41"/>
    <mergeCell ref="MSG41:MSW41"/>
    <mergeCell ref="MMJ41:MMZ41"/>
    <mergeCell ref="MNA41:MNQ41"/>
    <mergeCell ref="MNR41:MOH41"/>
    <mergeCell ref="MOI41:MOY41"/>
    <mergeCell ref="MOZ41:MPP41"/>
    <mergeCell ref="MJC41:MJS41"/>
    <mergeCell ref="MJT41:MKJ41"/>
    <mergeCell ref="MKK41:MLA41"/>
    <mergeCell ref="MLB41:MLR41"/>
    <mergeCell ref="MLS41:MMI41"/>
    <mergeCell ref="MFV41:MGL41"/>
    <mergeCell ref="MGM41:MHC41"/>
    <mergeCell ref="MHD41:MHT41"/>
    <mergeCell ref="MHU41:MIK41"/>
    <mergeCell ref="MIL41:MJB41"/>
    <mergeCell ref="MCO41:MDE41"/>
    <mergeCell ref="MDF41:MDV41"/>
    <mergeCell ref="MDW41:MEM41"/>
    <mergeCell ref="MEN41:MFD41"/>
    <mergeCell ref="MFE41:MFU41"/>
    <mergeCell ref="LZH41:LZX41"/>
    <mergeCell ref="LZY41:MAO41"/>
    <mergeCell ref="MAP41:MBF41"/>
    <mergeCell ref="MBG41:MBW41"/>
    <mergeCell ref="MBX41:MCN41"/>
    <mergeCell ref="LWA41:LWQ41"/>
    <mergeCell ref="LWR41:LXH41"/>
    <mergeCell ref="LXI41:LXY41"/>
    <mergeCell ref="LXZ41:LYP41"/>
    <mergeCell ref="LYQ41:LZG41"/>
    <mergeCell ref="LST41:LTJ41"/>
    <mergeCell ref="LTK41:LUA41"/>
    <mergeCell ref="LUB41:LUR41"/>
    <mergeCell ref="LUS41:LVI41"/>
    <mergeCell ref="LVJ41:LVZ41"/>
    <mergeCell ref="LPM41:LQC41"/>
    <mergeCell ref="LQD41:LQT41"/>
    <mergeCell ref="LQU41:LRK41"/>
    <mergeCell ref="LRL41:LSB41"/>
    <mergeCell ref="LSC41:LSS41"/>
    <mergeCell ref="LMF41:LMV41"/>
    <mergeCell ref="LMW41:LNM41"/>
    <mergeCell ref="LNN41:LOD41"/>
    <mergeCell ref="LOE41:LOU41"/>
    <mergeCell ref="LOV41:LPL41"/>
    <mergeCell ref="LIY41:LJO41"/>
    <mergeCell ref="LJP41:LKF41"/>
    <mergeCell ref="LKG41:LKW41"/>
    <mergeCell ref="LKX41:LLN41"/>
    <mergeCell ref="LLO41:LME41"/>
    <mergeCell ref="LFR41:LGH41"/>
    <mergeCell ref="LGI41:LGY41"/>
    <mergeCell ref="LGZ41:LHP41"/>
    <mergeCell ref="LHQ41:LIG41"/>
    <mergeCell ref="LIH41:LIX41"/>
    <mergeCell ref="LCK41:LDA41"/>
    <mergeCell ref="LDB41:LDR41"/>
    <mergeCell ref="LDS41:LEI41"/>
    <mergeCell ref="LEJ41:LEZ41"/>
    <mergeCell ref="LFA41:LFQ41"/>
    <mergeCell ref="KZD41:KZT41"/>
    <mergeCell ref="KZU41:LAK41"/>
    <mergeCell ref="LAL41:LBB41"/>
    <mergeCell ref="LBC41:LBS41"/>
    <mergeCell ref="LBT41:LCJ41"/>
    <mergeCell ref="KVW41:KWM41"/>
    <mergeCell ref="KWN41:KXD41"/>
    <mergeCell ref="KXE41:KXU41"/>
    <mergeCell ref="KXV41:KYL41"/>
    <mergeCell ref="KYM41:KZC41"/>
    <mergeCell ref="KSP41:KTF41"/>
    <mergeCell ref="KTG41:KTW41"/>
    <mergeCell ref="KTX41:KUN41"/>
    <mergeCell ref="KUO41:KVE41"/>
    <mergeCell ref="KVF41:KVV41"/>
    <mergeCell ref="KPI41:KPY41"/>
    <mergeCell ref="KPZ41:KQP41"/>
    <mergeCell ref="KQQ41:KRG41"/>
    <mergeCell ref="KRH41:KRX41"/>
    <mergeCell ref="KRY41:KSO41"/>
    <mergeCell ref="KMB41:KMR41"/>
    <mergeCell ref="KMS41:KNI41"/>
    <mergeCell ref="KNJ41:KNZ41"/>
    <mergeCell ref="KOA41:KOQ41"/>
    <mergeCell ref="KOR41:KPH41"/>
    <mergeCell ref="KIU41:KJK41"/>
    <mergeCell ref="KJL41:KKB41"/>
    <mergeCell ref="KKC41:KKS41"/>
    <mergeCell ref="KKT41:KLJ41"/>
    <mergeCell ref="KLK41:KMA41"/>
    <mergeCell ref="KFN41:KGD41"/>
    <mergeCell ref="KGE41:KGU41"/>
    <mergeCell ref="KGV41:KHL41"/>
    <mergeCell ref="KHM41:KIC41"/>
    <mergeCell ref="KID41:KIT41"/>
    <mergeCell ref="KCG41:KCW41"/>
    <mergeCell ref="KCX41:KDN41"/>
    <mergeCell ref="KDO41:KEE41"/>
    <mergeCell ref="KEF41:KEV41"/>
    <mergeCell ref="KEW41:KFM41"/>
    <mergeCell ref="JYZ41:JZP41"/>
    <mergeCell ref="JZQ41:KAG41"/>
    <mergeCell ref="KAH41:KAX41"/>
    <mergeCell ref="KAY41:KBO41"/>
    <mergeCell ref="KBP41:KCF41"/>
    <mergeCell ref="JVS41:JWI41"/>
    <mergeCell ref="JWJ41:JWZ41"/>
    <mergeCell ref="JXA41:JXQ41"/>
    <mergeCell ref="JXR41:JYH41"/>
    <mergeCell ref="JYI41:JYY41"/>
    <mergeCell ref="JSL41:JTB41"/>
    <mergeCell ref="JTC41:JTS41"/>
    <mergeCell ref="JTT41:JUJ41"/>
    <mergeCell ref="JUK41:JVA41"/>
    <mergeCell ref="JVB41:JVR41"/>
    <mergeCell ref="JPE41:JPU41"/>
    <mergeCell ref="JPV41:JQL41"/>
    <mergeCell ref="JQM41:JRC41"/>
    <mergeCell ref="JRD41:JRT41"/>
    <mergeCell ref="JRU41:JSK41"/>
    <mergeCell ref="JLX41:JMN41"/>
    <mergeCell ref="JMO41:JNE41"/>
    <mergeCell ref="JNF41:JNV41"/>
    <mergeCell ref="JNW41:JOM41"/>
    <mergeCell ref="JON41:JPD41"/>
    <mergeCell ref="JIQ41:JJG41"/>
    <mergeCell ref="JJH41:JJX41"/>
    <mergeCell ref="JJY41:JKO41"/>
    <mergeCell ref="JKP41:JLF41"/>
    <mergeCell ref="JLG41:JLW41"/>
    <mergeCell ref="JFJ41:JFZ41"/>
    <mergeCell ref="JGA41:JGQ41"/>
    <mergeCell ref="JGR41:JHH41"/>
    <mergeCell ref="JHI41:JHY41"/>
    <mergeCell ref="JHZ41:JIP41"/>
    <mergeCell ref="JCC41:JCS41"/>
    <mergeCell ref="JCT41:JDJ41"/>
    <mergeCell ref="JDK41:JEA41"/>
    <mergeCell ref="JEB41:JER41"/>
    <mergeCell ref="JES41:JFI41"/>
    <mergeCell ref="IYV41:IZL41"/>
    <mergeCell ref="IZM41:JAC41"/>
    <mergeCell ref="JAD41:JAT41"/>
    <mergeCell ref="JAU41:JBK41"/>
    <mergeCell ref="JBL41:JCB41"/>
    <mergeCell ref="IVO41:IWE41"/>
    <mergeCell ref="IWF41:IWV41"/>
    <mergeCell ref="IWW41:IXM41"/>
    <mergeCell ref="IXN41:IYD41"/>
    <mergeCell ref="IYE41:IYU41"/>
    <mergeCell ref="ISH41:ISX41"/>
    <mergeCell ref="ISY41:ITO41"/>
    <mergeCell ref="ITP41:IUF41"/>
    <mergeCell ref="IUG41:IUW41"/>
    <mergeCell ref="IUX41:IVN41"/>
    <mergeCell ref="IPA41:IPQ41"/>
    <mergeCell ref="IPR41:IQH41"/>
    <mergeCell ref="IQI41:IQY41"/>
    <mergeCell ref="IQZ41:IRP41"/>
    <mergeCell ref="IRQ41:ISG41"/>
    <mergeCell ref="ILT41:IMJ41"/>
    <mergeCell ref="IMK41:INA41"/>
    <mergeCell ref="INB41:INR41"/>
    <mergeCell ref="INS41:IOI41"/>
    <mergeCell ref="IOJ41:IOZ41"/>
    <mergeCell ref="IIM41:IJC41"/>
    <mergeCell ref="IJD41:IJT41"/>
    <mergeCell ref="IJU41:IKK41"/>
    <mergeCell ref="IKL41:ILB41"/>
    <mergeCell ref="ILC41:ILS41"/>
    <mergeCell ref="IFF41:IFV41"/>
    <mergeCell ref="IFW41:IGM41"/>
    <mergeCell ref="IGN41:IHD41"/>
    <mergeCell ref="IHE41:IHU41"/>
    <mergeCell ref="IHV41:IIL41"/>
    <mergeCell ref="IBY41:ICO41"/>
    <mergeCell ref="ICP41:IDF41"/>
    <mergeCell ref="IDG41:IDW41"/>
    <mergeCell ref="IDX41:IEN41"/>
    <mergeCell ref="IEO41:IFE41"/>
    <mergeCell ref="HYR41:HZH41"/>
    <mergeCell ref="HZI41:HZY41"/>
    <mergeCell ref="HZZ41:IAP41"/>
    <mergeCell ref="IAQ41:IBG41"/>
    <mergeCell ref="IBH41:IBX41"/>
    <mergeCell ref="HVK41:HWA41"/>
    <mergeCell ref="HWB41:HWR41"/>
    <mergeCell ref="HWS41:HXI41"/>
    <mergeCell ref="HXJ41:HXZ41"/>
    <mergeCell ref="HYA41:HYQ41"/>
    <mergeCell ref="HSD41:HST41"/>
    <mergeCell ref="HSU41:HTK41"/>
    <mergeCell ref="HTL41:HUB41"/>
    <mergeCell ref="HUC41:HUS41"/>
    <mergeCell ref="HUT41:HVJ41"/>
    <mergeCell ref="HOW41:HPM41"/>
    <mergeCell ref="HPN41:HQD41"/>
    <mergeCell ref="HQE41:HQU41"/>
    <mergeCell ref="HQV41:HRL41"/>
    <mergeCell ref="HRM41:HSC41"/>
    <mergeCell ref="HLP41:HMF41"/>
    <mergeCell ref="HMG41:HMW41"/>
    <mergeCell ref="HMX41:HNN41"/>
    <mergeCell ref="HNO41:HOE41"/>
    <mergeCell ref="HOF41:HOV41"/>
    <mergeCell ref="HII41:HIY41"/>
    <mergeCell ref="HIZ41:HJP41"/>
    <mergeCell ref="HJQ41:HKG41"/>
    <mergeCell ref="HKH41:HKX41"/>
    <mergeCell ref="HKY41:HLO41"/>
    <mergeCell ref="HFB41:HFR41"/>
    <mergeCell ref="HFS41:HGI41"/>
    <mergeCell ref="HGJ41:HGZ41"/>
    <mergeCell ref="HHA41:HHQ41"/>
    <mergeCell ref="HHR41:HIH41"/>
    <mergeCell ref="HBU41:HCK41"/>
    <mergeCell ref="HCL41:HDB41"/>
    <mergeCell ref="HDC41:HDS41"/>
    <mergeCell ref="HDT41:HEJ41"/>
    <mergeCell ref="HEK41:HFA41"/>
    <mergeCell ref="GYN41:GZD41"/>
    <mergeCell ref="GZE41:GZU41"/>
    <mergeCell ref="GZV41:HAL41"/>
    <mergeCell ref="HAM41:HBC41"/>
    <mergeCell ref="HBD41:HBT41"/>
    <mergeCell ref="GVG41:GVW41"/>
    <mergeCell ref="GVX41:GWN41"/>
    <mergeCell ref="GWO41:GXE41"/>
    <mergeCell ref="GXF41:GXV41"/>
    <mergeCell ref="GXW41:GYM41"/>
    <mergeCell ref="GRZ41:GSP41"/>
    <mergeCell ref="GSQ41:GTG41"/>
    <mergeCell ref="GTH41:GTX41"/>
    <mergeCell ref="GTY41:GUO41"/>
    <mergeCell ref="GUP41:GVF41"/>
    <mergeCell ref="GOS41:GPI41"/>
    <mergeCell ref="GPJ41:GPZ41"/>
    <mergeCell ref="GQA41:GQQ41"/>
    <mergeCell ref="GQR41:GRH41"/>
    <mergeCell ref="GRI41:GRY41"/>
    <mergeCell ref="GLL41:GMB41"/>
    <mergeCell ref="GMC41:GMS41"/>
    <mergeCell ref="GMT41:GNJ41"/>
    <mergeCell ref="GNK41:GOA41"/>
    <mergeCell ref="GOB41:GOR41"/>
    <mergeCell ref="GIE41:GIU41"/>
    <mergeCell ref="GIV41:GJL41"/>
    <mergeCell ref="GJM41:GKC41"/>
    <mergeCell ref="GKD41:GKT41"/>
    <mergeCell ref="GKU41:GLK41"/>
    <mergeCell ref="GEX41:GFN41"/>
    <mergeCell ref="GFO41:GGE41"/>
    <mergeCell ref="GGF41:GGV41"/>
    <mergeCell ref="GGW41:GHM41"/>
    <mergeCell ref="GHN41:GID41"/>
    <mergeCell ref="GBQ41:GCG41"/>
    <mergeCell ref="GCH41:GCX41"/>
    <mergeCell ref="GCY41:GDO41"/>
    <mergeCell ref="GDP41:GEF41"/>
    <mergeCell ref="GEG41:GEW41"/>
    <mergeCell ref="FYJ41:FYZ41"/>
    <mergeCell ref="FZA41:FZQ41"/>
    <mergeCell ref="FZR41:GAH41"/>
    <mergeCell ref="GAI41:GAY41"/>
    <mergeCell ref="GAZ41:GBP41"/>
    <mergeCell ref="FVC41:FVS41"/>
    <mergeCell ref="FVT41:FWJ41"/>
    <mergeCell ref="FWK41:FXA41"/>
    <mergeCell ref="FXB41:FXR41"/>
    <mergeCell ref="FXS41:FYI41"/>
    <mergeCell ref="FRV41:FSL41"/>
    <mergeCell ref="FSM41:FTC41"/>
    <mergeCell ref="FTD41:FTT41"/>
    <mergeCell ref="FTU41:FUK41"/>
    <mergeCell ref="FUL41:FVB41"/>
    <mergeCell ref="FOO41:FPE41"/>
    <mergeCell ref="FPF41:FPV41"/>
    <mergeCell ref="FPW41:FQM41"/>
    <mergeCell ref="FQN41:FRD41"/>
    <mergeCell ref="FRE41:FRU41"/>
    <mergeCell ref="FLH41:FLX41"/>
    <mergeCell ref="FLY41:FMO41"/>
    <mergeCell ref="FMP41:FNF41"/>
    <mergeCell ref="FNG41:FNW41"/>
    <mergeCell ref="FNX41:FON41"/>
    <mergeCell ref="FIA41:FIQ41"/>
    <mergeCell ref="FIR41:FJH41"/>
    <mergeCell ref="FJI41:FJY41"/>
    <mergeCell ref="FJZ41:FKP41"/>
    <mergeCell ref="FKQ41:FLG41"/>
    <mergeCell ref="FET41:FFJ41"/>
    <mergeCell ref="FFK41:FGA41"/>
    <mergeCell ref="FGB41:FGR41"/>
    <mergeCell ref="FGS41:FHI41"/>
    <mergeCell ref="FHJ41:FHZ41"/>
    <mergeCell ref="FBM41:FCC41"/>
    <mergeCell ref="FCD41:FCT41"/>
    <mergeCell ref="FCU41:FDK41"/>
    <mergeCell ref="FDL41:FEB41"/>
    <mergeCell ref="FEC41:FES41"/>
    <mergeCell ref="EYF41:EYV41"/>
    <mergeCell ref="EYW41:EZM41"/>
    <mergeCell ref="EZN41:FAD41"/>
    <mergeCell ref="FAE41:FAU41"/>
    <mergeCell ref="FAV41:FBL41"/>
    <mergeCell ref="EUY41:EVO41"/>
    <mergeCell ref="EVP41:EWF41"/>
    <mergeCell ref="EWG41:EWW41"/>
    <mergeCell ref="EWX41:EXN41"/>
    <mergeCell ref="EXO41:EYE41"/>
    <mergeCell ref="ERR41:ESH41"/>
    <mergeCell ref="ESI41:ESY41"/>
    <mergeCell ref="ESZ41:ETP41"/>
    <mergeCell ref="ETQ41:EUG41"/>
    <mergeCell ref="EUH41:EUX41"/>
    <mergeCell ref="EOK41:EPA41"/>
    <mergeCell ref="EPB41:EPR41"/>
    <mergeCell ref="EPS41:EQI41"/>
    <mergeCell ref="EQJ41:EQZ41"/>
    <mergeCell ref="ERA41:ERQ41"/>
    <mergeCell ref="ELD41:ELT41"/>
    <mergeCell ref="ELU41:EMK41"/>
    <mergeCell ref="EML41:ENB41"/>
    <mergeCell ref="ENC41:ENS41"/>
    <mergeCell ref="ENT41:EOJ41"/>
    <mergeCell ref="EHW41:EIM41"/>
    <mergeCell ref="EIN41:EJD41"/>
    <mergeCell ref="EJE41:EJU41"/>
    <mergeCell ref="EJV41:EKL41"/>
    <mergeCell ref="EKM41:ELC41"/>
    <mergeCell ref="EEP41:EFF41"/>
    <mergeCell ref="EFG41:EFW41"/>
    <mergeCell ref="EFX41:EGN41"/>
    <mergeCell ref="EGO41:EHE41"/>
    <mergeCell ref="EHF41:EHV41"/>
    <mergeCell ref="EBI41:EBY41"/>
    <mergeCell ref="EBZ41:ECP41"/>
    <mergeCell ref="ECQ41:EDG41"/>
    <mergeCell ref="EDH41:EDX41"/>
    <mergeCell ref="EDY41:EEO41"/>
    <mergeCell ref="DYB41:DYR41"/>
    <mergeCell ref="DYS41:DZI41"/>
    <mergeCell ref="DZJ41:DZZ41"/>
    <mergeCell ref="EAA41:EAQ41"/>
    <mergeCell ref="EAR41:EBH41"/>
    <mergeCell ref="DUU41:DVK41"/>
    <mergeCell ref="DVL41:DWB41"/>
    <mergeCell ref="DWC41:DWS41"/>
    <mergeCell ref="DWT41:DXJ41"/>
    <mergeCell ref="DXK41:DYA41"/>
    <mergeCell ref="DRN41:DSD41"/>
    <mergeCell ref="DSE41:DSU41"/>
    <mergeCell ref="DSV41:DTL41"/>
    <mergeCell ref="DTM41:DUC41"/>
    <mergeCell ref="DUD41:DUT41"/>
    <mergeCell ref="DOG41:DOW41"/>
    <mergeCell ref="DOX41:DPN41"/>
    <mergeCell ref="DPO41:DQE41"/>
    <mergeCell ref="DQF41:DQV41"/>
    <mergeCell ref="DQW41:DRM41"/>
    <mergeCell ref="DKZ41:DLP41"/>
    <mergeCell ref="DLQ41:DMG41"/>
    <mergeCell ref="DMH41:DMX41"/>
    <mergeCell ref="DMY41:DNO41"/>
    <mergeCell ref="DNP41:DOF41"/>
    <mergeCell ref="DHS41:DII41"/>
    <mergeCell ref="DIJ41:DIZ41"/>
    <mergeCell ref="DJA41:DJQ41"/>
    <mergeCell ref="DJR41:DKH41"/>
    <mergeCell ref="DKI41:DKY41"/>
    <mergeCell ref="DEL41:DFB41"/>
    <mergeCell ref="DFC41:DFS41"/>
    <mergeCell ref="DFT41:DGJ41"/>
    <mergeCell ref="DGK41:DHA41"/>
    <mergeCell ref="DHB41:DHR41"/>
    <mergeCell ref="DBE41:DBU41"/>
    <mergeCell ref="DBV41:DCL41"/>
    <mergeCell ref="DCM41:DDC41"/>
    <mergeCell ref="DDD41:DDT41"/>
    <mergeCell ref="DDU41:DEK41"/>
    <mergeCell ref="CXX41:CYN41"/>
    <mergeCell ref="CYO41:CZE41"/>
    <mergeCell ref="CZF41:CZV41"/>
    <mergeCell ref="CZW41:DAM41"/>
    <mergeCell ref="DAN41:DBD41"/>
    <mergeCell ref="CUQ41:CVG41"/>
    <mergeCell ref="CVH41:CVX41"/>
    <mergeCell ref="CVY41:CWO41"/>
    <mergeCell ref="CWP41:CXF41"/>
    <mergeCell ref="CXG41:CXW41"/>
    <mergeCell ref="CRJ41:CRZ41"/>
    <mergeCell ref="CSA41:CSQ41"/>
    <mergeCell ref="CSR41:CTH41"/>
    <mergeCell ref="CTI41:CTY41"/>
    <mergeCell ref="CTZ41:CUP41"/>
    <mergeCell ref="COC41:COS41"/>
    <mergeCell ref="COT41:CPJ41"/>
    <mergeCell ref="CPK41:CQA41"/>
    <mergeCell ref="CQB41:CQR41"/>
    <mergeCell ref="CQS41:CRI41"/>
    <mergeCell ref="CKV41:CLL41"/>
    <mergeCell ref="CLM41:CMC41"/>
    <mergeCell ref="CMD41:CMT41"/>
    <mergeCell ref="CMU41:CNK41"/>
    <mergeCell ref="CNL41:COB41"/>
    <mergeCell ref="CHO41:CIE41"/>
    <mergeCell ref="CIF41:CIV41"/>
    <mergeCell ref="CIW41:CJM41"/>
    <mergeCell ref="CJN41:CKD41"/>
    <mergeCell ref="CKE41:CKU41"/>
    <mergeCell ref="CEH41:CEX41"/>
    <mergeCell ref="CEY41:CFO41"/>
    <mergeCell ref="CFP41:CGF41"/>
    <mergeCell ref="CGG41:CGW41"/>
    <mergeCell ref="CGX41:CHN41"/>
    <mergeCell ref="CBA41:CBQ41"/>
    <mergeCell ref="CBR41:CCH41"/>
    <mergeCell ref="CCI41:CCY41"/>
    <mergeCell ref="CCZ41:CDP41"/>
    <mergeCell ref="CDQ41:CEG41"/>
    <mergeCell ref="BXT41:BYJ41"/>
    <mergeCell ref="BYK41:BZA41"/>
    <mergeCell ref="BZB41:BZR41"/>
    <mergeCell ref="BZS41:CAI41"/>
    <mergeCell ref="CAJ41:CAZ41"/>
    <mergeCell ref="BUM41:BVC41"/>
    <mergeCell ref="BVD41:BVT41"/>
    <mergeCell ref="BVU41:BWK41"/>
    <mergeCell ref="BWL41:BXB41"/>
    <mergeCell ref="BXC41:BXS41"/>
    <mergeCell ref="BRF41:BRV41"/>
    <mergeCell ref="BRW41:BSM41"/>
    <mergeCell ref="BSN41:BTD41"/>
    <mergeCell ref="BTE41:BTU41"/>
    <mergeCell ref="BTV41:BUL41"/>
    <mergeCell ref="BNY41:BOO41"/>
    <mergeCell ref="BOP41:BPF41"/>
    <mergeCell ref="BPG41:BPW41"/>
    <mergeCell ref="BPX41:BQN41"/>
    <mergeCell ref="BQO41:BRE41"/>
    <mergeCell ref="BKR41:BLH41"/>
    <mergeCell ref="BLI41:BLY41"/>
    <mergeCell ref="BLZ41:BMP41"/>
    <mergeCell ref="BMQ41:BNG41"/>
    <mergeCell ref="BNH41:BNX41"/>
    <mergeCell ref="BHK41:BIA41"/>
    <mergeCell ref="BIB41:BIR41"/>
    <mergeCell ref="BIS41:BJI41"/>
    <mergeCell ref="BJJ41:BJZ41"/>
    <mergeCell ref="BKA41:BKQ41"/>
    <mergeCell ref="BED41:BET41"/>
    <mergeCell ref="BEU41:BFK41"/>
    <mergeCell ref="BFL41:BGB41"/>
    <mergeCell ref="BGC41:BGS41"/>
    <mergeCell ref="BGT41:BHJ41"/>
    <mergeCell ref="BAW41:BBM41"/>
    <mergeCell ref="BBN41:BCD41"/>
    <mergeCell ref="BCE41:BCU41"/>
    <mergeCell ref="BCV41:BDL41"/>
    <mergeCell ref="BDM41:BEC41"/>
    <mergeCell ref="AXP41:AYF41"/>
    <mergeCell ref="AYG41:AYW41"/>
    <mergeCell ref="AYX41:AZN41"/>
    <mergeCell ref="AZO41:BAE41"/>
    <mergeCell ref="BAF41:BAV41"/>
    <mergeCell ref="AUI41:AUY41"/>
    <mergeCell ref="AUZ41:AVP41"/>
    <mergeCell ref="AVQ41:AWG41"/>
    <mergeCell ref="AWH41:AWX41"/>
    <mergeCell ref="AWY41:AXO41"/>
    <mergeCell ref="ARB41:ARR41"/>
    <mergeCell ref="ARS41:ASI41"/>
    <mergeCell ref="ASJ41:ASZ41"/>
    <mergeCell ref="ATA41:ATQ41"/>
    <mergeCell ref="ATR41:AUH41"/>
    <mergeCell ref="ANU41:AOK41"/>
    <mergeCell ref="AOL41:APB41"/>
    <mergeCell ref="APC41:APS41"/>
    <mergeCell ref="APT41:AQJ41"/>
    <mergeCell ref="AQK41:ARA41"/>
    <mergeCell ref="AKN41:ALD41"/>
    <mergeCell ref="ALE41:ALU41"/>
    <mergeCell ref="ALV41:AML41"/>
    <mergeCell ref="AMM41:ANC41"/>
    <mergeCell ref="AND41:ANT41"/>
    <mergeCell ref="AHG41:AHW41"/>
    <mergeCell ref="AHX41:AIN41"/>
    <mergeCell ref="AIO41:AJE41"/>
    <mergeCell ref="AJF41:AJV41"/>
    <mergeCell ref="AJW41:AKM41"/>
    <mergeCell ref="ADZ41:AEP41"/>
    <mergeCell ref="AEQ41:AFG41"/>
    <mergeCell ref="AFH41:AFX41"/>
    <mergeCell ref="AFY41:AGO41"/>
    <mergeCell ref="AGP41:AHF41"/>
    <mergeCell ref="AAS41:ABI41"/>
    <mergeCell ref="ABJ41:ABZ41"/>
    <mergeCell ref="ACA41:ACQ41"/>
    <mergeCell ref="ACR41:ADH41"/>
    <mergeCell ref="ADI41:ADY41"/>
    <mergeCell ref="YC41:YS41"/>
    <mergeCell ref="YT41:ZJ41"/>
    <mergeCell ref="ZK41:AAA41"/>
    <mergeCell ref="AAB41:AAR41"/>
    <mergeCell ref="UE41:UU41"/>
    <mergeCell ref="UV41:VL41"/>
    <mergeCell ref="VM41:WC41"/>
    <mergeCell ref="WD41:WT41"/>
    <mergeCell ref="WU41:XK41"/>
    <mergeCell ref="QX41:RN41"/>
    <mergeCell ref="RO41:SE41"/>
    <mergeCell ref="SF41:SV41"/>
    <mergeCell ref="SW41:TM41"/>
    <mergeCell ref="TN41:UD41"/>
    <mergeCell ref="NQ41:OG41"/>
    <mergeCell ref="OH41:OX41"/>
    <mergeCell ref="OY41:PO41"/>
    <mergeCell ref="PP41:QF41"/>
    <mergeCell ref="QG41:QW41"/>
    <mergeCell ref="KJ41:KZ41"/>
    <mergeCell ref="LA41:LQ41"/>
    <mergeCell ref="LR41:MH41"/>
    <mergeCell ref="MI41:MY41"/>
    <mergeCell ref="MZ41:NP41"/>
    <mergeCell ref="HC41:HS41"/>
    <mergeCell ref="HT41:IJ41"/>
    <mergeCell ref="IK41:JA41"/>
    <mergeCell ref="JB41:JR41"/>
    <mergeCell ref="JS41:KI41"/>
    <mergeCell ref="XCY40:XDO40"/>
    <mergeCell ref="XDP40:XEB40"/>
    <mergeCell ref="S41:AG41"/>
    <mergeCell ref="AX41:BM41"/>
    <mergeCell ref="BN41:BP41"/>
    <mergeCell ref="BQ41:BV41"/>
    <mergeCell ref="BW41:CM41"/>
    <mergeCell ref="CN41:DD41"/>
    <mergeCell ref="DE41:DU41"/>
    <mergeCell ref="DV41:EL41"/>
    <mergeCell ref="EM41:FC41"/>
    <mergeCell ref="FD41:FT41"/>
    <mergeCell ref="FU41:GK41"/>
    <mergeCell ref="GL41:HB41"/>
    <mergeCell ref="WZR40:XAH40"/>
    <mergeCell ref="XAI40:XAY40"/>
    <mergeCell ref="XAZ40:XBP40"/>
    <mergeCell ref="XBQ40:XCG40"/>
    <mergeCell ref="XCH40:XCX40"/>
    <mergeCell ref="WWK40:WXA40"/>
    <mergeCell ref="WXB40:WXR40"/>
    <mergeCell ref="XL41:YB41"/>
    <mergeCell ref="WXS40:WYI40"/>
    <mergeCell ref="WYJ40:WYZ40"/>
    <mergeCell ref="WZA40:WZQ40"/>
    <mergeCell ref="WTD40:WTT40"/>
    <mergeCell ref="WTU40:WUK40"/>
    <mergeCell ref="WUL40:WVB40"/>
    <mergeCell ref="WVC40:WVS40"/>
    <mergeCell ref="WVT40:WWJ40"/>
    <mergeCell ref="WPW40:WQM40"/>
    <mergeCell ref="WQN40:WRD40"/>
    <mergeCell ref="WRE40:WRU40"/>
    <mergeCell ref="WRV40:WSL40"/>
    <mergeCell ref="WSM40:WTC40"/>
    <mergeCell ref="WMP40:WNF40"/>
    <mergeCell ref="WNG40:WNW40"/>
    <mergeCell ref="WNX40:WON40"/>
    <mergeCell ref="WOO40:WPE40"/>
    <mergeCell ref="WPF40:WPV40"/>
    <mergeCell ref="WJI40:WJY40"/>
    <mergeCell ref="WJZ40:WKP40"/>
    <mergeCell ref="WKQ40:WLG40"/>
    <mergeCell ref="WLH40:WLX40"/>
    <mergeCell ref="WLY40:WMO40"/>
    <mergeCell ref="WGB40:WGR40"/>
    <mergeCell ref="WGS40:WHI40"/>
    <mergeCell ref="WHJ40:WHZ40"/>
    <mergeCell ref="WIA40:WIQ40"/>
    <mergeCell ref="WIR40:WJH40"/>
    <mergeCell ref="WCU40:WDK40"/>
    <mergeCell ref="WDL40:WEB40"/>
    <mergeCell ref="WEC40:WES40"/>
    <mergeCell ref="WET40:WFJ40"/>
    <mergeCell ref="WFK40:WGA40"/>
    <mergeCell ref="VZN40:WAD40"/>
    <mergeCell ref="WAE40:WAU40"/>
    <mergeCell ref="WAV40:WBL40"/>
    <mergeCell ref="WBM40:WCC40"/>
    <mergeCell ref="WCD40:WCT40"/>
    <mergeCell ref="VWG40:VWW40"/>
    <mergeCell ref="VWX40:VXN40"/>
    <mergeCell ref="VXO40:VYE40"/>
    <mergeCell ref="VYF40:VYV40"/>
    <mergeCell ref="VYW40:VZM40"/>
    <mergeCell ref="VSZ40:VTP40"/>
    <mergeCell ref="VTQ40:VUG40"/>
    <mergeCell ref="VUH40:VUX40"/>
    <mergeCell ref="VUY40:VVO40"/>
    <mergeCell ref="VVP40:VWF40"/>
    <mergeCell ref="VPS40:VQI40"/>
    <mergeCell ref="VQJ40:VQZ40"/>
    <mergeCell ref="VRA40:VRQ40"/>
    <mergeCell ref="VRR40:VSH40"/>
    <mergeCell ref="VSI40:VSY40"/>
    <mergeCell ref="VML40:VNB40"/>
    <mergeCell ref="VNC40:VNS40"/>
    <mergeCell ref="VNT40:VOJ40"/>
    <mergeCell ref="VOK40:VPA40"/>
    <mergeCell ref="VPB40:VPR40"/>
    <mergeCell ref="VJE40:VJU40"/>
    <mergeCell ref="VJV40:VKL40"/>
    <mergeCell ref="VKM40:VLC40"/>
    <mergeCell ref="VLD40:VLT40"/>
    <mergeCell ref="VLU40:VMK40"/>
    <mergeCell ref="VFX40:VGN40"/>
    <mergeCell ref="VGO40:VHE40"/>
    <mergeCell ref="VHF40:VHV40"/>
    <mergeCell ref="VHW40:VIM40"/>
    <mergeCell ref="VIN40:VJD40"/>
    <mergeCell ref="VCQ40:VDG40"/>
    <mergeCell ref="VDH40:VDX40"/>
    <mergeCell ref="VDY40:VEO40"/>
    <mergeCell ref="VEP40:VFF40"/>
    <mergeCell ref="VFG40:VFW40"/>
    <mergeCell ref="UZJ40:UZZ40"/>
    <mergeCell ref="VAA40:VAQ40"/>
    <mergeCell ref="VAR40:VBH40"/>
    <mergeCell ref="VBI40:VBY40"/>
    <mergeCell ref="VBZ40:VCP40"/>
    <mergeCell ref="UWC40:UWS40"/>
    <mergeCell ref="UWT40:UXJ40"/>
    <mergeCell ref="UXK40:UYA40"/>
    <mergeCell ref="UYB40:UYR40"/>
    <mergeCell ref="UYS40:UZI40"/>
    <mergeCell ref="USV40:UTL40"/>
    <mergeCell ref="UTM40:UUC40"/>
    <mergeCell ref="UUD40:UUT40"/>
    <mergeCell ref="UUU40:UVK40"/>
    <mergeCell ref="UVL40:UWB40"/>
    <mergeCell ref="UPO40:UQE40"/>
    <mergeCell ref="UQF40:UQV40"/>
    <mergeCell ref="UQW40:URM40"/>
    <mergeCell ref="URN40:USD40"/>
    <mergeCell ref="USE40:USU40"/>
    <mergeCell ref="UMH40:UMX40"/>
    <mergeCell ref="UMY40:UNO40"/>
    <mergeCell ref="UNP40:UOF40"/>
    <mergeCell ref="UOG40:UOW40"/>
    <mergeCell ref="UOX40:UPN40"/>
    <mergeCell ref="UJA40:UJQ40"/>
    <mergeCell ref="UJR40:UKH40"/>
    <mergeCell ref="UKI40:UKY40"/>
    <mergeCell ref="UKZ40:ULP40"/>
    <mergeCell ref="ULQ40:UMG40"/>
    <mergeCell ref="UFT40:UGJ40"/>
    <mergeCell ref="UGK40:UHA40"/>
    <mergeCell ref="UHB40:UHR40"/>
    <mergeCell ref="UHS40:UII40"/>
    <mergeCell ref="UIJ40:UIZ40"/>
    <mergeCell ref="UCM40:UDC40"/>
    <mergeCell ref="UDD40:UDT40"/>
    <mergeCell ref="UDU40:UEK40"/>
    <mergeCell ref="UEL40:UFB40"/>
    <mergeCell ref="UFC40:UFS40"/>
    <mergeCell ref="TZF40:TZV40"/>
    <mergeCell ref="TZW40:UAM40"/>
    <mergeCell ref="UAN40:UBD40"/>
    <mergeCell ref="UBE40:UBU40"/>
    <mergeCell ref="UBV40:UCL40"/>
    <mergeCell ref="TVY40:TWO40"/>
    <mergeCell ref="TWP40:TXF40"/>
    <mergeCell ref="TXG40:TXW40"/>
    <mergeCell ref="TXX40:TYN40"/>
    <mergeCell ref="TYO40:TZE40"/>
    <mergeCell ref="TSR40:TTH40"/>
    <mergeCell ref="TTI40:TTY40"/>
    <mergeCell ref="TTZ40:TUP40"/>
    <mergeCell ref="TUQ40:TVG40"/>
    <mergeCell ref="TVH40:TVX40"/>
    <mergeCell ref="TPK40:TQA40"/>
    <mergeCell ref="TQB40:TQR40"/>
    <mergeCell ref="TQS40:TRI40"/>
    <mergeCell ref="TRJ40:TRZ40"/>
    <mergeCell ref="TSA40:TSQ40"/>
    <mergeCell ref="TMD40:TMT40"/>
    <mergeCell ref="TMU40:TNK40"/>
    <mergeCell ref="TNL40:TOB40"/>
    <mergeCell ref="TOC40:TOS40"/>
    <mergeCell ref="TOT40:TPJ40"/>
    <mergeCell ref="TIW40:TJM40"/>
    <mergeCell ref="TJN40:TKD40"/>
    <mergeCell ref="TKE40:TKU40"/>
    <mergeCell ref="TKV40:TLL40"/>
    <mergeCell ref="TLM40:TMC40"/>
    <mergeCell ref="TFP40:TGF40"/>
    <mergeCell ref="TGG40:TGW40"/>
    <mergeCell ref="TGX40:THN40"/>
    <mergeCell ref="THO40:TIE40"/>
    <mergeCell ref="TIF40:TIV40"/>
    <mergeCell ref="TCI40:TCY40"/>
    <mergeCell ref="TCZ40:TDP40"/>
    <mergeCell ref="TDQ40:TEG40"/>
    <mergeCell ref="TEH40:TEX40"/>
    <mergeCell ref="TEY40:TFO40"/>
    <mergeCell ref="SZB40:SZR40"/>
    <mergeCell ref="SZS40:TAI40"/>
    <mergeCell ref="TAJ40:TAZ40"/>
    <mergeCell ref="TBA40:TBQ40"/>
    <mergeCell ref="TBR40:TCH40"/>
    <mergeCell ref="SVU40:SWK40"/>
    <mergeCell ref="SWL40:SXB40"/>
    <mergeCell ref="SXC40:SXS40"/>
    <mergeCell ref="SXT40:SYJ40"/>
    <mergeCell ref="SYK40:SZA40"/>
    <mergeCell ref="SSN40:STD40"/>
    <mergeCell ref="STE40:STU40"/>
    <mergeCell ref="STV40:SUL40"/>
    <mergeCell ref="SUM40:SVC40"/>
    <mergeCell ref="SVD40:SVT40"/>
    <mergeCell ref="SPG40:SPW40"/>
    <mergeCell ref="SPX40:SQN40"/>
    <mergeCell ref="SQO40:SRE40"/>
    <mergeCell ref="SRF40:SRV40"/>
    <mergeCell ref="SRW40:SSM40"/>
    <mergeCell ref="SLZ40:SMP40"/>
    <mergeCell ref="SMQ40:SNG40"/>
    <mergeCell ref="SNH40:SNX40"/>
    <mergeCell ref="SNY40:SOO40"/>
    <mergeCell ref="SOP40:SPF40"/>
    <mergeCell ref="SIS40:SJI40"/>
    <mergeCell ref="SJJ40:SJZ40"/>
    <mergeCell ref="SKA40:SKQ40"/>
    <mergeCell ref="SKR40:SLH40"/>
    <mergeCell ref="SLI40:SLY40"/>
    <mergeCell ref="SFL40:SGB40"/>
    <mergeCell ref="SGC40:SGS40"/>
    <mergeCell ref="SGT40:SHJ40"/>
    <mergeCell ref="SHK40:SIA40"/>
    <mergeCell ref="SIB40:SIR40"/>
    <mergeCell ref="SCE40:SCU40"/>
    <mergeCell ref="SCV40:SDL40"/>
    <mergeCell ref="SDM40:SEC40"/>
    <mergeCell ref="SED40:SET40"/>
    <mergeCell ref="SEU40:SFK40"/>
    <mergeCell ref="RYX40:RZN40"/>
    <mergeCell ref="RZO40:SAE40"/>
    <mergeCell ref="SAF40:SAV40"/>
    <mergeCell ref="SAW40:SBM40"/>
    <mergeCell ref="SBN40:SCD40"/>
    <mergeCell ref="RVQ40:RWG40"/>
    <mergeCell ref="RWH40:RWX40"/>
    <mergeCell ref="RWY40:RXO40"/>
    <mergeCell ref="RXP40:RYF40"/>
    <mergeCell ref="RYG40:RYW40"/>
    <mergeCell ref="RSJ40:RSZ40"/>
    <mergeCell ref="RTA40:RTQ40"/>
    <mergeCell ref="RTR40:RUH40"/>
    <mergeCell ref="RUI40:RUY40"/>
    <mergeCell ref="RUZ40:RVP40"/>
    <mergeCell ref="RPC40:RPS40"/>
    <mergeCell ref="RPT40:RQJ40"/>
    <mergeCell ref="RQK40:RRA40"/>
    <mergeCell ref="RRB40:RRR40"/>
    <mergeCell ref="RRS40:RSI40"/>
    <mergeCell ref="RLV40:RML40"/>
    <mergeCell ref="RMM40:RNC40"/>
    <mergeCell ref="RND40:RNT40"/>
    <mergeCell ref="RNU40:ROK40"/>
    <mergeCell ref="ROL40:RPB40"/>
    <mergeCell ref="RIO40:RJE40"/>
    <mergeCell ref="RJF40:RJV40"/>
    <mergeCell ref="RJW40:RKM40"/>
    <mergeCell ref="RKN40:RLD40"/>
    <mergeCell ref="RLE40:RLU40"/>
    <mergeCell ref="RFH40:RFX40"/>
    <mergeCell ref="RFY40:RGO40"/>
    <mergeCell ref="RGP40:RHF40"/>
    <mergeCell ref="RHG40:RHW40"/>
    <mergeCell ref="RHX40:RIN40"/>
    <mergeCell ref="RCA40:RCQ40"/>
    <mergeCell ref="RCR40:RDH40"/>
    <mergeCell ref="RDI40:RDY40"/>
    <mergeCell ref="RDZ40:REP40"/>
    <mergeCell ref="REQ40:RFG40"/>
    <mergeCell ref="QYT40:QZJ40"/>
    <mergeCell ref="QZK40:RAA40"/>
    <mergeCell ref="RAB40:RAR40"/>
    <mergeCell ref="RAS40:RBI40"/>
    <mergeCell ref="RBJ40:RBZ40"/>
    <mergeCell ref="QVM40:QWC40"/>
    <mergeCell ref="QWD40:QWT40"/>
    <mergeCell ref="QWU40:QXK40"/>
    <mergeCell ref="QXL40:QYB40"/>
    <mergeCell ref="QYC40:QYS40"/>
    <mergeCell ref="QSF40:QSV40"/>
    <mergeCell ref="QSW40:QTM40"/>
    <mergeCell ref="QTN40:QUD40"/>
    <mergeCell ref="QUE40:QUU40"/>
    <mergeCell ref="QUV40:QVL40"/>
    <mergeCell ref="QOY40:QPO40"/>
    <mergeCell ref="QPP40:QQF40"/>
    <mergeCell ref="QQG40:QQW40"/>
    <mergeCell ref="QQX40:QRN40"/>
    <mergeCell ref="QRO40:QSE40"/>
    <mergeCell ref="QLR40:QMH40"/>
    <mergeCell ref="QMI40:QMY40"/>
    <mergeCell ref="QMZ40:QNP40"/>
    <mergeCell ref="QNQ40:QOG40"/>
    <mergeCell ref="QOH40:QOX40"/>
    <mergeCell ref="QIK40:QJA40"/>
    <mergeCell ref="QJB40:QJR40"/>
    <mergeCell ref="QJS40:QKI40"/>
    <mergeCell ref="QKJ40:QKZ40"/>
    <mergeCell ref="QLA40:QLQ40"/>
    <mergeCell ref="QFD40:QFT40"/>
    <mergeCell ref="QFU40:QGK40"/>
    <mergeCell ref="QGL40:QHB40"/>
    <mergeCell ref="QHC40:QHS40"/>
    <mergeCell ref="QHT40:QIJ40"/>
    <mergeCell ref="QBW40:QCM40"/>
    <mergeCell ref="QCN40:QDD40"/>
    <mergeCell ref="QDE40:QDU40"/>
    <mergeCell ref="QDV40:QEL40"/>
    <mergeCell ref="QEM40:QFC40"/>
    <mergeCell ref="PYP40:PZF40"/>
    <mergeCell ref="PZG40:PZW40"/>
    <mergeCell ref="PZX40:QAN40"/>
    <mergeCell ref="QAO40:QBE40"/>
    <mergeCell ref="QBF40:QBV40"/>
    <mergeCell ref="PVI40:PVY40"/>
    <mergeCell ref="PVZ40:PWP40"/>
    <mergeCell ref="PWQ40:PXG40"/>
    <mergeCell ref="PXH40:PXX40"/>
    <mergeCell ref="PXY40:PYO40"/>
    <mergeCell ref="PSB40:PSR40"/>
    <mergeCell ref="PSS40:PTI40"/>
    <mergeCell ref="PTJ40:PTZ40"/>
    <mergeCell ref="PUA40:PUQ40"/>
    <mergeCell ref="PUR40:PVH40"/>
    <mergeCell ref="POU40:PPK40"/>
    <mergeCell ref="PPL40:PQB40"/>
    <mergeCell ref="PQC40:PQS40"/>
    <mergeCell ref="PQT40:PRJ40"/>
    <mergeCell ref="PRK40:PSA40"/>
    <mergeCell ref="PLN40:PMD40"/>
    <mergeCell ref="PME40:PMU40"/>
    <mergeCell ref="PMV40:PNL40"/>
    <mergeCell ref="PNM40:POC40"/>
    <mergeCell ref="POD40:POT40"/>
    <mergeCell ref="PIG40:PIW40"/>
    <mergeCell ref="PIX40:PJN40"/>
    <mergeCell ref="PJO40:PKE40"/>
    <mergeCell ref="PKF40:PKV40"/>
    <mergeCell ref="PKW40:PLM40"/>
    <mergeCell ref="PEZ40:PFP40"/>
    <mergeCell ref="PFQ40:PGG40"/>
    <mergeCell ref="PGH40:PGX40"/>
    <mergeCell ref="PGY40:PHO40"/>
    <mergeCell ref="PHP40:PIF40"/>
    <mergeCell ref="PBS40:PCI40"/>
    <mergeCell ref="PCJ40:PCZ40"/>
    <mergeCell ref="PDA40:PDQ40"/>
    <mergeCell ref="PDR40:PEH40"/>
    <mergeCell ref="PEI40:PEY40"/>
    <mergeCell ref="OYL40:OZB40"/>
    <mergeCell ref="OZC40:OZS40"/>
    <mergeCell ref="OZT40:PAJ40"/>
    <mergeCell ref="PAK40:PBA40"/>
    <mergeCell ref="PBB40:PBR40"/>
    <mergeCell ref="OVE40:OVU40"/>
    <mergeCell ref="OVV40:OWL40"/>
    <mergeCell ref="OWM40:OXC40"/>
    <mergeCell ref="OXD40:OXT40"/>
    <mergeCell ref="OXU40:OYK40"/>
    <mergeCell ref="ORX40:OSN40"/>
    <mergeCell ref="OSO40:OTE40"/>
    <mergeCell ref="OTF40:OTV40"/>
    <mergeCell ref="OTW40:OUM40"/>
    <mergeCell ref="OUN40:OVD40"/>
    <mergeCell ref="OOQ40:OPG40"/>
    <mergeCell ref="OPH40:OPX40"/>
    <mergeCell ref="OPY40:OQO40"/>
    <mergeCell ref="OQP40:ORF40"/>
    <mergeCell ref="ORG40:ORW40"/>
    <mergeCell ref="OLJ40:OLZ40"/>
    <mergeCell ref="OMA40:OMQ40"/>
    <mergeCell ref="OMR40:ONH40"/>
    <mergeCell ref="ONI40:ONY40"/>
    <mergeCell ref="ONZ40:OOP40"/>
    <mergeCell ref="OIC40:OIS40"/>
    <mergeCell ref="OIT40:OJJ40"/>
    <mergeCell ref="OJK40:OKA40"/>
    <mergeCell ref="OKB40:OKR40"/>
    <mergeCell ref="OKS40:OLI40"/>
    <mergeCell ref="OEV40:OFL40"/>
    <mergeCell ref="OFM40:OGC40"/>
    <mergeCell ref="OGD40:OGT40"/>
    <mergeCell ref="OGU40:OHK40"/>
    <mergeCell ref="OHL40:OIB40"/>
    <mergeCell ref="OBO40:OCE40"/>
    <mergeCell ref="OCF40:OCV40"/>
    <mergeCell ref="OCW40:ODM40"/>
    <mergeCell ref="ODN40:OED40"/>
    <mergeCell ref="OEE40:OEU40"/>
    <mergeCell ref="NYH40:NYX40"/>
    <mergeCell ref="NYY40:NZO40"/>
    <mergeCell ref="NZP40:OAF40"/>
    <mergeCell ref="OAG40:OAW40"/>
    <mergeCell ref="OAX40:OBN40"/>
    <mergeCell ref="NVA40:NVQ40"/>
    <mergeCell ref="NVR40:NWH40"/>
    <mergeCell ref="NWI40:NWY40"/>
    <mergeCell ref="NWZ40:NXP40"/>
    <mergeCell ref="NXQ40:NYG40"/>
    <mergeCell ref="NRT40:NSJ40"/>
    <mergeCell ref="NSK40:NTA40"/>
    <mergeCell ref="NTB40:NTR40"/>
    <mergeCell ref="NTS40:NUI40"/>
    <mergeCell ref="NUJ40:NUZ40"/>
    <mergeCell ref="NOM40:NPC40"/>
    <mergeCell ref="NPD40:NPT40"/>
    <mergeCell ref="NPU40:NQK40"/>
    <mergeCell ref="NQL40:NRB40"/>
    <mergeCell ref="NRC40:NRS40"/>
    <mergeCell ref="NLF40:NLV40"/>
    <mergeCell ref="NLW40:NMM40"/>
    <mergeCell ref="NMN40:NND40"/>
    <mergeCell ref="NNE40:NNU40"/>
    <mergeCell ref="NNV40:NOL40"/>
    <mergeCell ref="NHY40:NIO40"/>
    <mergeCell ref="NIP40:NJF40"/>
    <mergeCell ref="NJG40:NJW40"/>
    <mergeCell ref="NJX40:NKN40"/>
    <mergeCell ref="NKO40:NLE40"/>
    <mergeCell ref="NER40:NFH40"/>
    <mergeCell ref="NFI40:NFY40"/>
    <mergeCell ref="NFZ40:NGP40"/>
    <mergeCell ref="NGQ40:NHG40"/>
    <mergeCell ref="NHH40:NHX40"/>
    <mergeCell ref="NBK40:NCA40"/>
    <mergeCell ref="NCB40:NCR40"/>
    <mergeCell ref="NCS40:NDI40"/>
    <mergeCell ref="NDJ40:NDZ40"/>
    <mergeCell ref="NEA40:NEQ40"/>
    <mergeCell ref="MYD40:MYT40"/>
    <mergeCell ref="MYU40:MZK40"/>
    <mergeCell ref="MZL40:NAB40"/>
    <mergeCell ref="NAC40:NAS40"/>
    <mergeCell ref="NAT40:NBJ40"/>
    <mergeCell ref="MUW40:MVM40"/>
    <mergeCell ref="MVN40:MWD40"/>
    <mergeCell ref="MWE40:MWU40"/>
    <mergeCell ref="MWV40:MXL40"/>
    <mergeCell ref="MXM40:MYC40"/>
    <mergeCell ref="MRP40:MSF40"/>
    <mergeCell ref="MSG40:MSW40"/>
    <mergeCell ref="MSX40:MTN40"/>
    <mergeCell ref="MTO40:MUE40"/>
    <mergeCell ref="MUF40:MUV40"/>
    <mergeCell ref="MOI40:MOY40"/>
    <mergeCell ref="MOZ40:MPP40"/>
    <mergeCell ref="MPQ40:MQG40"/>
    <mergeCell ref="MQH40:MQX40"/>
    <mergeCell ref="MQY40:MRO40"/>
    <mergeCell ref="MLB40:MLR40"/>
    <mergeCell ref="MLS40:MMI40"/>
    <mergeCell ref="MMJ40:MMZ40"/>
    <mergeCell ref="MNA40:MNQ40"/>
    <mergeCell ref="MNR40:MOH40"/>
    <mergeCell ref="MHU40:MIK40"/>
    <mergeCell ref="MIL40:MJB40"/>
    <mergeCell ref="MJC40:MJS40"/>
    <mergeCell ref="MJT40:MKJ40"/>
    <mergeCell ref="MKK40:MLA40"/>
    <mergeCell ref="MEN40:MFD40"/>
    <mergeCell ref="MFE40:MFU40"/>
    <mergeCell ref="MFV40:MGL40"/>
    <mergeCell ref="MGM40:MHC40"/>
    <mergeCell ref="MHD40:MHT40"/>
    <mergeCell ref="MBG40:MBW40"/>
    <mergeCell ref="MBX40:MCN40"/>
    <mergeCell ref="MCO40:MDE40"/>
    <mergeCell ref="MDF40:MDV40"/>
    <mergeCell ref="MDW40:MEM40"/>
    <mergeCell ref="LXZ40:LYP40"/>
    <mergeCell ref="LYQ40:LZG40"/>
    <mergeCell ref="LZH40:LZX40"/>
    <mergeCell ref="LZY40:MAO40"/>
    <mergeCell ref="MAP40:MBF40"/>
    <mergeCell ref="LUS40:LVI40"/>
    <mergeCell ref="LVJ40:LVZ40"/>
    <mergeCell ref="LWA40:LWQ40"/>
    <mergeCell ref="LWR40:LXH40"/>
    <mergeCell ref="LXI40:LXY40"/>
    <mergeCell ref="LRL40:LSB40"/>
    <mergeCell ref="LSC40:LSS40"/>
    <mergeCell ref="LST40:LTJ40"/>
    <mergeCell ref="LTK40:LUA40"/>
    <mergeCell ref="LUB40:LUR40"/>
    <mergeCell ref="LOE40:LOU40"/>
    <mergeCell ref="LOV40:LPL40"/>
    <mergeCell ref="LPM40:LQC40"/>
    <mergeCell ref="LQD40:LQT40"/>
    <mergeCell ref="LQU40:LRK40"/>
    <mergeCell ref="LKX40:LLN40"/>
    <mergeCell ref="LLO40:LME40"/>
    <mergeCell ref="LMF40:LMV40"/>
    <mergeCell ref="LMW40:LNM40"/>
    <mergeCell ref="LNN40:LOD40"/>
    <mergeCell ref="LHQ40:LIG40"/>
    <mergeCell ref="LIH40:LIX40"/>
    <mergeCell ref="LIY40:LJO40"/>
    <mergeCell ref="LJP40:LKF40"/>
    <mergeCell ref="LKG40:LKW40"/>
    <mergeCell ref="LEJ40:LEZ40"/>
    <mergeCell ref="LFA40:LFQ40"/>
    <mergeCell ref="LFR40:LGH40"/>
    <mergeCell ref="LGI40:LGY40"/>
    <mergeCell ref="LGZ40:LHP40"/>
    <mergeCell ref="LBC40:LBS40"/>
    <mergeCell ref="LBT40:LCJ40"/>
    <mergeCell ref="LCK40:LDA40"/>
    <mergeCell ref="LDB40:LDR40"/>
    <mergeCell ref="LDS40:LEI40"/>
    <mergeCell ref="KXV40:KYL40"/>
    <mergeCell ref="KYM40:KZC40"/>
    <mergeCell ref="KZD40:KZT40"/>
    <mergeCell ref="KZU40:LAK40"/>
    <mergeCell ref="LAL40:LBB40"/>
    <mergeCell ref="KUO40:KVE40"/>
    <mergeCell ref="KVF40:KVV40"/>
    <mergeCell ref="KVW40:KWM40"/>
    <mergeCell ref="KWN40:KXD40"/>
    <mergeCell ref="KXE40:KXU40"/>
    <mergeCell ref="KRH40:KRX40"/>
    <mergeCell ref="KRY40:KSO40"/>
    <mergeCell ref="KSP40:KTF40"/>
    <mergeCell ref="KTG40:KTW40"/>
    <mergeCell ref="KTX40:KUN40"/>
    <mergeCell ref="KOA40:KOQ40"/>
    <mergeCell ref="KOR40:KPH40"/>
    <mergeCell ref="KPI40:KPY40"/>
    <mergeCell ref="KPZ40:KQP40"/>
    <mergeCell ref="KQQ40:KRG40"/>
    <mergeCell ref="KKT40:KLJ40"/>
    <mergeCell ref="KLK40:KMA40"/>
    <mergeCell ref="KMB40:KMR40"/>
    <mergeCell ref="KMS40:KNI40"/>
    <mergeCell ref="KNJ40:KNZ40"/>
    <mergeCell ref="KHM40:KIC40"/>
    <mergeCell ref="KID40:KIT40"/>
    <mergeCell ref="KIU40:KJK40"/>
    <mergeCell ref="KJL40:KKB40"/>
    <mergeCell ref="KKC40:KKS40"/>
    <mergeCell ref="KEF40:KEV40"/>
    <mergeCell ref="KEW40:KFM40"/>
    <mergeCell ref="KFN40:KGD40"/>
    <mergeCell ref="KGE40:KGU40"/>
    <mergeCell ref="KGV40:KHL40"/>
    <mergeCell ref="KAY40:KBO40"/>
    <mergeCell ref="KBP40:KCF40"/>
    <mergeCell ref="KCG40:KCW40"/>
    <mergeCell ref="KCX40:KDN40"/>
    <mergeCell ref="KDO40:KEE40"/>
    <mergeCell ref="JXR40:JYH40"/>
    <mergeCell ref="JYI40:JYY40"/>
    <mergeCell ref="JYZ40:JZP40"/>
    <mergeCell ref="JZQ40:KAG40"/>
    <mergeCell ref="KAH40:KAX40"/>
    <mergeCell ref="JUK40:JVA40"/>
    <mergeCell ref="JVB40:JVR40"/>
    <mergeCell ref="JVS40:JWI40"/>
    <mergeCell ref="JWJ40:JWZ40"/>
    <mergeCell ref="JXA40:JXQ40"/>
    <mergeCell ref="JRD40:JRT40"/>
    <mergeCell ref="JRU40:JSK40"/>
    <mergeCell ref="JSL40:JTB40"/>
    <mergeCell ref="JTC40:JTS40"/>
    <mergeCell ref="JTT40:JUJ40"/>
    <mergeCell ref="JNW40:JOM40"/>
    <mergeCell ref="JON40:JPD40"/>
    <mergeCell ref="JPE40:JPU40"/>
    <mergeCell ref="JPV40:JQL40"/>
    <mergeCell ref="JQM40:JRC40"/>
    <mergeCell ref="JKP40:JLF40"/>
    <mergeCell ref="JLG40:JLW40"/>
    <mergeCell ref="JLX40:JMN40"/>
    <mergeCell ref="JMO40:JNE40"/>
    <mergeCell ref="JNF40:JNV40"/>
    <mergeCell ref="JHI40:JHY40"/>
    <mergeCell ref="JHZ40:JIP40"/>
    <mergeCell ref="JIQ40:JJG40"/>
    <mergeCell ref="JJH40:JJX40"/>
    <mergeCell ref="JJY40:JKO40"/>
    <mergeCell ref="JEB40:JER40"/>
    <mergeCell ref="JES40:JFI40"/>
    <mergeCell ref="JFJ40:JFZ40"/>
    <mergeCell ref="JGA40:JGQ40"/>
    <mergeCell ref="JGR40:JHH40"/>
    <mergeCell ref="JAU40:JBK40"/>
    <mergeCell ref="JBL40:JCB40"/>
    <mergeCell ref="JCC40:JCS40"/>
    <mergeCell ref="JCT40:JDJ40"/>
    <mergeCell ref="JDK40:JEA40"/>
    <mergeCell ref="IXN40:IYD40"/>
    <mergeCell ref="IYE40:IYU40"/>
    <mergeCell ref="IYV40:IZL40"/>
    <mergeCell ref="IZM40:JAC40"/>
    <mergeCell ref="JAD40:JAT40"/>
    <mergeCell ref="IUG40:IUW40"/>
    <mergeCell ref="IUX40:IVN40"/>
    <mergeCell ref="IVO40:IWE40"/>
    <mergeCell ref="IWF40:IWV40"/>
    <mergeCell ref="IWW40:IXM40"/>
    <mergeCell ref="IQZ40:IRP40"/>
    <mergeCell ref="IRQ40:ISG40"/>
    <mergeCell ref="ISH40:ISX40"/>
    <mergeCell ref="ISY40:ITO40"/>
    <mergeCell ref="ITP40:IUF40"/>
    <mergeCell ref="INS40:IOI40"/>
    <mergeCell ref="IOJ40:IOZ40"/>
    <mergeCell ref="IPA40:IPQ40"/>
    <mergeCell ref="IPR40:IQH40"/>
    <mergeCell ref="IQI40:IQY40"/>
    <mergeCell ref="IKL40:ILB40"/>
    <mergeCell ref="ILC40:ILS40"/>
    <mergeCell ref="ILT40:IMJ40"/>
    <mergeCell ref="IMK40:INA40"/>
    <mergeCell ref="INB40:INR40"/>
    <mergeCell ref="IHE40:IHU40"/>
    <mergeCell ref="IHV40:IIL40"/>
    <mergeCell ref="IIM40:IJC40"/>
    <mergeCell ref="IJD40:IJT40"/>
    <mergeCell ref="IJU40:IKK40"/>
    <mergeCell ref="IDX40:IEN40"/>
    <mergeCell ref="IEO40:IFE40"/>
    <mergeCell ref="IFF40:IFV40"/>
    <mergeCell ref="IFW40:IGM40"/>
    <mergeCell ref="IGN40:IHD40"/>
    <mergeCell ref="IAQ40:IBG40"/>
    <mergeCell ref="IBH40:IBX40"/>
    <mergeCell ref="IBY40:ICO40"/>
    <mergeCell ref="ICP40:IDF40"/>
    <mergeCell ref="IDG40:IDW40"/>
    <mergeCell ref="HXJ40:HXZ40"/>
    <mergeCell ref="HYA40:HYQ40"/>
    <mergeCell ref="HYR40:HZH40"/>
    <mergeCell ref="HZI40:HZY40"/>
    <mergeCell ref="HZZ40:IAP40"/>
    <mergeCell ref="HUC40:HUS40"/>
    <mergeCell ref="HUT40:HVJ40"/>
    <mergeCell ref="HVK40:HWA40"/>
    <mergeCell ref="HWB40:HWR40"/>
    <mergeCell ref="HWS40:HXI40"/>
    <mergeCell ref="HQV40:HRL40"/>
    <mergeCell ref="HRM40:HSC40"/>
    <mergeCell ref="HSD40:HST40"/>
    <mergeCell ref="HSU40:HTK40"/>
    <mergeCell ref="HTL40:HUB40"/>
    <mergeCell ref="HNO40:HOE40"/>
    <mergeCell ref="HOF40:HOV40"/>
    <mergeCell ref="HOW40:HPM40"/>
    <mergeCell ref="HPN40:HQD40"/>
    <mergeCell ref="HQE40:HQU40"/>
    <mergeCell ref="HKH40:HKX40"/>
    <mergeCell ref="HKY40:HLO40"/>
    <mergeCell ref="HLP40:HMF40"/>
    <mergeCell ref="HMG40:HMW40"/>
    <mergeCell ref="HMX40:HNN40"/>
    <mergeCell ref="HHA40:HHQ40"/>
    <mergeCell ref="HHR40:HIH40"/>
    <mergeCell ref="HII40:HIY40"/>
    <mergeCell ref="HIZ40:HJP40"/>
    <mergeCell ref="HJQ40:HKG40"/>
    <mergeCell ref="HDT40:HEJ40"/>
    <mergeCell ref="HEK40:HFA40"/>
    <mergeCell ref="HFB40:HFR40"/>
    <mergeCell ref="HFS40:HGI40"/>
    <mergeCell ref="HGJ40:HGZ40"/>
    <mergeCell ref="HAM40:HBC40"/>
    <mergeCell ref="HBD40:HBT40"/>
    <mergeCell ref="HBU40:HCK40"/>
    <mergeCell ref="HCL40:HDB40"/>
    <mergeCell ref="HDC40:HDS40"/>
    <mergeCell ref="GXF40:GXV40"/>
    <mergeCell ref="GXW40:GYM40"/>
    <mergeCell ref="GYN40:GZD40"/>
    <mergeCell ref="GZE40:GZU40"/>
    <mergeCell ref="GZV40:HAL40"/>
    <mergeCell ref="GTY40:GUO40"/>
    <mergeCell ref="GUP40:GVF40"/>
    <mergeCell ref="GVG40:GVW40"/>
    <mergeCell ref="GVX40:GWN40"/>
    <mergeCell ref="GWO40:GXE40"/>
    <mergeCell ref="GQR40:GRH40"/>
    <mergeCell ref="GRI40:GRY40"/>
    <mergeCell ref="GRZ40:GSP40"/>
    <mergeCell ref="GSQ40:GTG40"/>
    <mergeCell ref="GTH40:GTX40"/>
    <mergeCell ref="GNK40:GOA40"/>
    <mergeCell ref="GOB40:GOR40"/>
    <mergeCell ref="GOS40:GPI40"/>
    <mergeCell ref="GPJ40:GPZ40"/>
    <mergeCell ref="GQA40:GQQ40"/>
    <mergeCell ref="GKD40:GKT40"/>
    <mergeCell ref="GKU40:GLK40"/>
    <mergeCell ref="GLL40:GMB40"/>
    <mergeCell ref="GMC40:GMS40"/>
    <mergeCell ref="GMT40:GNJ40"/>
    <mergeCell ref="GGW40:GHM40"/>
    <mergeCell ref="GHN40:GID40"/>
    <mergeCell ref="GIE40:GIU40"/>
    <mergeCell ref="GIV40:GJL40"/>
    <mergeCell ref="GJM40:GKC40"/>
    <mergeCell ref="GDP40:GEF40"/>
    <mergeCell ref="GEG40:GEW40"/>
    <mergeCell ref="GEX40:GFN40"/>
    <mergeCell ref="GFO40:GGE40"/>
    <mergeCell ref="GGF40:GGV40"/>
    <mergeCell ref="GAI40:GAY40"/>
    <mergeCell ref="GAZ40:GBP40"/>
    <mergeCell ref="GBQ40:GCG40"/>
    <mergeCell ref="GCH40:GCX40"/>
    <mergeCell ref="GCY40:GDO40"/>
    <mergeCell ref="FXB40:FXR40"/>
    <mergeCell ref="FXS40:FYI40"/>
    <mergeCell ref="FYJ40:FYZ40"/>
    <mergeCell ref="FZA40:FZQ40"/>
    <mergeCell ref="FZR40:GAH40"/>
    <mergeCell ref="FTU40:FUK40"/>
    <mergeCell ref="FUL40:FVB40"/>
    <mergeCell ref="FVC40:FVS40"/>
    <mergeCell ref="FVT40:FWJ40"/>
    <mergeCell ref="FWK40:FXA40"/>
    <mergeCell ref="FQN40:FRD40"/>
    <mergeCell ref="FRE40:FRU40"/>
    <mergeCell ref="FRV40:FSL40"/>
    <mergeCell ref="FSM40:FTC40"/>
    <mergeCell ref="FTD40:FTT40"/>
    <mergeCell ref="FNG40:FNW40"/>
    <mergeCell ref="FNX40:FON40"/>
    <mergeCell ref="FOO40:FPE40"/>
    <mergeCell ref="FPF40:FPV40"/>
    <mergeCell ref="FPW40:FQM40"/>
    <mergeCell ref="FJZ40:FKP40"/>
    <mergeCell ref="FKQ40:FLG40"/>
    <mergeCell ref="FLH40:FLX40"/>
    <mergeCell ref="FLY40:FMO40"/>
    <mergeCell ref="FMP40:FNF40"/>
    <mergeCell ref="FGS40:FHI40"/>
    <mergeCell ref="FHJ40:FHZ40"/>
    <mergeCell ref="FIA40:FIQ40"/>
    <mergeCell ref="FIR40:FJH40"/>
    <mergeCell ref="FJI40:FJY40"/>
    <mergeCell ref="FDL40:FEB40"/>
    <mergeCell ref="FEC40:FES40"/>
    <mergeCell ref="FET40:FFJ40"/>
    <mergeCell ref="FFK40:FGA40"/>
    <mergeCell ref="FGB40:FGR40"/>
    <mergeCell ref="FAE40:FAU40"/>
    <mergeCell ref="FAV40:FBL40"/>
    <mergeCell ref="FBM40:FCC40"/>
    <mergeCell ref="FCD40:FCT40"/>
    <mergeCell ref="FCU40:FDK40"/>
    <mergeCell ref="EWX40:EXN40"/>
    <mergeCell ref="EXO40:EYE40"/>
    <mergeCell ref="EYF40:EYV40"/>
    <mergeCell ref="EYW40:EZM40"/>
    <mergeCell ref="EZN40:FAD40"/>
    <mergeCell ref="ETQ40:EUG40"/>
    <mergeCell ref="EUH40:EUX40"/>
    <mergeCell ref="EUY40:EVO40"/>
    <mergeCell ref="EVP40:EWF40"/>
    <mergeCell ref="EWG40:EWW40"/>
    <mergeCell ref="EQJ40:EQZ40"/>
    <mergeCell ref="ERA40:ERQ40"/>
    <mergeCell ref="ERR40:ESH40"/>
    <mergeCell ref="ESI40:ESY40"/>
    <mergeCell ref="ESZ40:ETP40"/>
    <mergeCell ref="ENC40:ENS40"/>
    <mergeCell ref="ENT40:EOJ40"/>
    <mergeCell ref="EOK40:EPA40"/>
    <mergeCell ref="EPB40:EPR40"/>
    <mergeCell ref="EPS40:EQI40"/>
    <mergeCell ref="EJV40:EKL40"/>
    <mergeCell ref="EKM40:ELC40"/>
    <mergeCell ref="ELD40:ELT40"/>
    <mergeCell ref="ELU40:EMK40"/>
    <mergeCell ref="EML40:ENB40"/>
    <mergeCell ref="EGO40:EHE40"/>
    <mergeCell ref="EHF40:EHV40"/>
    <mergeCell ref="EHW40:EIM40"/>
    <mergeCell ref="EIN40:EJD40"/>
    <mergeCell ref="EJE40:EJU40"/>
    <mergeCell ref="EDH40:EDX40"/>
    <mergeCell ref="EDY40:EEO40"/>
    <mergeCell ref="EEP40:EFF40"/>
    <mergeCell ref="EFG40:EFW40"/>
    <mergeCell ref="EFX40:EGN40"/>
    <mergeCell ref="EAA40:EAQ40"/>
    <mergeCell ref="EAR40:EBH40"/>
    <mergeCell ref="EBI40:EBY40"/>
    <mergeCell ref="EBZ40:ECP40"/>
    <mergeCell ref="ECQ40:EDG40"/>
    <mergeCell ref="DWT40:DXJ40"/>
    <mergeCell ref="DXK40:DYA40"/>
    <mergeCell ref="DYB40:DYR40"/>
    <mergeCell ref="DYS40:DZI40"/>
    <mergeCell ref="DZJ40:DZZ40"/>
    <mergeCell ref="DTM40:DUC40"/>
    <mergeCell ref="DUD40:DUT40"/>
    <mergeCell ref="DUU40:DVK40"/>
    <mergeCell ref="DVL40:DWB40"/>
    <mergeCell ref="DWC40:DWS40"/>
    <mergeCell ref="DQF40:DQV40"/>
    <mergeCell ref="DQW40:DRM40"/>
    <mergeCell ref="DRN40:DSD40"/>
    <mergeCell ref="DSE40:DSU40"/>
    <mergeCell ref="DSV40:DTL40"/>
    <mergeCell ref="DMY40:DNO40"/>
    <mergeCell ref="DNP40:DOF40"/>
    <mergeCell ref="DOG40:DOW40"/>
    <mergeCell ref="DOX40:DPN40"/>
    <mergeCell ref="DPO40:DQE40"/>
    <mergeCell ref="DJR40:DKH40"/>
    <mergeCell ref="DKI40:DKY40"/>
    <mergeCell ref="DKZ40:DLP40"/>
    <mergeCell ref="DLQ40:DMG40"/>
    <mergeCell ref="DMH40:DMX40"/>
    <mergeCell ref="DGK40:DHA40"/>
    <mergeCell ref="DHB40:DHR40"/>
    <mergeCell ref="DHS40:DII40"/>
    <mergeCell ref="DIJ40:DIZ40"/>
    <mergeCell ref="DJA40:DJQ40"/>
    <mergeCell ref="DDD40:DDT40"/>
    <mergeCell ref="DDU40:DEK40"/>
    <mergeCell ref="DEL40:DFB40"/>
    <mergeCell ref="DFC40:DFS40"/>
    <mergeCell ref="DFT40:DGJ40"/>
    <mergeCell ref="CZW40:DAM40"/>
    <mergeCell ref="DAN40:DBD40"/>
    <mergeCell ref="DBE40:DBU40"/>
    <mergeCell ref="DBV40:DCL40"/>
    <mergeCell ref="DCM40:DDC40"/>
    <mergeCell ref="CWP40:CXF40"/>
    <mergeCell ref="CXG40:CXW40"/>
    <mergeCell ref="CXX40:CYN40"/>
    <mergeCell ref="CYO40:CZE40"/>
    <mergeCell ref="CZF40:CZV40"/>
    <mergeCell ref="CTI40:CTY40"/>
    <mergeCell ref="CTZ40:CUP40"/>
    <mergeCell ref="CUQ40:CVG40"/>
    <mergeCell ref="CVH40:CVX40"/>
    <mergeCell ref="CVY40:CWO40"/>
    <mergeCell ref="CQB40:CQR40"/>
    <mergeCell ref="CQS40:CRI40"/>
    <mergeCell ref="CRJ40:CRZ40"/>
    <mergeCell ref="CSA40:CSQ40"/>
    <mergeCell ref="CSR40:CTH40"/>
    <mergeCell ref="CMU40:CNK40"/>
    <mergeCell ref="CNL40:COB40"/>
    <mergeCell ref="COC40:COS40"/>
    <mergeCell ref="COT40:CPJ40"/>
    <mergeCell ref="CPK40:CQA40"/>
    <mergeCell ref="CJN40:CKD40"/>
    <mergeCell ref="CKE40:CKU40"/>
    <mergeCell ref="CKV40:CLL40"/>
    <mergeCell ref="CLM40:CMC40"/>
    <mergeCell ref="CMD40:CMT40"/>
    <mergeCell ref="CGG40:CGW40"/>
    <mergeCell ref="CGX40:CHN40"/>
    <mergeCell ref="CHO40:CIE40"/>
    <mergeCell ref="CIF40:CIV40"/>
    <mergeCell ref="CIW40:CJM40"/>
    <mergeCell ref="CCZ40:CDP40"/>
    <mergeCell ref="CDQ40:CEG40"/>
    <mergeCell ref="CEH40:CEX40"/>
    <mergeCell ref="CEY40:CFO40"/>
    <mergeCell ref="CFP40:CGF40"/>
    <mergeCell ref="BZS40:CAI40"/>
    <mergeCell ref="CAJ40:CAZ40"/>
    <mergeCell ref="CBA40:CBQ40"/>
    <mergeCell ref="CBR40:CCH40"/>
    <mergeCell ref="CCI40:CCY40"/>
    <mergeCell ref="BWL40:BXB40"/>
    <mergeCell ref="BXC40:BXS40"/>
    <mergeCell ref="BXT40:BYJ40"/>
    <mergeCell ref="BYK40:BZA40"/>
    <mergeCell ref="BZB40:BZR40"/>
    <mergeCell ref="BTE40:BTU40"/>
    <mergeCell ref="BTV40:BUL40"/>
    <mergeCell ref="BUM40:BVC40"/>
    <mergeCell ref="BVD40:BVT40"/>
    <mergeCell ref="BVU40:BWK40"/>
    <mergeCell ref="BPX40:BQN40"/>
    <mergeCell ref="BQO40:BRE40"/>
    <mergeCell ref="BRF40:BRV40"/>
    <mergeCell ref="BRW40:BSM40"/>
    <mergeCell ref="BSN40:BTD40"/>
    <mergeCell ref="BMQ40:BNG40"/>
    <mergeCell ref="BNH40:BNX40"/>
    <mergeCell ref="BNY40:BOO40"/>
    <mergeCell ref="BOP40:BPF40"/>
    <mergeCell ref="BPG40:BPW40"/>
    <mergeCell ref="BJJ40:BJZ40"/>
    <mergeCell ref="BKA40:BKQ40"/>
    <mergeCell ref="BKR40:BLH40"/>
    <mergeCell ref="BLI40:BLY40"/>
    <mergeCell ref="BLZ40:BMP40"/>
    <mergeCell ref="BGC40:BGS40"/>
    <mergeCell ref="BGT40:BHJ40"/>
    <mergeCell ref="BHK40:BIA40"/>
    <mergeCell ref="BIB40:BIR40"/>
    <mergeCell ref="BIS40:BJI40"/>
    <mergeCell ref="BCV40:BDL40"/>
    <mergeCell ref="BDM40:BEC40"/>
    <mergeCell ref="BED40:BET40"/>
    <mergeCell ref="BEU40:BFK40"/>
    <mergeCell ref="BFL40:BGB40"/>
    <mergeCell ref="AZO40:BAE40"/>
    <mergeCell ref="BAF40:BAV40"/>
    <mergeCell ref="BAW40:BBM40"/>
    <mergeCell ref="BBN40:BCD40"/>
    <mergeCell ref="BCE40:BCU40"/>
    <mergeCell ref="AWH40:AWX40"/>
    <mergeCell ref="AWY40:AXO40"/>
    <mergeCell ref="AXP40:AYF40"/>
    <mergeCell ref="AYG40:AYW40"/>
    <mergeCell ref="AYX40:AZN40"/>
    <mergeCell ref="ATA40:ATQ40"/>
    <mergeCell ref="ATR40:AUH40"/>
    <mergeCell ref="AUI40:AUY40"/>
    <mergeCell ref="AUZ40:AVP40"/>
    <mergeCell ref="AVQ40:AWG40"/>
    <mergeCell ref="APT40:AQJ40"/>
    <mergeCell ref="AQK40:ARA40"/>
    <mergeCell ref="ARB40:ARR40"/>
    <mergeCell ref="ARS40:ASI40"/>
    <mergeCell ref="ASJ40:ASZ40"/>
    <mergeCell ref="AMM40:ANC40"/>
    <mergeCell ref="AND40:ANT40"/>
    <mergeCell ref="ANU40:AOK40"/>
    <mergeCell ref="AOL40:APB40"/>
    <mergeCell ref="APC40:APS40"/>
    <mergeCell ref="AJF40:AJV40"/>
    <mergeCell ref="AJW40:AKM40"/>
    <mergeCell ref="AKN40:ALD40"/>
    <mergeCell ref="ALE40:ALU40"/>
    <mergeCell ref="ALV40:AML40"/>
    <mergeCell ref="AFY40:AGO40"/>
    <mergeCell ref="AGP40:AHF40"/>
    <mergeCell ref="AHG40:AHW40"/>
    <mergeCell ref="AHX40:AIN40"/>
    <mergeCell ref="AIO40:AJE40"/>
    <mergeCell ref="ACR40:ADH40"/>
    <mergeCell ref="ADI40:ADY40"/>
    <mergeCell ref="ADZ40:AEP40"/>
    <mergeCell ref="AEQ40:AFG40"/>
    <mergeCell ref="AFH40:AFX40"/>
    <mergeCell ref="ZK40:AAA40"/>
    <mergeCell ref="AAB40:AAR40"/>
    <mergeCell ref="AAS40:ABI40"/>
    <mergeCell ref="ABJ40:ABZ40"/>
    <mergeCell ref="ACA40:ACQ40"/>
    <mergeCell ref="WD40:WT40"/>
    <mergeCell ref="WU40:XK40"/>
    <mergeCell ref="XL40:YB40"/>
    <mergeCell ref="YC40:YS40"/>
    <mergeCell ref="YT40:ZJ40"/>
    <mergeCell ref="SW40:TM40"/>
    <mergeCell ref="TN40:UD40"/>
    <mergeCell ref="UE40:UU40"/>
    <mergeCell ref="UV40:VL40"/>
    <mergeCell ref="VM40:WC40"/>
    <mergeCell ref="PP40:QF40"/>
    <mergeCell ref="QG40:QW40"/>
    <mergeCell ref="QX40:RN40"/>
    <mergeCell ref="RO40:SE40"/>
    <mergeCell ref="SF40:SV40"/>
    <mergeCell ref="MI40:MY40"/>
    <mergeCell ref="MZ40:NP40"/>
    <mergeCell ref="NQ40:OG40"/>
    <mergeCell ref="OH40:OX40"/>
    <mergeCell ref="OY40:PO40"/>
    <mergeCell ref="JB40:JR40"/>
    <mergeCell ref="JS40:KI40"/>
    <mergeCell ref="KJ40:KZ40"/>
    <mergeCell ref="LA40:LQ40"/>
    <mergeCell ref="LR40:MH40"/>
    <mergeCell ref="FU40:GK40"/>
    <mergeCell ref="GL40:HB40"/>
    <mergeCell ref="HC40:HS40"/>
    <mergeCell ref="HT40:IJ40"/>
    <mergeCell ref="IK40:JA40"/>
    <mergeCell ref="CN40:DD40"/>
    <mergeCell ref="DE40:DU40"/>
    <mergeCell ref="DV40:EL40"/>
    <mergeCell ref="EM40:FC40"/>
    <mergeCell ref="FD40:FT40"/>
    <mergeCell ref="AX40:BM40"/>
    <mergeCell ref="BN40:BP40"/>
    <mergeCell ref="BQ40:BV40"/>
    <mergeCell ref="BW40:CM40"/>
    <mergeCell ref="XAZ39:XBP39"/>
    <mergeCell ref="XBQ39:XCG39"/>
    <mergeCell ref="XCH39:XCX39"/>
    <mergeCell ref="WNX39:WON39"/>
    <mergeCell ref="WOO39:WPE39"/>
    <mergeCell ref="WPF39:WPV39"/>
    <mergeCell ref="WPW39:WQM39"/>
    <mergeCell ref="WQN39:WRD39"/>
    <mergeCell ref="WKQ39:WLG39"/>
    <mergeCell ref="WLH39:WLX39"/>
    <mergeCell ref="WLY39:WMO39"/>
    <mergeCell ref="WMP39:WNF39"/>
    <mergeCell ref="WNG39:WNW39"/>
    <mergeCell ref="WHJ39:WHZ39"/>
    <mergeCell ref="WIA39:WIQ39"/>
    <mergeCell ref="WIR39:WJH39"/>
    <mergeCell ref="WJI39:WJY39"/>
    <mergeCell ref="WJZ39:WKP39"/>
    <mergeCell ref="XCY39:XDO39"/>
    <mergeCell ref="XDP39:XEB39"/>
    <mergeCell ref="WXS39:WYI39"/>
    <mergeCell ref="WYJ39:WYZ39"/>
    <mergeCell ref="WZA39:WZQ39"/>
    <mergeCell ref="WZR39:XAH39"/>
    <mergeCell ref="XAI39:XAY39"/>
    <mergeCell ref="WUL39:WVB39"/>
    <mergeCell ref="WVC39:WVS39"/>
    <mergeCell ref="WVT39:WWJ39"/>
    <mergeCell ref="WWK39:WXA39"/>
    <mergeCell ref="WXB39:WXR39"/>
    <mergeCell ref="WRE39:WRU39"/>
    <mergeCell ref="WRV39:WSL39"/>
    <mergeCell ref="WSM39:WTC39"/>
    <mergeCell ref="WTD39:WTT39"/>
    <mergeCell ref="WTU39:WUK39"/>
    <mergeCell ref="WEC39:WES39"/>
    <mergeCell ref="WET39:WFJ39"/>
    <mergeCell ref="WFK39:WGA39"/>
    <mergeCell ref="WGB39:WGR39"/>
    <mergeCell ref="WGS39:WHI39"/>
    <mergeCell ref="WAV39:WBL39"/>
    <mergeCell ref="WBM39:WCC39"/>
    <mergeCell ref="WCD39:WCT39"/>
    <mergeCell ref="WCU39:WDK39"/>
    <mergeCell ref="WDL39:WEB39"/>
    <mergeCell ref="VXO39:VYE39"/>
    <mergeCell ref="VYF39:VYV39"/>
    <mergeCell ref="VYW39:VZM39"/>
    <mergeCell ref="VZN39:WAD39"/>
    <mergeCell ref="WAE39:WAU39"/>
    <mergeCell ref="VUH39:VUX39"/>
    <mergeCell ref="VUY39:VVO39"/>
    <mergeCell ref="VVP39:VWF39"/>
    <mergeCell ref="VWG39:VWW39"/>
    <mergeCell ref="VWX39:VXN39"/>
    <mergeCell ref="VRA39:VRQ39"/>
    <mergeCell ref="VRR39:VSH39"/>
    <mergeCell ref="VSI39:VSY39"/>
    <mergeCell ref="VSZ39:VTP39"/>
    <mergeCell ref="VTQ39:VUG39"/>
    <mergeCell ref="VNT39:VOJ39"/>
    <mergeCell ref="VOK39:VPA39"/>
    <mergeCell ref="VPB39:VPR39"/>
    <mergeCell ref="VPS39:VQI39"/>
    <mergeCell ref="VQJ39:VQZ39"/>
    <mergeCell ref="VKM39:VLC39"/>
    <mergeCell ref="VLD39:VLT39"/>
    <mergeCell ref="VLU39:VMK39"/>
    <mergeCell ref="VML39:VNB39"/>
    <mergeCell ref="VNC39:VNS39"/>
    <mergeCell ref="VHF39:VHV39"/>
    <mergeCell ref="VHW39:VIM39"/>
    <mergeCell ref="VIN39:VJD39"/>
    <mergeCell ref="VJE39:VJU39"/>
    <mergeCell ref="VJV39:VKL39"/>
    <mergeCell ref="VDY39:VEO39"/>
    <mergeCell ref="VEP39:VFF39"/>
    <mergeCell ref="VFG39:VFW39"/>
    <mergeCell ref="VFX39:VGN39"/>
    <mergeCell ref="VGO39:VHE39"/>
    <mergeCell ref="VAR39:VBH39"/>
    <mergeCell ref="VBI39:VBY39"/>
    <mergeCell ref="VBZ39:VCP39"/>
    <mergeCell ref="VCQ39:VDG39"/>
    <mergeCell ref="VDH39:VDX39"/>
    <mergeCell ref="UXK39:UYA39"/>
    <mergeCell ref="UYB39:UYR39"/>
    <mergeCell ref="UYS39:UZI39"/>
    <mergeCell ref="UZJ39:UZZ39"/>
    <mergeCell ref="VAA39:VAQ39"/>
    <mergeCell ref="UUD39:UUT39"/>
    <mergeCell ref="UUU39:UVK39"/>
    <mergeCell ref="UVL39:UWB39"/>
    <mergeCell ref="UWC39:UWS39"/>
    <mergeCell ref="UWT39:UXJ39"/>
    <mergeCell ref="UQW39:URM39"/>
    <mergeCell ref="URN39:USD39"/>
    <mergeCell ref="USE39:USU39"/>
    <mergeCell ref="USV39:UTL39"/>
    <mergeCell ref="UTM39:UUC39"/>
    <mergeCell ref="UNP39:UOF39"/>
    <mergeCell ref="UOG39:UOW39"/>
    <mergeCell ref="UOX39:UPN39"/>
    <mergeCell ref="UPO39:UQE39"/>
    <mergeCell ref="UQF39:UQV39"/>
    <mergeCell ref="UKI39:UKY39"/>
    <mergeCell ref="UKZ39:ULP39"/>
    <mergeCell ref="ULQ39:UMG39"/>
    <mergeCell ref="UMH39:UMX39"/>
    <mergeCell ref="UMY39:UNO39"/>
    <mergeCell ref="UHB39:UHR39"/>
    <mergeCell ref="UHS39:UII39"/>
    <mergeCell ref="UIJ39:UIZ39"/>
    <mergeCell ref="UJA39:UJQ39"/>
    <mergeCell ref="UJR39:UKH39"/>
    <mergeCell ref="UDU39:UEK39"/>
    <mergeCell ref="UEL39:UFB39"/>
    <mergeCell ref="UFC39:UFS39"/>
    <mergeCell ref="UFT39:UGJ39"/>
    <mergeCell ref="UGK39:UHA39"/>
    <mergeCell ref="UAN39:UBD39"/>
    <mergeCell ref="UBE39:UBU39"/>
    <mergeCell ref="UBV39:UCL39"/>
    <mergeCell ref="UCM39:UDC39"/>
    <mergeCell ref="UDD39:UDT39"/>
    <mergeCell ref="TXG39:TXW39"/>
    <mergeCell ref="TXX39:TYN39"/>
    <mergeCell ref="TYO39:TZE39"/>
    <mergeCell ref="TZF39:TZV39"/>
    <mergeCell ref="TZW39:UAM39"/>
    <mergeCell ref="TTZ39:TUP39"/>
    <mergeCell ref="TUQ39:TVG39"/>
    <mergeCell ref="TVH39:TVX39"/>
    <mergeCell ref="TVY39:TWO39"/>
    <mergeCell ref="TWP39:TXF39"/>
    <mergeCell ref="TQS39:TRI39"/>
    <mergeCell ref="TRJ39:TRZ39"/>
    <mergeCell ref="TSA39:TSQ39"/>
    <mergeCell ref="TSR39:TTH39"/>
    <mergeCell ref="TTI39:TTY39"/>
    <mergeCell ref="TNL39:TOB39"/>
    <mergeCell ref="TOC39:TOS39"/>
    <mergeCell ref="TOT39:TPJ39"/>
    <mergeCell ref="TPK39:TQA39"/>
    <mergeCell ref="TQB39:TQR39"/>
    <mergeCell ref="TKE39:TKU39"/>
    <mergeCell ref="TKV39:TLL39"/>
    <mergeCell ref="TLM39:TMC39"/>
    <mergeCell ref="TMD39:TMT39"/>
    <mergeCell ref="TMU39:TNK39"/>
    <mergeCell ref="TGX39:THN39"/>
    <mergeCell ref="THO39:TIE39"/>
    <mergeCell ref="TIF39:TIV39"/>
    <mergeCell ref="TIW39:TJM39"/>
    <mergeCell ref="TJN39:TKD39"/>
    <mergeCell ref="TDQ39:TEG39"/>
    <mergeCell ref="TEH39:TEX39"/>
    <mergeCell ref="TEY39:TFO39"/>
    <mergeCell ref="TFP39:TGF39"/>
    <mergeCell ref="TGG39:TGW39"/>
    <mergeCell ref="TAJ39:TAZ39"/>
    <mergeCell ref="TBA39:TBQ39"/>
    <mergeCell ref="TBR39:TCH39"/>
    <mergeCell ref="TCI39:TCY39"/>
    <mergeCell ref="TCZ39:TDP39"/>
    <mergeCell ref="SXC39:SXS39"/>
    <mergeCell ref="SXT39:SYJ39"/>
    <mergeCell ref="SYK39:SZA39"/>
    <mergeCell ref="SZB39:SZR39"/>
    <mergeCell ref="SZS39:TAI39"/>
    <mergeCell ref="STV39:SUL39"/>
    <mergeCell ref="SUM39:SVC39"/>
    <mergeCell ref="SVD39:SVT39"/>
    <mergeCell ref="SVU39:SWK39"/>
    <mergeCell ref="SWL39:SXB39"/>
    <mergeCell ref="SQO39:SRE39"/>
    <mergeCell ref="SRF39:SRV39"/>
    <mergeCell ref="SRW39:SSM39"/>
    <mergeCell ref="SSN39:STD39"/>
    <mergeCell ref="STE39:STU39"/>
    <mergeCell ref="SNH39:SNX39"/>
    <mergeCell ref="SNY39:SOO39"/>
    <mergeCell ref="SOP39:SPF39"/>
    <mergeCell ref="SPG39:SPW39"/>
    <mergeCell ref="SPX39:SQN39"/>
    <mergeCell ref="SKA39:SKQ39"/>
    <mergeCell ref="SKR39:SLH39"/>
    <mergeCell ref="SLI39:SLY39"/>
    <mergeCell ref="SLZ39:SMP39"/>
    <mergeCell ref="SMQ39:SNG39"/>
    <mergeCell ref="SGT39:SHJ39"/>
    <mergeCell ref="SHK39:SIA39"/>
    <mergeCell ref="SIB39:SIR39"/>
    <mergeCell ref="SIS39:SJI39"/>
    <mergeCell ref="SJJ39:SJZ39"/>
    <mergeCell ref="SDM39:SEC39"/>
    <mergeCell ref="SED39:SET39"/>
    <mergeCell ref="SEU39:SFK39"/>
    <mergeCell ref="SFL39:SGB39"/>
    <mergeCell ref="SGC39:SGS39"/>
    <mergeCell ref="SAF39:SAV39"/>
    <mergeCell ref="SAW39:SBM39"/>
    <mergeCell ref="SBN39:SCD39"/>
    <mergeCell ref="SCE39:SCU39"/>
    <mergeCell ref="SCV39:SDL39"/>
    <mergeCell ref="RWY39:RXO39"/>
    <mergeCell ref="RXP39:RYF39"/>
    <mergeCell ref="RYG39:RYW39"/>
    <mergeCell ref="RYX39:RZN39"/>
    <mergeCell ref="RZO39:SAE39"/>
    <mergeCell ref="RTR39:RUH39"/>
    <mergeCell ref="RUI39:RUY39"/>
    <mergeCell ref="RUZ39:RVP39"/>
    <mergeCell ref="RVQ39:RWG39"/>
    <mergeCell ref="RWH39:RWX39"/>
    <mergeCell ref="RQK39:RRA39"/>
    <mergeCell ref="RRB39:RRR39"/>
    <mergeCell ref="RRS39:RSI39"/>
    <mergeCell ref="RSJ39:RSZ39"/>
    <mergeCell ref="RTA39:RTQ39"/>
    <mergeCell ref="RND39:RNT39"/>
    <mergeCell ref="RNU39:ROK39"/>
    <mergeCell ref="ROL39:RPB39"/>
    <mergeCell ref="RPC39:RPS39"/>
    <mergeCell ref="RPT39:RQJ39"/>
    <mergeCell ref="RJW39:RKM39"/>
    <mergeCell ref="RKN39:RLD39"/>
    <mergeCell ref="RLE39:RLU39"/>
    <mergeCell ref="RLV39:RML39"/>
    <mergeCell ref="RMM39:RNC39"/>
    <mergeCell ref="RGP39:RHF39"/>
    <mergeCell ref="RHG39:RHW39"/>
    <mergeCell ref="RHX39:RIN39"/>
    <mergeCell ref="RIO39:RJE39"/>
    <mergeCell ref="RJF39:RJV39"/>
    <mergeCell ref="RDI39:RDY39"/>
    <mergeCell ref="RDZ39:REP39"/>
    <mergeCell ref="REQ39:RFG39"/>
    <mergeCell ref="RFH39:RFX39"/>
    <mergeCell ref="RFY39:RGO39"/>
    <mergeCell ref="RAB39:RAR39"/>
    <mergeCell ref="RAS39:RBI39"/>
    <mergeCell ref="RBJ39:RBZ39"/>
    <mergeCell ref="RCA39:RCQ39"/>
    <mergeCell ref="RCR39:RDH39"/>
    <mergeCell ref="QWU39:QXK39"/>
    <mergeCell ref="QXL39:QYB39"/>
    <mergeCell ref="QYC39:QYS39"/>
    <mergeCell ref="QYT39:QZJ39"/>
    <mergeCell ref="QZK39:RAA39"/>
    <mergeCell ref="QTN39:QUD39"/>
    <mergeCell ref="QUE39:QUU39"/>
    <mergeCell ref="QUV39:QVL39"/>
    <mergeCell ref="QVM39:QWC39"/>
    <mergeCell ref="QWD39:QWT39"/>
    <mergeCell ref="QQG39:QQW39"/>
    <mergeCell ref="QQX39:QRN39"/>
    <mergeCell ref="QRO39:QSE39"/>
    <mergeCell ref="QSF39:QSV39"/>
    <mergeCell ref="QSW39:QTM39"/>
    <mergeCell ref="QMZ39:QNP39"/>
    <mergeCell ref="QNQ39:QOG39"/>
    <mergeCell ref="QOH39:QOX39"/>
    <mergeCell ref="QOY39:QPO39"/>
    <mergeCell ref="QPP39:QQF39"/>
    <mergeCell ref="QJS39:QKI39"/>
    <mergeCell ref="QKJ39:QKZ39"/>
    <mergeCell ref="QLA39:QLQ39"/>
    <mergeCell ref="QLR39:QMH39"/>
    <mergeCell ref="QMI39:QMY39"/>
    <mergeCell ref="QGL39:QHB39"/>
    <mergeCell ref="QHC39:QHS39"/>
    <mergeCell ref="QHT39:QIJ39"/>
    <mergeCell ref="QIK39:QJA39"/>
    <mergeCell ref="QJB39:QJR39"/>
    <mergeCell ref="QDE39:QDU39"/>
    <mergeCell ref="QDV39:QEL39"/>
    <mergeCell ref="QEM39:QFC39"/>
    <mergeCell ref="QFD39:QFT39"/>
    <mergeCell ref="QFU39:QGK39"/>
    <mergeCell ref="PZX39:QAN39"/>
    <mergeCell ref="QAO39:QBE39"/>
    <mergeCell ref="QBF39:QBV39"/>
    <mergeCell ref="QBW39:QCM39"/>
    <mergeCell ref="QCN39:QDD39"/>
    <mergeCell ref="PWQ39:PXG39"/>
    <mergeCell ref="PXH39:PXX39"/>
    <mergeCell ref="PXY39:PYO39"/>
    <mergeCell ref="PYP39:PZF39"/>
    <mergeCell ref="PZG39:PZW39"/>
    <mergeCell ref="PTJ39:PTZ39"/>
    <mergeCell ref="PUA39:PUQ39"/>
    <mergeCell ref="PUR39:PVH39"/>
    <mergeCell ref="PVI39:PVY39"/>
    <mergeCell ref="PVZ39:PWP39"/>
    <mergeCell ref="PQC39:PQS39"/>
    <mergeCell ref="PQT39:PRJ39"/>
    <mergeCell ref="PRK39:PSA39"/>
    <mergeCell ref="PSB39:PSR39"/>
    <mergeCell ref="PSS39:PTI39"/>
    <mergeCell ref="PMV39:PNL39"/>
    <mergeCell ref="PNM39:POC39"/>
    <mergeCell ref="POD39:POT39"/>
    <mergeCell ref="POU39:PPK39"/>
    <mergeCell ref="PPL39:PQB39"/>
    <mergeCell ref="PJO39:PKE39"/>
    <mergeCell ref="PKF39:PKV39"/>
    <mergeCell ref="PKW39:PLM39"/>
    <mergeCell ref="PLN39:PMD39"/>
    <mergeCell ref="PME39:PMU39"/>
    <mergeCell ref="PGH39:PGX39"/>
    <mergeCell ref="PGY39:PHO39"/>
    <mergeCell ref="PHP39:PIF39"/>
    <mergeCell ref="PIG39:PIW39"/>
    <mergeCell ref="PIX39:PJN39"/>
    <mergeCell ref="PDA39:PDQ39"/>
    <mergeCell ref="PDR39:PEH39"/>
    <mergeCell ref="PEI39:PEY39"/>
    <mergeCell ref="PEZ39:PFP39"/>
    <mergeCell ref="PFQ39:PGG39"/>
    <mergeCell ref="OZT39:PAJ39"/>
    <mergeCell ref="PAK39:PBA39"/>
    <mergeCell ref="PBB39:PBR39"/>
    <mergeCell ref="PBS39:PCI39"/>
    <mergeCell ref="PCJ39:PCZ39"/>
    <mergeCell ref="OWM39:OXC39"/>
    <mergeCell ref="OXD39:OXT39"/>
    <mergeCell ref="OXU39:OYK39"/>
    <mergeCell ref="OYL39:OZB39"/>
    <mergeCell ref="OZC39:OZS39"/>
    <mergeCell ref="OTF39:OTV39"/>
    <mergeCell ref="OTW39:OUM39"/>
    <mergeCell ref="OUN39:OVD39"/>
    <mergeCell ref="OVE39:OVU39"/>
    <mergeCell ref="OVV39:OWL39"/>
    <mergeCell ref="OPY39:OQO39"/>
    <mergeCell ref="OQP39:ORF39"/>
    <mergeCell ref="ORG39:ORW39"/>
    <mergeCell ref="ORX39:OSN39"/>
    <mergeCell ref="OSO39:OTE39"/>
    <mergeCell ref="OMR39:ONH39"/>
    <mergeCell ref="ONI39:ONY39"/>
    <mergeCell ref="ONZ39:OOP39"/>
    <mergeCell ref="OOQ39:OPG39"/>
    <mergeCell ref="OPH39:OPX39"/>
    <mergeCell ref="OJK39:OKA39"/>
    <mergeCell ref="OKB39:OKR39"/>
    <mergeCell ref="OKS39:OLI39"/>
    <mergeCell ref="OLJ39:OLZ39"/>
    <mergeCell ref="OMA39:OMQ39"/>
    <mergeCell ref="OGD39:OGT39"/>
    <mergeCell ref="OGU39:OHK39"/>
    <mergeCell ref="OHL39:OIB39"/>
    <mergeCell ref="OIC39:OIS39"/>
    <mergeCell ref="OIT39:OJJ39"/>
    <mergeCell ref="OCW39:ODM39"/>
    <mergeCell ref="ODN39:OED39"/>
    <mergeCell ref="OEE39:OEU39"/>
    <mergeCell ref="OEV39:OFL39"/>
    <mergeCell ref="OFM39:OGC39"/>
    <mergeCell ref="NZP39:OAF39"/>
    <mergeCell ref="OAG39:OAW39"/>
    <mergeCell ref="OAX39:OBN39"/>
    <mergeCell ref="OBO39:OCE39"/>
    <mergeCell ref="OCF39:OCV39"/>
    <mergeCell ref="NWI39:NWY39"/>
    <mergeCell ref="NWZ39:NXP39"/>
    <mergeCell ref="NXQ39:NYG39"/>
    <mergeCell ref="NYH39:NYX39"/>
    <mergeCell ref="NYY39:NZO39"/>
    <mergeCell ref="NTB39:NTR39"/>
    <mergeCell ref="NTS39:NUI39"/>
    <mergeCell ref="NUJ39:NUZ39"/>
    <mergeCell ref="NVA39:NVQ39"/>
    <mergeCell ref="NVR39:NWH39"/>
    <mergeCell ref="NPU39:NQK39"/>
    <mergeCell ref="NQL39:NRB39"/>
    <mergeCell ref="NRC39:NRS39"/>
    <mergeCell ref="NRT39:NSJ39"/>
    <mergeCell ref="NSK39:NTA39"/>
    <mergeCell ref="NMN39:NND39"/>
    <mergeCell ref="NNE39:NNU39"/>
    <mergeCell ref="NNV39:NOL39"/>
    <mergeCell ref="NOM39:NPC39"/>
    <mergeCell ref="NPD39:NPT39"/>
    <mergeCell ref="NJG39:NJW39"/>
    <mergeCell ref="NJX39:NKN39"/>
    <mergeCell ref="NKO39:NLE39"/>
    <mergeCell ref="NLF39:NLV39"/>
    <mergeCell ref="NLW39:NMM39"/>
    <mergeCell ref="NFZ39:NGP39"/>
    <mergeCell ref="NGQ39:NHG39"/>
    <mergeCell ref="NHH39:NHX39"/>
    <mergeCell ref="NHY39:NIO39"/>
    <mergeCell ref="NIP39:NJF39"/>
    <mergeCell ref="NCS39:NDI39"/>
    <mergeCell ref="NDJ39:NDZ39"/>
    <mergeCell ref="NEA39:NEQ39"/>
    <mergeCell ref="NER39:NFH39"/>
    <mergeCell ref="NFI39:NFY39"/>
    <mergeCell ref="MZL39:NAB39"/>
    <mergeCell ref="NAC39:NAS39"/>
    <mergeCell ref="NAT39:NBJ39"/>
    <mergeCell ref="NBK39:NCA39"/>
    <mergeCell ref="NCB39:NCR39"/>
    <mergeCell ref="MWE39:MWU39"/>
    <mergeCell ref="MWV39:MXL39"/>
    <mergeCell ref="MXM39:MYC39"/>
    <mergeCell ref="MYD39:MYT39"/>
    <mergeCell ref="MYU39:MZK39"/>
    <mergeCell ref="MSX39:MTN39"/>
    <mergeCell ref="MTO39:MUE39"/>
    <mergeCell ref="MUF39:MUV39"/>
    <mergeCell ref="MUW39:MVM39"/>
    <mergeCell ref="MVN39:MWD39"/>
    <mergeCell ref="MPQ39:MQG39"/>
    <mergeCell ref="MQH39:MQX39"/>
    <mergeCell ref="MQY39:MRO39"/>
    <mergeCell ref="MRP39:MSF39"/>
    <mergeCell ref="MSG39:MSW39"/>
    <mergeCell ref="MMJ39:MMZ39"/>
    <mergeCell ref="MNA39:MNQ39"/>
    <mergeCell ref="MNR39:MOH39"/>
    <mergeCell ref="MOI39:MOY39"/>
    <mergeCell ref="MOZ39:MPP39"/>
    <mergeCell ref="MJC39:MJS39"/>
    <mergeCell ref="MJT39:MKJ39"/>
    <mergeCell ref="MKK39:MLA39"/>
    <mergeCell ref="MLB39:MLR39"/>
    <mergeCell ref="MLS39:MMI39"/>
    <mergeCell ref="MFV39:MGL39"/>
    <mergeCell ref="MGM39:MHC39"/>
    <mergeCell ref="MHD39:MHT39"/>
    <mergeCell ref="MHU39:MIK39"/>
    <mergeCell ref="MIL39:MJB39"/>
    <mergeCell ref="MCO39:MDE39"/>
    <mergeCell ref="MDF39:MDV39"/>
    <mergeCell ref="MDW39:MEM39"/>
    <mergeCell ref="MEN39:MFD39"/>
    <mergeCell ref="MFE39:MFU39"/>
    <mergeCell ref="LZH39:LZX39"/>
    <mergeCell ref="LZY39:MAO39"/>
    <mergeCell ref="MAP39:MBF39"/>
    <mergeCell ref="MBG39:MBW39"/>
    <mergeCell ref="MBX39:MCN39"/>
    <mergeCell ref="LWA39:LWQ39"/>
    <mergeCell ref="LWR39:LXH39"/>
    <mergeCell ref="LXI39:LXY39"/>
    <mergeCell ref="LXZ39:LYP39"/>
    <mergeCell ref="LYQ39:LZG39"/>
    <mergeCell ref="LST39:LTJ39"/>
    <mergeCell ref="LTK39:LUA39"/>
    <mergeCell ref="LUB39:LUR39"/>
    <mergeCell ref="LUS39:LVI39"/>
    <mergeCell ref="LVJ39:LVZ39"/>
    <mergeCell ref="LPM39:LQC39"/>
    <mergeCell ref="LQD39:LQT39"/>
    <mergeCell ref="LQU39:LRK39"/>
    <mergeCell ref="LRL39:LSB39"/>
    <mergeCell ref="LSC39:LSS39"/>
    <mergeCell ref="LMF39:LMV39"/>
    <mergeCell ref="LMW39:LNM39"/>
    <mergeCell ref="LNN39:LOD39"/>
    <mergeCell ref="LOE39:LOU39"/>
    <mergeCell ref="LOV39:LPL39"/>
    <mergeCell ref="LIY39:LJO39"/>
    <mergeCell ref="LJP39:LKF39"/>
    <mergeCell ref="LKG39:LKW39"/>
    <mergeCell ref="LKX39:LLN39"/>
    <mergeCell ref="LLO39:LME39"/>
    <mergeCell ref="LFR39:LGH39"/>
    <mergeCell ref="LGI39:LGY39"/>
    <mergeCell ref="LGZ39:LHP39"/>
    <mergeCell ref="LHQ39:LIG39"/>
    <mergeCell ref="LIH39:LIX39"/>
    <mergeCell ref="LCK39:LDA39"/>
    <mergeCell ref="LDB39:LDR39"/>
    <mergeCell ref="LDS39:LEI39"/>
    <mergeCell ref="LEJ39:LEZ39"/>
    <mergeCell ref="LFA39:LFQ39"/>
    <mergeCell ref="KZD39:KZT39"/>
    <mergeCell ref="KZU39:LAK39"/>
    <mergeCell ref="LAL39:LBB39"/>
    <mergeCell ref="LBC39:LBS39"/>
    <mergeCell ref="LBT39:LCJ39"/>
    <mergeCell ref="KVW39:KWM39"/>
    <mergeCell ref="KWN39:KXD39"/>
    <mergeCell ref="KXE39:KXU39"/>
    <mergeCell ref="KXV39:KYL39"/>
    <mergeCell ref="KYM39:KZC39"/>
    <mergeCell ref="KSP39:KTF39"/>
    <mergeCell ref="KTG39:KTW39"/>
    <mergeCell ref="KTX39:KUN39"/>
    <mergeCell ref="KUO39:KVE39"/>
    <mergeCell ref="KVF39:KVV39"/>
    <mergeCell ref="KPI39:KPY39"/>
    <mergeCell ref="KPZ39:KQP39"/>
    <mergeCell ref="KQQ39:KRG39"/>
    <mergeCell ref="KRH39:KRX39"/>
    <mergeCell ref="KRY39:KSO39"/>
    <mergeCell ref="KMB39:KMR39"/>
    <mergeCell ref="KMS39:KNI39"/>
    <mergeCell ref="KNJ39:KNZ39"/>
    <mergeCell ref="KOA39:KOQ39"/>
    <mergeCell ref="KOR39:KPH39"/>
    <mergeCell ref="KIU39:KJK39"/>
    <mergeCell ref="KJL39:KKB39"/>
    <mergeCell ref="KKC39:KKS39"/>
    <mergeCell ref="KKT39:KLJ39"/>
    <mergeCell ref="KLK39:KMA39"/>
    <mergeCell ref="KFN39:KGD39"/>
    <mergeCell ref="KGE39:KGU39"/>
    <mergeCell ref="KGV39:KHL39"/>
    <mergeCell ref="KHM39:KIC39"/>
    <mergeCell ref="KID39:KIT39"/>
    <mergeCell ref="KCG39:KCW39"/>
    <mergeCell ref="KCX39:KDN39"/>
    <mergeCell ref="KDO39:KEE39"/>
    <mergeCell ref="KEF39:KEV39"/>
    <mergeCell ref="KEW39:KFM39"/>
    <mergeCell ref="JYZ39:JZP39"/>
    <mergeCell ref="JZQ39:KAG39"/>
    <mergeCell ref="KAH39:KAX39"/>
    <mergeCell ref="KAY39:KBO39"/>
    <mergeCell ref="KBP39:KCF39"/>
    <mergeCell ref="JVS39:JWI39"/>
    <mergeCell ref="JWJ39:JWZ39"/>
    <mergeCell ref="JXA39:JXQ39"/>
    <mergeCell ref="JXR39:JYH39"/>
    <mergeCell ref="JYI39:JYY39"/>
    <mergeCell ref="JSL39:JTB39"/>
    <mergeCell ref="JTC39:JTS39"/>
    <mergeCell ref="JTT39:JUJ39"/>
    <mergeCell ref="JUK39:JVA39"/>
    <mergeCell ref="JVB39:JVR39"/>
    <mergeCell ref="JPE39:JPU39"/>
    <mergeCell ref="JPV39:JQL39"/>
    <mergeCell ref="JQM39:JRC39"/>
    <mergeCell ref="JRD39:JRT39"/>
    <mergeCell ref="JRU39:JSK39"/>
    <mergeCell ref="JLX39:JMN39"/>
    <mergeCell ref="JMO39:JNE39"/>
    <mergeCell ref="JNF39:JNV39"/>
    <mergeCell ref="JNW39:JOM39"/>
    <mergeCell ref="JON39:JPD39"/>
    <mergeCell ref="JIQ39:JJG39"/>
    <mergeCell ref="JJH39:JJX39"/>
    <mergeCell ref="JJY39:JKO39"/>
    <mergeCell ref="JKP39:JLF39"/>
    <mergeCell ref="JLG39:JLW39"/>
    <mergeCell ref="JFJ39:JFZ39"/>
    <mergeCell ref="JGA39:JGQ39"/>
    <mergeCell ref="JGR39:JHH39"/>
    <mergeCell ref="JHI39:JHY39"/>
    <mergeCell ref="JHZ39:JIP39"/>
    <mergeCell ref="JCC39:JCS39"/>
    <mergeCell ref="JCT39:JDJ39"/>
    <mergeCell ref="JDK39:JEA39"/>
    <mergeCell ref="JEB39:JER39"/>
    <mergeCell ref="JES39:JFI39"/>
    <mergeCell ref="IYV39:IZL39"/>
    <mergeCell ref="IZM39:JAC39"/>
    <mergeCell ref="JAD39:JAT39"/>
    <mergeCell ref="JAU39:JBK39"/>
    <mergeCell ref="JBL39:JCB39"/>
    <mergeCell ref="IVO39:IWE39"/>
    <mergeCell ref="IWF39:IWV39"/>
    <mergeCell ref="IWW39:IXM39"/>
    <mergeCell ref="IXN39:IYD39"/>
    <mergeCell ref="IYE39:IYU39"/>
    <mergeCell ref="ISH39:ISX39"/>
    <mergeCell ref="ISY39:ITO39"/>
    <mergeCell ref="ITP39:IUF39"/>
    <mergeCell ref="IUG39:IUW39"/>
    <mergeCell ref="IUX39:IVN39"/>
    <mergeCell ref="IPA39:IPQ39"/>
    <mergeCell ref="IPR39:IQH39"/>
    <mergeCell ref="IQI39:IQY39"/>
    <mergeCell ref="IQZ39:IRP39"/>
    <mergeCell ref="IRQ39:ISG39"/>
    <mergeCell ref="ILT39:IMJ39"/>
    <mergeCell ref="IMK39:INA39"/>
    <mergeCell ref="INB39:INR39"/>
    <mergeCell ref="INS39:IOI39"/>
    <mergeCell ref="IOJ39:IOZ39"/>
    <mergeCell ref="IIM39:IJC39"/>
    <mergeCell ref="IJD39:IJT39"/>
    <mergeCell ref="IJU39:IKK39"/>
    <mergeCell ref="IKL39:ILB39"/>
    <mergeCell ref="ILC39:ILS39"/>
    <mergeCell ref="IFF39:IFV39"/>
    <mergeCell ref="IFW39:IGM39"/>
    <mergeCell ref="IGN39:IHD39"/>
    <mergeCell ref="IHE39:IHU39"/>
    <mergeCell ref="IHV39:IIL39"/>
    <mergeCell ref="IBY39:ICO39"/>
    <mergeCell ref="ICP39:IDF39"/>
    <mergeCell ref="IDG39:IDW39"/>
    <mergeCell ref="IDX39:IEN39"/>
    <mergeCell ref="IEO39:IFE39"/>
    <mergeCell ref="HYR39:HZH39"/>
    <mergeCell ref="HZI39:HZY39"/>
    <mergeCell ref="HZZ39:IAP39"/>
    <mergeCell ref="IAQ39:IBG39"/>
    <mergeCell ref="IBH39:IBX39"/>
    <mergeCell ref="HVK39:HWA39"/>
    <mergeCell ref="HWB39:HWR39"/>
    <mergeCell ref="HWS39:HXI39"/>
    <mergeCell ref="HXJ39:HXZ39"/>
    <mergeCell ref="HYA39:HYQ39"/>
    <mergeCell ref="HSD39:HST39"/>
    <mergeCell ref="HSU39:HTK39"/>
    <mergeCell ref="HTL39:HUB39"/>
    <mergeCell ref="HUC39:HUS39"/>
    <mergeCell ref="HUT39:HVJ39"/>
    <mergeCell ref="HOW39:HPM39"/>
    <mergeCell ref="HPN39:HQD39"/>
    <mergeCell ref="HQE39:HQU39"/>
    <mergeCell ref="HQV39:HRL39"/>
    <mergeCell ref="HRM39:HSC39"/>
    <mergeCell ref="HLP39:HMF39"/>
    <mergeCell ref="HMG39:HMW39"/>
    <mergeCell ref="HMX39:HNN39"/>
    <mergeCell ref="HNO39:HOE39"/>
    <mergeCell ref="HOF39:HOV39"/>
    <mergeCell ref="HII39:HIY39"/>
    <mergeCell ref="HIZ39:HJP39"/>
    <mergeCell ref="HJQ39:HKG39"/>
    <mergeCell ref="HKH39:HKX39"/>
    <mergeCell ref="HKY39:HLO39"/>
    <mergeCell ref="HFB39:HFR39"/>
    <mergeCell ref="HFS39:HGI39"/>
    <mergeCell ref="HGJ39:HGZ39"/>
    <mergeCell ref="HHA39:HHQ39"/>
    <mergeCell ref="HHR39:HIH39"/>
    <mergeCell ref="HBU39:HCK39"/>
    <mergeCell ref="HCL39:HDB39"/>
    <mergeCell ref="HDC39:HDS39"/>
    <mergeCell ref="HDT39:HEJ39"/>
    <mergeCell ref="HEK39:HFA39"/>
    <mergeCell ref="GYN39:GZD39"/>
    <mergeCell ref="GZE39:GZU39"/>
    <mergeCell ref="GZV39:HAL39"/>
    <mergeCell ref="HAM39:HBC39"/>
    <mergeCell ref="HBD39:HBT39"/>
    <mergeCell ref="GVG39:GVW39"/>
    <mergeCell ref="GVX39:GWN39"/>
    <mergeCell ref="GWO39:GXE39"/>
    <mergeCell ref="GXF39:GXV39"/>
    <mergeCell ref="GXW39:GYM39"/>
    <mergeCell ref="GRZ39:GSP39"/>
    <mergeCell ref="GSQ39:GTG39"/>
    <mergeCell ref="GTH39:GTX39"/>
    <mergeCell ref="GTY39:GUO39"/>
    <mergeCell ref="GUP39:GVF39"/>
    <mergeCell ref="GOS39:GPI39"/>
    <mergeCell ref="GPJ39:GPZ39"/>
    <mergeCell ref="GQA39:GQQ39"/>
    <mergeCell ref="GQR39:GRH39"/>
    <mergeCell ref="GRI39:GRY39"/>
    <mergeCell ref="GLL39:GMB39"/>
    <mergeCell ref="GMC39:GMS39"/>
    <mergeCell ref="GMT39:GNJ39"/>
    <mergeCell ref="GNK39:GOA39"/>
    <mergeCell ref="GOB39:GOR39"/>
    <mergeCell ref="GIE39:GIU39"/>
    <mergeCell ref="GIV39:GJL39"/>
    <mergeCell ref="GJM39:GKC39"/>
    <mergeCell ref="GKD39:GKT39"/>
    <mergeCell ref="GKU39:GLK39"/>
    <mergeCell ref="GEX39:GFN39"/>
    <mergeCell ref="GFO39:GGE39"/>
    <mergeCell ref="GGF39:GGV39"/>
    <mergeCell ref="GGW39:GHM39"/>
    <mergeCell ref="GHN39:GID39"/>
    <mergeCell ref="GBQ39:GCG39"/>
    <mergeCell ref="GCH39:GCX39"/>
    <mergeCell ref="GCY39:GDO39"/>
    <mergeCell ref="GDP39:GEF39"/>
    <mergeCell ref="GEG39:GEW39"/>
    <mergeCell ref="FYJ39:FYZ39"/>
    <mergeCell ref="FZA39:FZQ39"/>
    <mergeCell ref="FZR39:GAH39"/>
    <mergeCell ref="GAI39:GAY39"/>
    <mergeCell ref="GAZ39:GBP39"/>
    <mergeCell ref="FVC39:FVS39"/>
    <mergeCell ref="FVT39:FWJ39"/>
    <mergeCell ref="FWK39:FXA39"/>
    <mergeCell ref="FXB39:FXR39"/>
    <mergeCell ref="FXS39:FYI39"/>
    <mergeCell ref="FRV39:FSL39"/>
    <mergeCell ref="FSM39:FTC39"/>
    <mergeCell ref="FTD39:FTT39"/>
    <mergeCell ref="FTU39:FUK39"/>
    <mergeCell ref="FUL39:FVB39"/>
    <mergeCell ref="FOO39:FPE39"/>
    <mergeCell ref="FPF39:FPV39"/>
    <mergeCell ref="FPW39:FQM39"/>
    <mergeCell ref="FQN39:FRD39"/>
    <mergeCell ref="FRE39:FRU39"/>
    <mergeCell ref="FLH39:FLX39"/>
    <mergeCell ref="FLY39:FMO39"/>
    <mergeCell ref="FMP39:FNF39"/>
    <mergeCell ref="FNG39:FNW39"/>
    <mergeCell ref="FNX39:FON39"/>
    <mergeCell ref="FIA39:FIQ39"/>
    <mergeCell ref="FIR39:FJH39"/>
    <mergeCell ref="FJI39:FJY39"/>
    <mergeCell ref="FJZ39:FKP39"/>
    <mergeCell ref="FKQ39:FLG39"/>
    <mergeCell ref="FET39:FFJ39"/>
    <mergeCell ref="FFK39:FGA39"/>
    <mergeCell ref="FGB39:FGR39"/>
    <mergeCell ref="FGS39:FHI39"/>
    <mergeCell ref="FHJ39:FHZ39"/>
    <mergeCell ref="FBM39:FCC39"/>
    <mergeCell ref="FCD39:FCT39"/>
    <mergeCell ref="FCU39:FDK39"/>
    <mergeCell ref="FDL39:FEB39"/>
    <mergeCell ref="FEC39:FES39"/>
    <mergeCell ref="EYF39:EYV39"/>
    <mergeCell ref="EYW39:EZM39"/>
    <mergeCell ref="EZN39:FAD39"/>
    <mergeCell ref="FAE39:FAU39"/>
    <mergeCell ref="FAV39:FBL39"/>
    <mergeCell ref="EUY39:EVO39"/>
    <mergeCell ref="EVP39:EWF39"/>
    <mergeCell ref="EWG39:EWW39"/>
    <mergeCell ref="EWX39:EXN39"/>
    <mergeCell ref="EXO39:EYE39"/>
    <mergeCell ref="ERR39:ESH39"/>
    <mergeCell ref="ESI39:ESY39"/>
    <mergeCell ref="ESZ39:ETP39"/>
    <mergeCell ref="ETQ39:EUG39"/>
    <mergeCell ref="EUH39:EUX39"/>
    <mergeCell ref="EOK39:EPA39"/>
    <mergeCell ref="EPB39:EPR39"/>
    <mergeCell ref="EPS39:EQI39"/>
    <mergeCell ref="EQJ39:EQZ39"/>
    <mergeCell ref="ERA39:ERQ39"/>
    <mergeCell ref="ELD39:ELT39"/>
    <mergeCell ref="ELU39:EMK39"/>
    <mergeCell ref="EML39:ENB39"/>
    <mergeCell ref="ENC39:ENS39"/>
    <mergeCell ref="ENT39:EOJ39"/>
    <mergeCell ref="EHW39:EIM39"/>
    <mergeCell ref="EIN39:EJD39"/>
    <mergeCell ref="EJE39:EJU39"/>
    <mergeCell ref="EJV39:EKL39"/>
    <mergeCell ref="EKM39:ELC39"/>
    <mergeCell ref="EEP39:EFF39"/>
    <mergeCell ref="EFG39:EFW39"/>
    <mergeCell ref="EFX39:EGN39"/>
    <mergeCell ref="EGO39:EHE39"/>
    <mergeCell ref="EHF39:EHV39"/>
    <mergeCell ref="EBI39:EBY39"/>
    <mergeCell ref="EBZ39:ECP39"/>
    <mergeCell ref="ECQ39:EDG39"/>
    <mergeCell ref="EDH39:EDX39"/>
    <mergeCell ref="EDY39:EEO39"/>
    <mergeCell ref="DYB39:DYR39"/>
    <mergeCell ref="DYS39:DZI39"/>
    <mergeCell ref="DZJ39:DZZ39"/>
    <mergeCell ref="EAA39:EAQ39"/>
    <mergeCell ref="EAR39:EBH39"/>
    <mergeCell ref="DUU39:DVK39"/>
    <mergeCell ref="DVL39:DWB39"/>
    <mergeCell ref="DWC39:DWS39"/>
    <mergeCell ref="DWT39:DXJ39"/>
    <mergeCell ref="DXK39:DYA39"/>
    <mergeCell ref="DRN39:DSD39"/>
    <mergeCell ref="DSE39:DSU39"/>
    <mergeCell ref="DSV39:DTL39"/>
    <mergeCell ref="DTM39:DUC39"/>
    <mergeCell ref="DUD39:DUT39"/>
    <mergeCell ref="DOG39:DOW39"/>
    <mergeCell ref="DOX39:DPN39"/>
    <mergeCell ref="DPO39:DQE39"/>
    <mergeCell ref="DQF39:DQV39"/>
    <mergeCell ref="DQW39:DRM39"/>
    <mergeCell ref="DKZ39:DLP39"/>
    <mergeCell ref="DLQ39:DMG39"/>
    <mergeCell ref="DMH39:DMX39"/>
    <mergeCell ref="DMY39:DNO39"/>
    <mergeCell ref="DNP39:DOF39"/>
    <mergeCell ref="DHS39:DII39"/>
    <mergeCell ref="DIJ39:DIZ39"/>
    <mergeCell ref="DJA39:DJQ39"/>
    <mergeCell ref="DJR39:DKH39"/>
    <mergeCell ref="DKI39:DKY39"/>
    <mergeCell ref="DEL39:DFB39"/>
    <mergeCell ref="DFC39:DFS39"/>
    <mergeCell ref="DFT39:DGJ39"/>
    <mergeCell ref="DGK39:DHA39"/>
    <mergeCell ref="DHB39:DHR39"/>
    <mergeCell ref="DBE39:DBU39"/>
    <mergeCell ref="DBV39:DCL39"/>
    <mergeCell ref="DCM39:DDC39"/>
    <mergeCell ref="DDD39:DDT39"/>
    <mergeCell ref="DDU39:DEK39"/>
    <mergeCell ref="CXX39:CYN39"/>
    <mergeCell ref="CYO39:CZE39"/>
    <mergeCell ref="CZF39:CZV39"/>
    <mergeCell ref="CZW39:DAM39"/>
    <mergeCell ref="DAN39:DBD39"/>
    <mergeCell ref="CUQ39:CVG39"/>
    <mergeCell ref="CVH39:CVX39"/>
    <mergeCell ref="CVY39:CWO39"/>
    <mergeCell ref="CWP39:CXF39"/>
    <mergeCell ref="CXG39:CXW39"/>
    <mergeCell ref="CRJ39:CRZ39"/>
    <mergeCell ref="CSA39:CSQ39"/>
    <mergeCell ref="CSR39:CTH39"/>
    <mergeCell ref="CTI39:CTY39"/>
    <mergeCell ref="CTZ39:CUP39"/>
    <mergeCell ref="COC39:COS39"/>
    <mergeCell ref="COT39:CPJ39"/>
    <mergeCell ref="CPK39:CQA39"/>
    <mergeCell ref="CQB39:CQR39"/>
    <mergeCell ref="CQS39:CRI39"/>
    <mergeCell ref="CKV39:CLL39"/>
    <mergeCell ref="CLM39:CMC39"/>
    <mergeCell ref="CMD39:CMT39"/>
    <mergeCell ref="CMU39:CNK39"/>
    <mergeCell ref="CNL39:COB39"/>
    <mergeCell ref="CHO39:CIE39"/>
    <mergeCell ref="CIF39:CIV39"/>
    <mergeCell ref="CIW39:CJM39"/>
    <mergeCell ref="CJN39:CKD39"/>
    <mergeCell ref="CKE39:CKU39"/>
    <mergeCell ref="CEH39:CEX39"/>
    <mergeCell ref="CEY39:CFO39"/>
    <mergeCell ref="CFP39:CGF39"/>
    <mergeCell ref="CGG39:CGW39"/>
    <mergeCell ref="CGX39:CHN39"/>
    <mergeCell ref="CBA39:CBQ39"/>
    <mergeCell ref="CBR39:CCH39"/>
    <mergeCell ref="CCI39:CCY39"/>
    <mergeCell ref="CCZ39:CDP39"/>
    <mergeCell ref="CDQ39:CEG39"/>
    <mergeCell ref="BXT39:BYJ39"/>
    <mergeCell ref="BYK39:BZA39"/>
    <mergeCell ref="BZB39:BZR39"/>
    <mergeCell ref="BZS39:CAI39"/>
    <mergeCell ref="CAJ39:CAZ39"/>
    <mergeCell ref="BUM39:BVC39"/>
    <mergeCell ref="BVD39:BVT39"/>
    <mergeCell ref="BVU39:BWK39"/>
    <mergeCell ref="BWL39:BXB39"/>
    <mergeCell ref="BXC39:BXS39"/>
    <mergeCell ref="BRF39:BRV39"/>
    <mergeCell ref="BRW39:BSM39"/>
    <mergeCell ref="BSN39:BTD39"/>
    <mergeCell ref="BTE39:BTU39"/>
    <mergeCell ref="BTV39:BUL39"/>
    <mergeCell ref="BNY39:BOO39"/>
    <mergeCell ref="BOP39:BPF39"/>
    <mergeCell ref="BPG39:BPW39"/>
    <mergeCell ref="BPX39:BQN39"/>
    <mergeCell ref="BQO39:BRE39"/>
    <mergeCell ref="BKR39:BLH39"/>
    <mergeCell ref="BLI39:BLY39"/>
    <mergeCell ref="BLZ39:BMP39"/>
    <mergeCell ref="BMQ39:BNG39"/>
    <mergeCell ref="BNH39:BNX39"/>
    <mergeCell ref="BHK39:BIA39"/>
    <mergeCell ref="BIB39:BIR39"/>
    <mergeCell ref="BIS39:BJI39"/>
    <mergeCell ref="BJJ39:BJZ39"/>
    <mergeCell ref="BKA39:BKQ39"/>
    <mergeCell ref="BED39:BET39"/>
    <mergeCell ref="BEU39:BFK39"/>
    <mergeCell ref="BFL39:BGB39"/>
    <mergeCell ref="BGC39:BGS39"/>
    <mergeCell ref="BGT39:BHJ39"/>
    <mergeCell ref="BAW39:BBM39"/>
    <mergeCell ref="BBN39:BCD39"/>
    <mergeCell ref="BCE39:BCU39"/>
    <mergeCell ref="BCV39:BDL39"/>
    <mergeCell ref="BDM39:BEC39"/>
    <mergeCell ref="AXP39:AYF39"/>
    <mergeCell ref="AYG39:AYW39"/>
    <mergeCell ref="AYX39:AZN39"/>
    <mergeCell ref="AZO39:BAE39"/>
    <mergeCell ref="BAF39:BAV39"/>
    <mergeCell ref="AUI39:AUY39"/>
    <mergeCell ref="AUZ39:AVP39"/>
    <mergeCell ref="AVQ39:AWG39"/>
    <mergeCell ref="AWH39:AWX39"/>
    <mergeCell ref="AWY39:AXO39"/>
    <mergeCell ref="ARB39:ARR39"/>
    <mergeCell ref="ARS39:ASI39"/>
    <mergeCell ref="ASJ39:ASZ39"/>
    <mergeCell ref="ATA39:ATQ39"/>
    <mergeCell ref="ATR39:AUH39"/>
    <mergeCell ref="ANU39:AOK39"/>
    <mergeCell ref="AOL39:APB39"/>
    <mergeCell ref="APC39:APS39"/>
    <mergeCell ref="APT39:AQJ39"/>
    <mergeCell ref="AQK39:ARA39"/>
    <mergeCell ref="AKN39:ALD39"/>
    <mergeCell ref="ALE39:ALU39"/>
    <mergeCell ref="ALV39:AML39"/>
    <mergeCell ref="AMM39:ANC39"/>
    <mergeCell ref="AND39:ANT39"/>
    <mergeCell ref="AHG39:AHW39"/>
    <mergeCell ref="AHX39:AIN39"/>
    <mergeCell ref="AIO39:AJE39"/>
    <mergeCell ref="AJF39:AJV39"/>
    <mergeCell ref="AJW39:AKM39"/>
    <mergeCell ref="ADZ39:AEP39"/>
    <mergeCell ref="AEQ39:AFG39"/>
    <mergeCell ref="AFH39:AFX39"/>
    <mergeCell ref="AFY39:AGO39"/>
    <mergeCell ref="AGP39:AHF39"/>
    <mergeCell ref="AAS39:ABI39"/>
    <mergeCell ref="ABJ39:ABZ39"/>
    <mergeCell ref="ACA39:ACQ39"/>
    <mergeCell ref="ACR39:ADH39"/>
    <mergeCell ref="ADI39:ADY39"/>
    <mergeCell ref="XL39:YB39"/>
    <mergeCell ref="YC39:YS39"/>
    <mergeCell ref="YT39:ZJ39"/>
    <mergeCell ref="ZK39:AAA39"/>
    <mergeCell ref="AAB39:AAR39"/>
    <mergeCell ref="UE39:UU39"/>
    <mergeCell ref="UV39:VL39"/>
    <mergeCell ref="VM39:WC39"/>
    <mergeCell ref="WD39:WT39"/>
    <mergeCell ref="WU39:XK39"/>
    <mergeCell ref="QX39:RN39"/>
    <mergeCell ref="RO39:SE39"/>
    <mergeCell ref="SF39:SV39"/>
    <mergeCell ref="SW39:TM39"/>
    <mergeCell ref="TN39:UD39"/>
    <mergeCell ref="NQ39:OG39"/>
    <mergeCell ref="OH39:OX39"/>
    <mergeCell ref="OY39:PO39"/>
    <mergeCell ref="PP39:QF39"/>
    <mergeCell ref="QG39:QW39"/>
    <mergeCell ref="KJ39:KZ39"/>
    <mergeCell ref="LA39:LQ39"/>
    <mergeCell ref="LR39:MH39"/>
    <mergeCell ref="MI39:MY39"/>
    <mergeCell ref="MZ39:NP39"/>
    <mergeCell ref="HC39:HS39"/>
    <mergeCell ref="HT39:IJ39"/>
    <mergeCell ref="IK39:JA39"/>
    <mergeCell ref="JB39:JR39"/>
    <mergeCell ref="JS39:KI39"/>
    <mergeCell ref="DV39:EL39"/>
    <mergeCell ref="EM39:FC39"/>
    <mergeCell ref="FD39:FT39"/>
    <mergeCell ref="FU39:GK39"/>
    <mergeCell ref="GL39:HB39"/>
    <mergeCell ref="BN39:BP39"/>
    <mergeCell ref="BQ39:BV39"/>
    <mergeCell ref="BW39:CM39"/>
    <mergeCell ref="CN39:DD39"/>
    <mergeCell ref="DE39:DU39"/>
    <mergeCell ref="S39:AG39"/>
    <mergeCell ref="AX39:BM39"/>
    <mergeCell ref="AM2:AQ2"/>
    <mergeCell ref="AG2:AK2"/>
    <mergeCell ref="A44:N44"/>
    <mergeCell ref="C2:G2"/>
    <mergeCell ref="H2:L2"/>
    <mergeCell ref="M2:Q2"/>
    <mergeCell ref="AB2:AF2"/>
    <mergeCell ref="R2:V2"/>
    <mergeCell ref="W2:AA2"/>
    <mergeCell ref="S40:AG40"/>
    <mergeCell ref="AR2:AV2"/>
    <mergeCell ref="AW2:BA2"/>
    <mergeCell ref="BB2:BF2"/>
    <mergeCell ref="AG3:AK3"/>
    <mergeCell ref="AM3:AQ3"/>
    <mergeCell ref="AR3:AV3"/>
    <mergeCell ref="AW3:BA3"/>
    <mergeCell ref="BB3:BF3"/>
    <mergeCell ref="BG2:BK2"/>
    <mergeCell ref="BG3:BK3"/>
    <mergeCell ref="BL2:BP2"/>
    <mergeCell ref="BL3:BP3"/>
    <mergeCell ref="BQ2:BT2"/>
    <mergeCell ref="BQ3:BT3"/>
  </mergeCells>
  <pageMargins left="0.70866141732283472" right="0.70866141732283472" top="0.74803149606299213" bottom="0.74803149606299213" header="0.31496062992125984" footer="0.31496062992125984"/>
  <pageSetup paperSize="9" scale="48"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AA9 AA22:AA24 AA27 AA20 AB10:AD10 C10:F10 H10:K10 M10:P10 R10:Z10 AG10:AJ10 AM10:AP10 AR10:AU10 AW10:AZ10 BB10:BE10 BG10:BH10 AA14:AA18 AA6:AA8 AA11:AA13" formulaRange="1"/>
    <ignoredError sqref="AA21 AA28 Y31:Z31 G10 G21 L10 L21 Q10 Q21 AA10 X31 AF21 AF28 AF10 AK26 AK28 AQ26 AQ28 AV26:AV28 BA26:BA28 BB26" formula="1"/>
    <ignoredError sqref="AE10 AQ10 AK10 AV10" formula="1" formulaRange="1"/>
    <ignoredError sqref="AP33 AJ33" evalError="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X747"/>
  <sheetViews>
    <sheetView showGridLines="0" topLeftCell="A13" zoomScaleNormal="100" zoomScaleSheetLayoutView="100" workbookViewId="0">
      <pane xSplit="38" topLeftCell="BI1" activePane="topRight" state="frozen"/>
      <selection pane="topRight" activeCell="BQ23" sqref="BQ23"/>
    </sheetView>
  </sheetViews>
  <sheetFormatPr defaultColWidth="9" defaultRowHeight="14.6"/>
  <cols>
    <col min="1" max="1" width="43.2109375" style="167" customWidth="1"/>
    <col min="2" max="2" width="42.35546875" style="167" customWidth="1"/>
    <col min="3" max="38" width="3.5" style="167" hidden="1" customWidth="1"/>
    <col min="39" max="43" width="9" style="166"/>
    <col min="44" max="48" width="9" style="166" hidden="1" customWidth="1"/>
    <col min="49" max="53" width="9" style="166"/>
    <col min="54" max="54" width="9.2109375" style="166" bestFit="1" customWidth="1"/>
    <col min="55" max="58" width="9" style="166"/>
    <col min="59" max="59" width="9.2109375" style="166" bestFit="1" customWidth="1"/>
    <col min="60" max="63" width="9" style="166"/>
    <col min="64" max="64" width="9.2109375" style="166" bestFit="1" customWidth="1"/>
    <col min="65" max="68" width="9" style="166"/>
    <col min="69" max="69" width="9.2109375" style="166" bestFit="1" customWidth="1"/>
    <col min="70" max="492" width="9" style="166"/>
    <col min="493" max="16384" width="9" style="167"/>
  </cols>
  <sheetData>
    <row r="1" spans="1:492" ht="89.25" customHeight="1">
      <c r="A1" s="2"/>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790"/>
      <c r="AN1" s="790"/>
      <c r="AO1" s="790"/>
      <c r="AP1" s="790"/>
      <c r="AQ1" s="790"/>
      <c r="AR1" s="790"/>
      <c r="AS1" s="790"/>
      <c r="AT1" s="790"/>
      <c r="AU1" s="790"/>
      <c r="AV1" s="790"/>
      <c r="AW1" s="790"/>
      <c r="AX1" s="790"/>
      <c r="AY1" s="790"/>
      <c r="AZ1" s="790"/>
      <c r="BA1" s="790"/>
      <c r="BB1" s="790"/>
      <c r="BC1" s="790"/>
      <c r="BD1" s="790"/>
      <c r="BE1" s="790"/>
      <c r="BF1" s="790"/>
      <c r="BG1" s="790"/>
      <c r="BH1" s="790"/>
      <c r="BI1" s="790"/>
      <c r="BJ1" s="790"/>
      <c r="BK1" s="790"/>
      <c r="BL1" s="790"/>
      <c r="BM1" s="790"/>
      <c r="BN1" s="790"/>
      <c r="BO1" s="790"/>
      <c r="BP1" s="790"/>
      <c r="BQ1" s="790"/>
      <c r="BR1" s="790"/>
      <c r="BS1" s="790"/>
      <c r="BT1" s="790"/>
      <c r="BU1" s="790"/>
      <c r="BV1" s="790"/>
      <c r="BW1" s="790"/>
      <c r="BX1" s="790"/>
      <c r="BY1" s="790"/>
      <c r="BZ1" s="790"/>
      <c r="CA1" s="790"/>
      <c r="CB1" s="790"/>
      <c r="CC1" s="790"/>
      <c r="CD1" s="790"/>
      <c r="CE1" s="790"/>
      <c r="CF1" s="790"/>
      <c r="CG1" s="790"/>
      <c r="CH1" s="790"/>
      <c r="CI1" s="790"/>
      <c r="CJ1" s="790"/>
      <c r="CK1" s="790"/>
      <c r="CL1" s="790"/>
      <c r="CM1" s="790"/>
      <c r="CN1" s="790"/>
      <c r="CO1" s="790"/>
      <c r="CP1" s="790"/>
      <c r="CQ1" s="790"/>
      <c r="CR1" s="790"/>
      <c r="CS1" s="790"/>
      <c r="CT1" s="790"/>
      <c r="CU1" s="790"/>
      <c r="CV1" s="790"/>
      <c r="CW1" s="790"/>
      <c r="CX1" s="790"/>
      <c r="CY1" s="790"/>
      <c r="CZ1" s="790"/>
      <c r="DA1" s="790"/>
      <c r="DB1" s="790"/>
      <c r="DC1" s="790"/>
      <c r="DD1" s="790"/>
      <c r="DE1" s="790"/>
      <c r="DF1" s="790"/>
      <c r="DG1" s="790"/>
      <c r="DH1" s="790"/>
      <c r="DI1" s="790"/>
      <c r="DJ1" s="790"/>
      <c r="DK1" s="790"/>
      <c r="DL1" s="790"/>
      <c r="DM1" s="790"/>
      <c r="DN1" s="790"/>
      <c r="DO1" s="790"/>
      <c r="DP1" s="790"/>
      <c r="DQ1" s="790"/>
      <c r="DR1" s="790"/>
      <c r="DS1" s="790"/>
      <c r="DT1" s="790"/>
      <c r="DU1" s="790"/>
      <c r="DV1" s="790"/>
      <c r="DW1" s="790"/>
      <c r="DX1" s="790"/>
      <c r="DY1" s="790"/>
      <c r="DZ1" s="790"/>
      <c r="EA1" s="790"/>
      <c r="EB1" s="790"/>
      <c r="EC1" s="790"/>
      <c r="ED1" s="790"/>
      <c r="EE1" s="790"/>
      <c r="EF1" s="790"/>
      <c r="EG1" s="790"/>
      <c r="EH1" s="790"/>
      <c r="EI1" s="790"/>
      <c r="EJ1" s="790"/>
      <c r="EK1" s="790"/>
      <c r="EL1" s="790"/>
      <c r="EM1" s="790"/>
      <c r="EN1" s="790"/>
      <c r="EO1" s="790"/>
      <c r="EP1" s="790"/>
      <c r="EQ1" s="790"/>
      <c r="ER1" s="790"/>
      <c r="ES1" s="790"/>
      <c r="ET1" s="790"/>
      <c r="EU1" s="790"/>
      <c r="EV1" s="790"/>
      <c r="EW1" s="790"/>
      <c r="EX1" s="790"/>
      <c r="EY1" s="790"/>
      <c r="EZ1" s="790"/>
      <c r="FA1" s="790"/>
      <c r="FB1" s="790"/>
      <c r="FC1" s="790"/>
      <c r="FD1" s="790"/>
      <c r="FE1" s="790"/>
      <c r="FF1" s="790"/>
      <c r="FG1" s="790"/>
      <c r="FH1" s="790"/>
      <c r="FI1" s="790"/>
      <c r="FJ1" s="790"/>
      <c r="FK1" s="790"/>
      <c r="FL1" s="790"/>
      <c r="FM1" s="790"/>
      <c r="FN1" s="790"/>
      <c r="FO1" s="790"/>
      <c r="FP1" s="790"/>
      <c r="FQ1" s="790"/>
      <c r="FR1" s="790"/>
      <c r="FS1" s="790"/>
      <c r="FT1" s="790"/>
      <c r="FU1" s="790"/>
      <c r="FV1" s="790"/>
      <c r="FW1" s="790"/>
      <c r="FX1" s="790"/>
      <c r="FY1" s="790"/>
      <c r="FZ1" s="790"/>
      <c r="GA1" s="790"/>
      <c r="GB1" s="790"/>
      <c r="GC1" s="790"/>
      <c r="GD1" s="790"/>
      <c r="GE1" s="790"/>
      <c r="GF1" s="790"/>
      <c r="GG1" s="790"/>
      <c r="GH1" s="790"/>
      <c r="GI1" s="790"/>
      <c r="GJ1" s="790"/>
      <c r="GK1" s="790"/>
      <c r="GL1" s="790"/>
      <c r="GM1" s="790"/>
      <c r="GN1" s="790"/>
      <c r="GO1" s="790"/>
      <c r="GP1" s="790"/>
      <c r="GQ1" s="790"/>
      <c r="GR1" s="790"/>
      <c r="GS1" s="790"/>
      <c r="GT1" s="790"/>
      <c r="GU1" s="790"/>
      <c r="GV1" s="790"/>
      <c r="GW1" s="790"/>
      <c r="GX1" s="790"/>
      <c r="GY1" s="790"/>
      <c r="GZ1" s="790"/>
      <c r="HA1" s="790"/>
      <c r="HB1" s="790"/>
      <c r="HC1" s="790"/>
      <c r="HD1" s="790"/>
      <c r="HE1" s="790"/>
      <c r="HF1" s="790"/>
      <c r="HG1" s="790"/>
      <c r="HH1" s="790"/>
      <c r="HI1" s="790"/>
      <c r="HJ1" s="790"/>
      <c r="HK1" s="790"/>
      <c r="HL1" s="790"/>
      <c r="HM1" s="790"/>
      <c r="HN1" s="790"/>
      <c r="HO1" s="790"/>
      <c r="HP1" s="790"/>
      <c r="HQ1" s="790"/>
      <c r="HR1" s="790"/>
      <c r="HS1" s="790"/>
      <c r="HT1" s="790"/>
      <c r="HU1" s="790"/>
      <c r="HV1" s="790"/>
      <c r="HW1" s="790"/>
      <c r="HX1" s="790"/>
      <c r="HY1" s="790"/>
      <c r="HZ1" s="790"/>
      <c r="IA1" s="790"/>
      <c r="IB1" s="790"/>
      <c r="IC1" s="790"/>
      <c r="ID1" s="790"/>
      <c r="IE1" s="790"/>
      <c r="IF1" s="790"/>
      <c r="IG1" s="790"/>
      <c r="IH1" s="790"/>
      <c r="II1" s="790"/>
      <c r="IJ1" s="790"/>
      <c r="IK1" s="790"/>
      <c r="IL1" s="790"/>
      <c r="IM1" s="790"/>
      <c r="IN1" s="790"/>
      <c r="IO1" s="790"/>
      <c r="IP1" s="790"/>
      <c r="IQ1" s="790"/>
      <c r="IR1" s="790"/>
      <c r="IS1" s="790"/>
      <c r="IT1" s="790"/>
      <c r="IU1" s="790"/>
      <c r="IV1" s="790"/>
      <c r="IW1" s="790"/>
      <c r="IX1" s="790"/>
      <c r="IY1" s="790"/>
      <c r="IZ1" s="790"/>
      <c r="JA1" s="790"/>
      <c r="JB1" s="790"/>
      <c r="JC1" s="790"/>
      <c r="JD1" s="790"/>
      <c r="JE1" s="790"/>
      <c r="JF1" s="790"/>
      <c r="JG1" s="790"/>
      <c r="JH1" s="790"/>
      <c r="JI1" s="790"/>
      <c r="JJ1" s="790"/>
      <c r="JK1" s="790"/>
      <c r="JL1" s="790"/>
      <c r="JM1" s="790"/>
      <c r="JN1" s="790"/>
      <c r="JO1" s="790"/>
      <c r="JP1" s="790"/>
      <c r="JQ1" s="790"/>
      <c r="JR1" s="790"/>
      <c r="JS1" s="790"/>
      <c r="JT1" s="790"/>
      <c r="JU1" s="790"/>
      <c r="JV1" s="790"/>
      <c r="JW1" s="790"/>
      <c r="JX1" s="790"/>
      <c r="JY1" s="790"/>
      <c r="JZ1" s="790"/>
      <c r="KA1" s="790"/>
      <c r="KB1" s="790"/>
      <c r="KC1" s="790"/>
      <c r="KD1" s="790"/>
      <c r="KE1" s="790"/>
      <c r="KF1" s="790"/>
      <c r="KG1" s="790"/>
      <c r="KH1" s="790"/>
      <c r="KI1" s="790"/>
      <c r="KJ1" s="790"/>
      <c r="KK1" s="790"/>
      <c r="KL1" s="790"/>
      <c r="KM1" s="790"/>
      <c r="KN1" s="790"/>
      <c r="KO1" s="790"/>
      <c r="KP1" s="790"/>
      <c r="KQ1" s="790"/>
      <c r="KR1" s="790"/>
      <c r="KS1" s="790"/>
      <c r="KT1" s="790"/>
      <c r="KU1" s="790"/>
      <c r="KV1" s="790"/>
      <c r="KW1" s="790"/>
      <c r="KX1" s="790"/>
      <c r="KY1" s="790"/>
      <c r="KZ1" s="790"/>
      <c r="LA1" s="790"/>
      <c r="LB1" s="790"/>
      <c r="LC1" s="790"/>
      <c r="LD1" s="790"/>
      <c r="LE1" s="790"/>
      <c r="LF1" s="790"/>
      <c r="LG1" s="790"/>
      <c r="LH1" s="790"/>
      <c r="LI1" s="790"/>
      <c r="LJ1" s="790"/>
      <c r="LK1" s="790"/>
      <c r="LL1" s="790"/>
      <c r="LM1" s="790"/>
      <c r="LN1" s="790"/>
      <c r="LO1" s="790"/>
      <c r="LP1" s="790"/>
      <c r="LQ1" s="790"/>
      <c r="LR1" s="790"/>
      <c r="LS1" s="790"/>
      <c r="LT1" s="790"/>
      <c r="LU1" s="790"/>
      <c r="LV1" s="790"/>
      <c r="LW1" s="790"/>
      <c r="LX1" s="790"/>
      <c r="LY1" s="790"/>
      <c r="LZ1" s="790"/>
      <c r="MA1" s="790"/>
      <c r="MB1" s="790"/>
      <c r="MC1" s="790"/>
      <c r="MD1" s="790"/>
      <c r="ME1" s="790"/>
      <c r="MF1" s="790"/>
      <c r="MG1" s="790"/>
      <c r="MH1" s="790"/>
      <c r="MI1" s="790"/>
      <c r="MJ1" s="790"/>
      <c r="MK1" s="790"/>
      <c r="ML1" s="790"/>
      <c r="MM1" s="790"/>
      <c r="MN1" s="790"/>
      <c r="MO1" s="790"/>
      <c r="MP1" s="790"/>
      <c r="MQ1" s="790"/>
      <c r="MR1" s="790"/>
      <c r="MS1" s="790"/>
      <c r="MT1" s="790"/>
      <c r="MU1" s="790"/>
      <c r="MV1" s="790"/>
      <c r="MW1" s="790"/>
      <c r="MX1" s="790"/>
      <c r="MY1" s="790"/>
      <c r="MZ1" s="790"/>
      <c r="NA1" s="790"/>
      <c r="NB1" s="790"/>
      <c r="NC1" s="790"/>
      <c r="ND1" s="790"/>
      <c r="NE1" s="790"/>
      <c r="NF1" s="790"/>
      <c r="NG1" s="790"/>
      <c r="NH1" s="790"/>
      <c r="NI1" s="790"/>
      <c r="NJ1" s="790"/>
      <c r="NK1" s="790"/>
      <c r="NL1" s="790"/>
      <c r="NM1" s="790"/>
      <c r="NN1" s="790"/>
      <c r="NO1" s="790"/>
      <c r="NP1" s="790"/>
      <c r="NQ1" s="790"/>
      <c r="NR1" s="790"/>
      <c r="NS1" s="790"/>
      <c r="NT1" s="790"/>
      <c r="NU1" s="790"/>
      <c r="NV1" s="790"/>
      <c r="NW1" s="790"/>
      <c r="NX1" s="790"/>
      <c r="NY1" s="790"/>
      <c r="NZ1" s="790"/>
      <c r="OA1" s="790"/>
      <c r="OB1" s="790"/>
      <c r="OC1" s="790"/>
      <c r="OD1" s="790"/>
      <c r="OE1" s="790"/>
      <c r="OF1" s="790"/>
      <c r="OG1" s="790"/>
      <c r="OH1" s="790"/>
      <c r="OI1" s="790"/>
      <c r="OJ1" s="790"/>
      <c r="OK1" s="790"/>
      <c r="OL1" s="790"/>
      <c r="OM1" s="790"/>
      <c r="ON1" s="790"/>
      <c r="OO1" s="790"/>
      <c r="OP1" s="790"/>
      <c r="OQ1" s="790"/>
      <c r="OR1" s="790"/>
      <c r="OS1" s="790"/>
      <c r="OT1" s="790"/>
      <c r="OU1" s="790"/>
      <c r="OV1" s="790"/>
      <c r="OW1" s="790"/>
      <c r="OX1" s="790"/>
      <c r="OY1" s="790"/>
      <c r="OZ1" s="790"/>
      <c r="PA1" s="790"/>
      <c r="PB1" s="790"/>
      <c r="PC1" s="790"/>
      <c r="PD1" s="790"/>
      <c r="PE1" s="790"/>
      <c r="PF1" s="790"/>
      <c r="PG1" s="790"/>
      <c r="PH1" s="790"/>
      <c r="PI1" s="790"/>
      <c r="PJ1" s="790"/>
      <c r="PK1" s="790"/>
      <c r="PL1" s="790"/>
      <c r="PM1" s="790"/>
      <c r="PN1" s="790"/>
      <c r="PO1" s="790"/>
      <c r="PP1" s="790"/>
      <c r="PQ1" s="790"/>
      <c r="PR1" s="790"/>
      <c r="PS1" s="790"/>
      <c r="PT1" s="790"/>
      <c r="PU1" s="790"/>
      <c r="PV1" s="790"/>
      <c r="PW1" s="790"/>
      <c r="PX1" s="790"/>
      <c r="PY1" s="790"/>
      <c r="PZ1" s="790"/>
      <c r="QA1" s="790"/>
      <c r="QB1" s="790"/>
      <c r="QC1" s="790"/>
      <c r="QD1" s="790"/>
      <c r="QE1" s="790"/>
      <c r="QF1" s="790"/>
      <c r="QG1" s="790"/>
      <c r="QH1" s="790"/>
      <c r="QI1" s="790"/>
      <c r="QJ1" s="790"/>
      <c r="QK1" s="790"/>
      <c r="QL1" s="790"/>
      <c r="QM1" s="790"/>
      <c r="QN1" s="790"/>
      <c r="QO1" s="790"/>
      <c r="QP1" s="790"/>
      <c r="QQ1" s="790"/>
      <c r="QR1" s="790"/>
      <c r="QS1" s="790"/>
      <c r="QT1" s="790"/>
      <c r="QU1" s="790"/>
      <c r="QV1" s="790"/>
      <c r="QW1" s="790"/>
      <c r="QX1" s="790"/>
      <c r="QY1" s="790"/>
      <c r="QZ1" s="790"/>
      <c r="RA1" s="790"/>
      <c r="RB1" s="790"/>
      <c r="RC1" s="790"/>
      <c r="RD1" s="790"/>
      <c r="RE1" s="790"/>
      <c r="RF1" s="790"/>
      <c r="RG1" s="790"/>
      <c r="RH1" s="790"/>
      <c r="RI1" s="790"/>
      <c r="RJ1" s="790"/>
      <c r="RK1" s="790"/>
      <c r="RL1" s="790"/>
      <c r="RM1" s="790"/>
      <c r="RN1" s="790"/>
      <c r="RO1" s="790"/>
      <c r="RP1" s="790"/>
      <c r="RQ1" s="790"/>
      <c r="RR1" s="790"/>
      <c r="RS1" s="790"/>
      <c r="RT1" s="790"/>
      <c r="RU1" s="790"/>
      <c r="RV1" s="790"/>
      <c r="RW1" s="790"/>
      <c r="RX1" s="790"/>
    </row>
    <row r="2" spans="1:492" s="5" customFormat="1" ht="32.15" customHeight="1">
      <c r="A2" s="416"/>
      <c r="B2" s="416"/>
      <c r="C2" s="417"/>
      <c r="D2" s="417"/>
      <c r="E2" s="417"/>
      <c r="F2" s="417"/>
      <c r="G2" s="417"/>
      <c r="H2" s="417"/>
      <c r="I2" s="417"/>
      <c r="J2" s="417"/>
      <c r="K2" s="417"/>
      <c r="L2" s="417"/>
      <c r="M2" s="417"/>
      <c r="N2" s="417"/>
      <c r="O2" s="417"/>
      <c r="P2" s="417"/>
      <c r="Q2" s="417"/>
      <c r="R2" s="417"/>
      <c r="S2" s="417"/>
      <c r="T2" s="417"/>
      <c r="U2" s="417"/>
      <c r="V2" s="417"/>
      <c r="W2" s="417"/>
      <c r="X2" s="417"/>
      <c r="Y2" s="417"/>
      <c r="Z2" s="417"/>
      <c r="AA2" s="417"/>
      <c r="AB2" s="417"/>
      <c r="AC2" s="417"/>
      <c r="AD2" s="417"/>
      <c r="AE2" s="417"/>
      <c r="AF2" s="417"/>
      <c r="AG2" s="417"/>
      <c r="AH2" s="417"/>
      <c r="AI2" s="417"/>
      <c r="AJ2" s="417"/>
      <c r="AK2" s="417"/>
      <c r="AL2" s="417"/>
      <c r="AM2" s="906" t="s">
        <v>103</v>
      </c>
      <c r="AN2" s="906"/>
      <c r="AO2" s="906"/>
      <c r="AP2" s="906"/>
      <c r="AQ2" s="906"/>
      <c r="AR2" s="906"/>
      <c r="AS2" s="906"/>
      <c r="AT2" s="906"/>
      <c r="AU2" s="906"/>
      <c r="AV2" s="906"/>
      <c r="AW2" s="906" t="s">
        <v>104</v>
      </c>
      <c r="AX2" s="906"/>
      <c r="AY2" s="906"/>
      <c r="AZ2" s="906"/>
      <c r="BA2" s="906"/>
      <c r="BB2" s="906" t="s">
        <v>6</v>
      </c>
      <c r="BC2" s="906"/>
      <c r="BD2" s="906"/>
      <c r="BE2" s="906"/>
      <c r="BF2" s="906"/>
      <c r="BG2" s="906" t="s">
        <v>7</v>
      </c>
      <c r="BH2" s="906"/>
      <c r="BI2" s="906"/>
      <c r="BJ2" s="906"/>
      <c r="BK2" s="906"/>
      <c r="BL2" s="906" t="s">
        <v>8</v>
      </c>
      <c r="BM2" s="906"/>
      <c r="BN2" s="906"/>
      <c r="BO2" s="906"/>
      <c r="BP2" s="906"/>
      <c r="BQ2" s="906" t="s">
        <v>9</v>
      </c>
      <c r="BR2" s="906"/>
      <c r="BS2" s="906"/>
      <c r="BT2" s="906"/>
      <c r="BU2" s="906"/>
    </row>
    <row r="3" spans="1:492" s="5" customFormat="1" ht="32.15" customHeight="1">
      <c r="A3" s="418"/>
      <c r="B3" s="418"/>
      <c r="C3" s="419"/>
      <c r="D3" s="419"/>
      <c r="E3" s="419"/>
      <c r="F3" s="419"/>
      <c r="G3" s="419"/>
      <c r="H3" s="419"/>
      <c r="I3" s="419"/>
      <c r="J3" s="419"/>
      <c r="K3" s="419"/>
      <c r="L3" s="419"/>
      <c r="M3" s="419"/>
      <c r="N3" s="419"/>
      <c r="O3" s="419"/>
      <c r="P3" s="419"/>
      <c r="Q3" s="419"/>
      <c r="R3" s="419"/>
      <c r="S3" s="419"/>
      <c r="T3" s="419"/>
      <c r="U3" s="419"/>
      <c r="V3" s="419"/>
      <c r="W3" s="419"/>
      <c r="X3" s="419"/>
      <c r="Y3" s="419"/>
      <c r="Z3" s="419"/>
      <c r="AA3" s="419"/>
      <c r="AB3" s="419"/>
      <c r="AC3" s="419"/>
      <c r="AD3" s="419"/>
      <c r="AE3" s="419"/>
      <c r="AF3" s="419"/>
      <c r="AG3" s="419"/>
      <c r="AH3" s="419"/>
      <c r="AI3" s="419"/>
      <c r="AJ3" s="419"/>
      <c r="AK3" s="419"/>
      <c r="AL3" s="419"/>
      <c r="AM3" s="901" t="s">
        <v>105</v>
      </c>
      <c r="AN3" s="901"/>
      <c r="AO3" s="901"/>
      <c r="AP3" s="901"/>
      <c r="AQ3" s="901"/>
      <c r="AR3" s="901"/>
      <c r="AS3" s="901"/>
      <c r="AT3" s="901"/>
      <c r="AU3" s="901"/>
      <c r="AV3" s="901"/>
      <c r="AW3" s="901" t="s">
        <v>106</v>
      </c>
      <c r="AX3" s="901"/>
      <c r="AY3" s="901"/>
      <c r="AZ3" s="901"/>
      <c r="BA3" s="901"/>
      <c r="BB3" s="901" t="s">
        <v>14</v>
      </c>
      <c r="BC3" s="901"/>
      <c r="BD3" s="901"/>
      <c r="BE3" s="901"/>
      <c r="BF3" s="901"/>
      <c r="BG3" s="901" t="s">
        <v>15</v>
      </c>
      <c r="BH3" s="901"/>
      <c r="BI3" s="901"/>
      <c r="BJ3" s="901"/>
      <c r="BK3" s="901"/>
      <c r="BL3" s="901" t="s">
        <v>16</v>
      </c>
      <c r="BM3" s="901"/>
      <c r="BN3" s="901"/>
      <c r="BO3" s="901"/>
      <c r="BP3" s="901"/>
      <c r="BQ3" s="901" t="s">
        <v>17</v>
      </c>
      <c r="BR3" s="901"/>
      <c r="BS3" s="901"/>
      <c r="BT3" s="901"/>
      <c r="BU3" s="901"/>
    </row>
    <row r="4" spans="1:492" s="5" customFormat="1" ht="16.5" customHeight="1">
      <c r="A4" s="546" t="s">
        <v>19</v>
      </c>
      <c r="B4" s="420" t="s">
        <v>19</v>
      </c>
      <c r="C4" s="421"/>
      <c r="D4" s="421"/>
      <c r="E4" s="421"/>
      <c r="F4" s="421"/>
      <c r="G4" s="421"/>
      <c r="H4" s="421"/>
      <c r="I4" s="421"/>
      <c r="J4" s="421"/>
      <c r="K4" s="421"/>
      <c r="L4" s="421"/>
      <c r="M4" s="421"/>
      <c r="N4" s="421"/>
      <c r="O4" s="421"/>
      <c r="P4" s="421"/>
      <c r="Q4" s="421"/>
      <c r="R4" s="421"/>
      <c r="S4" s="421"/>
      <c r="T4" s="421"/>
      <c r="U4" s="421"/>
      <c r="V4" s="421"/>
      <c r="W4" s="421"/>
      <c r="X4" s="421"/>
      <c r="Y4" s="421"/>
      <c r="Z4" s="421"/>
      <c r="AA4" s="421"/>
      <c r="AB4" s="421"/>
      <c r="AC4" s="421"/>
      <c r="AD4" s="421"/>
      <c r="AE4" s="421"/>
      <c r="AF4" s="421"/>
      <c r="AG4" s="421"/>
      <c r="AH4" s="421"/>
      <c r="AI4" s="421"/>
      <c r="AJ4" s="421"/>
      <c r="AK4" s="421"/>
      <c r="AL4" s="421"/>
      <c r="AM4" s="556" t="s">
        <v>20</v>
      </c>
      <c r="AN4" s="422" t="s">
        <v>21</v>
      </c>
      <c r="AO4" s="423" t="s">
        <v>22</v>
      </c>
      <c r="AP4" s="422" t="s">
        <v>23</v>
      </c>
      <c r="AQ4" s="578" t="s">
        <v>107</v>
      </c>
      <c r="AR4" s="422"/>
      <c r="AS4" s="422"/>
      <c r="AT4" s="423"/>
      <c r="AU4" s="422"/>
      <c r="AV4" s="424"/>
      <c r="AW4" s="425" t="s">
        <v>20</v>
      </c>
      <c r="AX4" s="425" t="s">
        <v>21</v>
      </c>
      <c r="AY4" s="426" t="s">
        <v>22</v>
      </c>
      <c r="AZ4" s="425" t="s">
        <v>23</v>
      </c>
      <c r="BA4" s="422" t="s">
        <v>108</v>
      </c>
      <c r="BB4" s="425" t="s">
        <v>20</v>
      </c>
      <c r="BC4" s="425" t="s">
        <v>21</v>
      </c>
      <c r="BD4" s="426" t="s">
        <v>22</v>
      </c>
      <c r="BE4" s="425" t="s">
        <v>23</v>
      </c>
      <c r="BF4" s="422" t="s">
        <v>109</v>
      </c>
      <c r="BG4" s="425" t="s">
        <v>20</v>
      </c>
      <c r="BH4" s="425" t="s">
        <v>21</v>
      </c>
      <c r="BI4" s="426" t="s">
        <v>22</v>
      </c>
      <c r="BJ4" s="425" t="s">
        <v>23</v>
      </c>
      <c r="BK4" s="422" t="s">
        <v>110</v>
      </c>
      <c r="BL4" s="425" t="s">
        <v>20</v>
      </c>
      <c r="BM4" s="425" t="s">
        <v>21</v>
      </c>
      <c r="BN4" s="426" t="s">
        <v>22</v>
      </c>
      <c r="BO4" s="425" t="s">
        <v>23</v>
      </c>
      <c r="BP4" s="422" t="s">
        <v>29</v>
      </c>
      <c r="BQ4" s="425" t="s">
        <v>20</v>
      </c>
      <c r="BR4" s="425" t="s">
        <v>21</v>
      </c>
      <c r="BS4" s="426" t="s">
        <v>22</v>
      </c>
      <c r="BT4" s="425" t="s">
        <v>23</v>
      </c>
      <c r="BU4" s="422" t="s">
        <v>29</v>
      </c>
    </row>
    <row r="5" spans="1:492" s="65" customFormat="1" ht="20.25" customHeight="1" thickBot="1">
      <c r="A5" s="547" t="s">
        <v>111</v>
      </c>
      <c r="B5" s="572" t="s">
        <v>112</v>
      </c>
      <c r="C5" s="430"/>
      <c r="D5" s="430"/>
      <c r="E5" s="430"/>
      <c r="F5" s="430"/>
      <c r="G5" s="430"/>
      <c r="H5" s="430"/>
      <c r="I5" s="430"/>
      <c r="J5" s="430"/>
      <c r="K5" s="430"/>
      <c r="L5" s="430"/>
      <c r="M5" s="430"/>
      <c r="N5" s="430"/>
      <c r="O5" s="430"/>
      <c r="P5" s="430"/>
      <c r="Q5" s="430"/>
      <c r="R5" s="430"/>
      <c r="S5" s="430"/>
      <c r="T5" s="430"/>
      <c r="U5" s="430"/>
      <c r="V5" s="430"/>
      <c r="W5" s="430"/>
      <c r="X5" s="430"/>
      <c r="Y5" s="430"/>
      <c r="Z5" s="430"/>
      <c r="AA5" s="430"/>
      <c r="AB5" s="430"/>
      <c r="AC5" s="430"/>
      <c r="AD5" s="430"/>
      <c r="AE5" s="430"/>
      <c r="AF5" s="430"/>
      <c r="AG5" s="430"/>
      <c r="AH5" s="430"/>
      <c r="AI5" s="430"/>
      <c r="AJ5" s="430"/>
      <c r="AK5" s="430"/>
      <c r="AL5" s="430"/>
      <c r="AM5" s="557">
        <f>SUM(AM6:AM9)</f>
        <v>2345.9</v>
      </c>
      <c r="AN5" s="431">
        <f>SUM(AN6:AN9)</f>
        <v>2603.1999999999994</v>
      </c>
      <c r="AO5" s="431">
        <f>SUM(AO6:AO9)</f>
        <v>2735</v>
      </c>
      <c r="AP5" s="431">
        <f>SUM(AP6:AP9)</f>
        <v>3002.0000000000014</v>
      </c>
      <c r="AQ5" s="558">
        <f>SUM(AQ6:AQ9)</f>
        <v>10686.1</v>
      </c>
      <c r="AR5" s="431"/>
      <c r="AS5" s="431"/>
      <c r="AT5" s="431"/>
      <c r="AU5" s="431"/>
      <c r="AV5" s="432"/>
      <c r="AW5" s="431">
        <f t="shared" ref="AW5:AZ5" si="0">SUM(AW6:AW9)</f>
        <v>2791.6</v>
      </c>
      <c r="AX5" s="431">
        <f t="shared" si="0"/>
        <v>2923</v>
      </c>
      <c r="AY5" s="431">
        <f t="shared" si="0"/>
        <v>2892.4</v>
      </c>
      <c r="AZ5" s="431">
        <f t="shared" si="0"/>
        <v>3069.0999999999995</v>
      </c>
      <c r="BA5" s="553">
        <f>SUM(BA6:BA9)</f>
        <v>11676.099999999999</v>
      </c>
      <c r="BB5" s="557">
        <f t="shared" ref="BB5:BI5" si="1">SUM(BB6:BB9)</f>
        <v>2848.5</v>
      </c>
      <c r="BC5" s="431">
        <f t="shared" si="1"/>
        <v>2862.6999999999994</v>
      </c>
      <c r="BD5" s="431">
        <f t="shared" si="1"/>
        <v>3003.5000000000005</v>
      </c>
      <c r="BE5" s="431">
        <f t="shared" si="1"/>
        <v>3248.2000000000003</v>
      </c>
      <c r="BF5" s="558">
        <f>SUM(BF6:BF9)</f>
        <v>11962.9</v>
      </c>
      <c r="BG5" s="431">
        <f t="shared" si="1"/>
        <v>2987.3999999999996</v>
      </c>
      <c r="BH5" s="431">
        <f t="shared" si="1"/>
        <v>3159.7</v>
      </c>
      <c r="BI5" s="431">
        <f t="shared" si="1"/>
        <v>3031.9</v>
      </c>
      <c r="BJ5" s="431">
        <f>SUM(BJ6:BJ9)</f>
        <v>3265.0000000000005</v>
      </c>
      <c r="BK5" s="558">
        <f>SUM(BK6:BK9)</f>
        <v>12444.000000000002</v>
      </c>
      <c r="BL5" s="431">
        <f>SUM(BL6:BL9)</f>
        <v>2986.7000000000003</v>
      </c>
      <c r="BM5" s="431">
        <f>SUM(BM6:BM9)</f>
        <v>3228.1000000000004</v>
      </c>
      <c r="BN5" s="431">
        <f t="shared" ref="BN5" si="2">SUM(BN6:BN9)</f>
        <v>3270.9000000000005</v>
      </c>
      <c r="BO5" s="431">
        <f>SUM(BO6:BO9)</f>
        <v>3429.6</v>
      </c>
      <c r="BP5" s="558">
        <f>SUM(BP6:BP9)</f>
        <v>12915.3</v>
      </c>
      <c r="BQ5" s="431">
        <f>SUM(BQ6:BQ9)</f>
        <v>3199.3</v>
      </c>
      <c r="BR5" s="431">
        <f>SUM(BR6:BR9)</f>
        <v>0</v>
      </c>
      <c r="BS5" s="431">
        <f t="shared" ref="BS5" si="3">SUM(BS6:BS9)</f>
        <v>0</v>
      </c>
      <c r="BT5" s="431">
        <f>SUM(BT6:BT9)</f>
        <v>0</v>
      </c>
      <c r="BU5" s="558">
        <f>SUM(BU6:BU9)</f>
        <v>3199.3</v>
      </c>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c r="IX5" s="11"/>
      <c r="IY5" s="11"/>
      <c r="IZ5" s="11"/>
      <c r="JA5" s="11"/>
      <c r="JB5" s="11"/>
      <c r="JC5" s="11"/>
      <c r="JD5" s="11"/>
      <c r="JE5" s="11"/>
      <c r="JF5" s="11"/>
      <c r="JG5" s="11"/>
      <c r="JH5" s="11"/>
      <c r="JI5" s="11"/>
      <c r="JJ5" s="11"/>
      <c r="JK5" s="11"/>
      <c r="JL5" s="11"/>
      <c r="JM5" s="11"/>
      <c r="JN5" s="11"/>
      <c r="JO5" s="11"/>
      <c r="JP5" s="11"/>
      <c r="JQ5" s="11"/>
      <c r="JR5" s="11"/>
      <c r="JS5" s="11"/>
      <c r="JT5" s="11"/>
      <c r="JU5" s="11"/>
      <c r="JV5" s="11"/>
      <c r="JW5" s="11"/>
      <c r="JX5" s="11"/>
      <c r="JY5" s="11"/>
      <c r="JZ5" s="11"/>
      <c r="KA5" s="11"/>
      <c r="KB5" s="11"/>
      <c r="KC5" s="11"/>
      <c r="KD5" s="11"/>
      <c r="KE5" s="11"/>
      <c r="KF5" s="11"/>
      <c r="KG5" s="11"/>
      <c r="KH5" s="11"/>
      <c r="KI5" s="11"/>
      <c r="KJ5" s="11"/>
      <c r="KK5" s="11"/>
      <c r="KL5" s="11"/>
      <c r="KM5" s="11"/>
      <c r="KN5" s="11"/>
      <c r="KO5" s="11"/>
      <c r="KP5" s="11"/>
      <c r="KQ5" s="11"/>
      <c r="KR5" s="11"/>
      <c r="KS5" s="11"/>
      <c r="KT5" s="11"/>
      <c r="KU5" s="11"/>
      <c r="KV5" s="11"/>
      <c r="KW5" s="11"/>
      <c r="KX5" s="11"/>
      <c r="KY5" s="11"/>
      <c r="KZ5" s="11"/>
      <c r="LA5" s="11"/>
      <c r="LB5" s="11"/>
      <c r="LC5" s="11"/>
      <c r="LD5" s="11"/>
      <c r="LE5" s="11"/>
      <c r="LF5" s="11"/>
      <c r="LG5" s="11"/>
      <c r="LH5" s="11"/>
      <c r="LI5" s="11"/>
      <c r="LJ5" s="11"/>
      <c r="LK5" s="11"/>
      <c r="LL5" s="11"/>
      <c r="LM5" s="11"/>
      <c r="LN5" s="11"/>
      <c r="LO5" s="11"/>
      <c r="LP5" s="11"/>
      <c r="LQ5" s="11"/>
      <c r="LR5" s="11"/>
      <c r="LS5" s="11"/>
      <c r="LT5" s="11"/>
      <c r="LU5" s="11"/>
      <c r="LV5" s="11"/>
      <c r="LW5" s="11"/>
      <c r="LX5" s="11"/>
      <c r="LY5" s="11"/>
      <c r="LZ5" s="11"/>
      <c r="MA5" s="11"/>
      <c r="MB5" s="11"/>
      <c r="MC5" s="11"/>
      <c r="MD5" s="11"/>
      <c r="ME5" s="11"/>
      <c r="MF5" s="11"/>
      <c r="MG5" s="11"/>
      <c r="MH5" s="11"/>
      <c r="MI5" s="11"/>
      <c r="MJ5" s="11"/>
      <c r="MK5" s="11"/>
      <c r="ML5" s="11"/>
      <c r="MM5" s="11"/>
      <c r="MN5" s="11"/>
      <c r="MO5" s="11"/>
      <c r="MP5" s="11"/>
      <c r="MQ5" s="11"/>
      <c r="MR5" s="11"/>
      <c r="MS5" s="11"/>
      <c r="MT5" s="11"/>
      <c r="MU5" s="11"/>
      <c r="MV5" s="11"/>
      <c r="MW5" s="11"/>
      <c r="MX5" s="11"/>
      <c r="MY5" s="11"/>
      <c r="MZ5" s="11"/>
      <c r="NA5" s="11"/>
      <c r="NB5" s="11"/>
      <c r="NC5" s="11"/>
      <c r="ND5" s="11"/>
      <c r="NE5" s="11"/>
      <c r="NF5" s="11"/>
      <c r="NG5" s="11"/>
      <c r="NH5" s="11"/>
      <c r="NI5" s="11"/>
      <c r="NJ5" s="11"/>
      <c r="NK5" s="11"/>
      <c r="NL5" s="11"/>
      <c r="NM5" s="11"/>
      <c r="NN5" s="11"/>
      <c r="NO5" s="11"/>
      <c r="NP5" s="11"/>
      <c r="NQ5" s="11"/>
      <c r="NR5" s="11"/>
      <c r="NS5" s="11"/>
      <c r="NT5" s="11"/>
      <c r="NU5" s="11"/>
      <c r="NV5" s="11"/>
      <c r="NW5" s="11"/>
      <c r="NX5" s="11"/>
      <c r="NY5" s="11"/>
      <c r="NZ5" s="11"/>
      <c r="OA5" s="11"/>
      <c r="OB5" s="11"/>
      <c r="OC5" s="11"/>
      <c r="OD5" s="11"/>
      <c r="OE5" s="11"/>
      <c r="OF5" s="11"/>
      <c r="OG5" s="11"/>
      <c r="OH5" s="11"/>
      <c r="OI5" s="11"/>
      <c r="OJ5" s="11"/>
      <c r="OK5" s="11"/>
      <c r="OL5" s="11"/>
      <c r="OM5" s="11"/>
      <c r="ON5" s="11"/>
      <c r="OO5" s="11"/>
      <c r="OP5" s="11"/>
      <c r="OQ5" s="11"/>
      <c r="OR5" s="11"/>
      <c r="OS5" s="11"/>
      <c r="OT5" s="11"/>
      <c r="OU5" s="11"/>
      <c r="OV5" s="11"/>
      <c r="OW5" s="11"/>
      <c r="OX5" s="11"/>
      <c r="OY5" s="11"/>
      <c r="OZ5" s="11"/>
      <c r="PA5" s="11"/>
      <c r="PB5" s="11"/>
      <c r="PC5" s="11"/>
      <c r="PD5" s="11"/>
      <c r="PE5" s="11"/>
      <c r="PF5" s="11"/>
      <c r="PG5" s="11"/>
      <c r="PH5" s="11"/>
      <c r="PI5" s="11"/>
      <c r="PJ5" s="11"/>
      <c r="PK5" s="11"/>
      <c r="PL5" s="11"/>
      <c r="PM5" s="11"/>
      <c r="PN5" s="11"/>
      <c r="PO5" s="11"/>
      <c r="PP5" s="11"/>
      <c r="PQ5" s="11"/>
      <c r="PR5" s="11"/>
      <c r="PS5" s="11"/>
      <c r="PT5" s="11"/>
      <c r="PU5" s="11"/>
      <c r="PV5" s="11"/>
      <c r="PW5" s="11"/>
      <c r="PX5" s="11"/>
      <c r="PY5" s="11"/>
      <c r="PZ5" s="11"/>
      <c r="QA5" s="11"/>
      <c r="QB5" s="11"/>
      <c r="QC5" s="11"/>
      <c r="QD5" s="11"/>
      <c r="QE5" s="11"/>
      <c r="QF5" s="11"/>
      <c r="QG5" s="11"/>
      <c r="QH5" s="11"/>
      <c r="QI5" s="11"/>
      <c r="QJ5" s="11"/>
      <c r="QK5" s="11"/>
      <c r="QL5" s="11"/>
      <c r="QM5" s="11"/>
      <c r="QN5" s="11"/>
      <c r="QO5" s="11"/>
      <c r="QP5" s="11"/>
      <c r="QQ5" s="11"/>
      <c r="QR5" s="11"/>
      <c r="QS5" s="11"/>
      <c r="QT5" s="11"/>
      <c r="QU5" s="11"/>
      <c r="QV5" s="11"/>
      <c r="QW5" s="11"/>
      <c r="QX5" s="11"/>
      <c r="QY5" s="11"/>
      <c r="QZ5" s="11"/>
      <c r="RA5" s="11"/>
      <c r="RB5" s="11"/>
      <c r="RC5" s="11"/>
      <c r="RD5" s="11"/>
      <c r="RE5" s="11"/>
      <c r="RF5" s="11"/>
      <c r="RG5" s="11"/>
      <c r="RH5" s="11"/>
      <c r="RI5" s="11"/>
      <c r="RJ5" s="11"/>
      <c r="RK5" s="11"/>
      <c r="RL5" s="11"/>
      <c r="RM5" s="11"/>
      <c r="RN5" s="11"/>
      <c r="RO5" s="11"/>
      <c r="RP5" s="11"/>
      <c r="RQ5" s="11"/>
      <c r="RR5" s="11"/>
      <c r="RS5" s="11"/>
      <c r="RT5" s="11"/>
      <c r="RU5" s="11"/>
      <c r="RV5" s="11"/>
      <c r="RW5" s="11"/>
      <c r="RX5" s="11"/>
    </row>
    <row r="6" spans="1:492" s="538" customFormat="1" ht="20.149999999999999" customHeight="1">
      <c r="A6" s="548" t="s">
        <v>113</v>
      </c>
      <c r="B6" s="573" t="s">
        <v>114</v>
      </c>
      <c r="C6" s="528"/>
      <c r="D6" s="528"/>
      <c r="E6" s="528"/>
      <c r="F6" s="528"/>
      <c r="G6" s="528"/>
      <c r="H6" s="528"/>
      <c r="I6" s="528"/>
      <c r="J6" s="528"/>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59">
        <v>2049.4</v>
      </c>
      <c r="AN6" s="529">
        <v>2247.4999999999995</v>
      </c>
      <c r="AO6" s="529">
        <v>2429.5</v>
      </c>
      <c r="AP6" s="529">
        <v>2504.3000000000011</v>
      </c>
      <c r="AQ6" s="560">
        <f>SUM(AM6:AP6)</f>
        <v>9230.7000000000007</v>
      </c>
      <c r="AR6" s="529"/>
      <c r="AS6" s="529"/>
      <c r="AT6" s="529"/>
      <c r="AU6" s="529"/>
      <c r="AV6" s="524"/>
      <c r="AW6" s="529">
        <v>2398.1999999999998</v>
      </c>
      <c r="AX6" s="529">
        <v>2468.8000000000002</v>
      </c>
      <c r="AY6" s="529">
        <v>2515.3000000000002</v>
      </c>
      <c r="AZ6" s="529">
        <v>2553.0999999999995</v>
      </c>
      <c r="BA6" s="535">
        <f>SUM(AW6:AZ6)</f>
        <v>9935.4</v>
      </c>
      <c r="BB6" s="559">
        <v>2453.4</v>
      </c>
      <c r="BC6" s="529">
        <v>2518.4999999999995</v>
      </c>
      <c r="BD6" s="529">
        <v>2590.3000000000002</v>
      </c>
      <c r="BE6" s="523">
        <v>2668.6</v>
      </c>
      <c r="BF6" s="560">
        <f>SUM(BB6:BE6)</f>
        <v>10230.799999999999</v>
      </c>
      <c r="BG6" s="529">
        <v>2551</v>
      </c>
      <c r="BH6" s="529">
        <v>2660.7</v>
      </c>
      <c r="BI6" s="529">
        <v>2592.3000000000002</v>
      </c>
      <c r="BJ6" s="523">
        <f>10454.7-SUM(BG6:BI6)</f>
        <v>2650.7000000000007</v>
      </c>
      <c r="BK6" s="560">
        <f>SUM(BG6:BJ6)</f>
        <v>10454.700000000001</v>
      </c>
      <c r="BL6" s="529">
        <v>2525.9</v>
      </c>
      <c r="BM6" s="523">
        <f>5196.8-BL6</f>
        <v>2670.9</v>
      </c>
      <c r="BN6" s="529">
        <f>7940.5-BM6-BL6</f>
        <v>2743.7000000000003</v>
      </c>
      <c r="BO6" s="523">
        <f>10681.6-BN6-BM6-BL6</f>
        <v>2741.1</v>
      </c>
      <c r="BP6" s="560">
        <f>SUM(BL6:BO6)</f>
        <v>10681.6</v>
      </c>
      <c r="BQ6" s="529">
        <v>2674.5</v>
      </c>
      <c r="BR6" s="523"/>
      <c r="BS6" s="529"/>
      <c r="BT6" s="523"/>
      <c r="BU6" s="560">
        <f>SUM(BQ6:BT6)</f>
        <v>2674.5</v>
      </c>
      <c r="BV6" s="537"/>
      <c r="BW6" s="529"/>
      <c r="BX6" s="537"/>
      <c r="BY6" s="537"/>
      <c r="BZ6" s="537"/>
      <c r="CA6" s="537"/>
      <c r="CB6" s="537"/>
      <c r="CC6" s="537"/>
      <c r="CD6" s="537"/>
      <c r="CE6" s="537"/>
      <c r="CF6" s="537"/>
      <c r="CG6" s="537"/>
      <c r="CH6" s="537"/>
      <c r="CI6" s="537"/>
      <c r="CJ6" s="537"/>
      <c r="CK6" s="537"/>
      <c r="CL6" s="537"/>
      <c r="CM6" s="537"/>
      <c r="CN6" s="537"/>
      <c r="CO6" s="537"/>
      <c r="CP6" s="537"/>
      <c r="CQ6" s="537"/>
      <c r="CR6" s="537"/>
      <c r="CS6" s="537"/>
      <c r="CT6" s="537"/>
      <c r="CU6" s="537"/>
      <c r="CV6" s="537"/>
      <c r="CW6" s="537"/>
      <c r="CX6" s="537"/>
      <c r="CY6" s="537"/>
      <c r="CZ6" s="537"/>
      <c r="DA6" s="537"/>
      <c r="DB6" s="537"/>
      <c r="DC6" s="537"/>
      <c r="DD6" s="537"/>
      <c r="DE6" s="537"/>
      <c r="DF6" s="537"/>
      <c r="DG6" s="537"/>
      <c r="DH6" s="537"/>
      <c r="DI6" s="537"/>
      <c r="DJ6" s="537"/>
      <c r="DK6" s="537"/>
      <c r="DL6" s="537"/>
      <c r="DM6" s="537"/>
      <c r="DN6" s="537"/>
      <c r="DO6" s="537"/>
      <c r="DP6" s="537"/>
      <c r="DQ6" s="537"/>
      <c r="DR6" s="537"/>
      <c r="DS6" s="537"/>
      <c r="DT6" s="537"/>
      <c r="DU6" s="537"/>
      <c r="DV6" s="537"/>
      <c r="DW6" s="537"/>
      <c r="DX6" s="537"/>
      <c r="DY6" s="537"/>
      <c r="DZ6" s="537"/>
      <c r="EA6" s="537"/>
      <c r="EB6" s="537"/>
      <c r="EC6" s="537"/>
      <c r="ED6" s="537"/>
      <c r="EE6" s="537"/>
      <c r="EF6" s="537"/>
      <c r="EG6" s="537"/>
      <c r="EH6" s="537"/>
      <c r="EI6" s="537"/>
      <c r="EJ6" s="537"/>
      <c r="EK6" s="537"/>
      <c r="EL6" s="537"/>
      <c r="EM6" s="537"/>
      <c r="EN6" s="537"/>
      <c r="EO6" s="537"/>
      <c r="EP6" s="537"/>
      <c r="EQ6" s="537"/>
      <c r="ER6" s="537"/>
      <c r="ES6" s="537"/>
      <c r="ET6" s="537"/>
      <c r="EU6" s="537"/>
      <c r="EV6" s="537"/>
      <c r="EW6" s="537"/>
      <c r="EX6" s="537"/>
      <c r="EY6" s="537"/>
      <c r="EZ6" s="537"/>
      <c r="FA6" s="537"/>
      <c r="FB6" s="537"/>
      <c r="FC6" s="537"/>
      <c r="FD6" s="537"/>
      <c r="FE6" s="537"/>
      <c r="FF6" s="537"/>
      <c r="FG6" s="537"/>
      <c r="FH6" s="537"/>
      <c r="FI6" s="537"/>
      <c r="FJ6" s="537"/>
      <c r="FK6" s="537"/>
      <c r="FL6" s="537"/>
      <c r="FM6" s="537"/>
      <c r="FN6" s="537"/>
      <c r="FO6" s="537"/>
      <c r="FP6" s="537"/>
      <c r="FQ6" s="537"/>
      <c r="FR6" s="537"/>
      <c r="FS6" s="537"/>
      <c r="FT6" s="537"/>
      <c r="FU6" s="537"/>
      <c r="FV6" s="537"/>
      <c r="FW6" s="537"/>
      <c r="FX6" s="537"/>
      <c r="FY6" s="537"/>
      <c r="FZ6" s="537"/>
      <c r="GA6" s="537"/>
      <c r="GB6" s="537"/>
      <c r="GC6" s="537"/>
      <c r="GD6" s="537"/>
      <c r="GE6" s="537"/>
      <c r="GF6" s="537"/>
      <c r="GG6" s="537"/>
      <c r="GH6" s="537"/>
      <c r="GI6" s="537"/>
      <c r="GJ6" s="537"/>
      <c r="GK6" s="537"/>
      <c r="GL6" s="537"/>
      <c r="GM6" s="537"/>
      <c r="GN6" s="537"/>
      <c r="GO6" s="537"/>
      <c r="GP6" s="537"/>
      <c r="GQ6" s="537"/>
      <c r="GR6" s="537"/>
      <c r="GS6" s="537"/>
      <c r="GT6" s="537"/>
      <c r="GU6" s="537"/>
      <c r="GV6" s="537"/>
      <c r="GW6" s="537"/>
      <c r="GX6" s="537"/>
      <c r="GY6" s="537"/>
      <c r="GZ6" s="537"/>
      <c r="HA6" s="537"/>
      <c r="HB6" s="537"/>
      <c r="HC6" s="537"/>
      <c r="HD6" s="537"/>
      <c r="HE6" s="537"/>
      <c r="HF6" s="537"/>
      <c r="HG6" s="537"/>
      <c r="HH6" s="537"/>
      <c r="HI6" s="537"/>
      <c r="HJ6" s="537"/>
      <c r="HK6" s="537"/>
      <c r="HL6" s="537"/>
      <c r="HM6" s="537"/>
      <c r="HN6" s="537"/>
      <c r="HO6" s="537"/>
      <c r="HP6" s="537"/>
      <c r="HQ6" s="537"/>
      <c r="HR6" s="537"/>
      <c r="HS6" s="537"/>
      <c r="HT6" s="537"/>
      <c r="HU6" s="537"/>
      <c r="HV6" s="537"/>
      <c r="HW6" s="537"/>
      <c r="HX6" s="537"/>
      <c r="HY6" s="537"/>
      <c r="HZ6" s="537"/>
      <c r="IA6" s="537"/>
      <c r="IB6" s="537"/>
      <c r="IC6" s="537"/>
      <c r="ID6" s="537"/>
      <c r="IE6" s="537"/>
      <c r="IF6" s="537"/>
      <c r="IG6" s="537"/>
      <c r="IH6" s="537"/>
      <c r="II6" s="537"/>
      <c r="IJ6" s="537"/>
      <c r="IK6" s="537"/>
      <c r="IL6" s="537"/>
      <c r="IM6" s="537"/>
      <c r="IN6" s="537"/>
      <c r="IO6" s="537"/>
      <c r="IP6" s="537"/>
      <c r="IQ6" s="537"/>
      <c r="IR6" s="537"/>
      <c r="IS6" s="537"/>
      <c r="IT6" s="537"/>
      <c r="IU6" s="537"/>
      <c r="IV6" s="537"/>
      <c r="IW6" s="537"/>
      <c r="IX6" s="537"/>
      <c r="IY6" s="537"/>
      <c r="IZ6" s="537"/>
      <c r="JA6" s="537"/>
      <c r="JB6" s="537"/>
      <c r="JC6" s="537"/>
      <c r="JD6" s="537"/>
      <c r="JE6" s="537"/>
      <c r="JF6" s="537"/>
      <c r="JG6" s="537"/>
      <c r="JH6" s="537"/>
      <c r="JI6" s="537"/>
      <c r="JJ6" s="537"/>
      <c r="JK6" s="537"/>
      <c r="JL6" s="537"/>
      <c r="JM6" s="537"/>
      <c r="JN6" s="537"/>
      <c r="JO6" s="537"/>
      <c r="JP6" s="537"/>
      <c r="JQ6" s="537"/>
      <c r="JR6" s="537"/>
      <c r="JS6" s="537"/>
      <c r="JT6" s="537"/>
      <c r="JU6" s="537"/>
      <c r="JV6" s="537"/>
      <c r="JW6" s="537"/>
      <c r="JX6" s="537"/>
      <c r="JY6" s="537"/>
      <c r="JZ6" s="537"/>
      <c r="KA6" s="537"/>
      <c r="KB6" s="537"/>
      <c r="KC6" s="537"/>
      <c r="KD6" s="537"/>
      <c r="KE6" s="537"/>
      <c r="KF6" s="537"/>
      <c r="KG6" s="537"/>
      <c r="KH6" s="537"/>
      <c r="KI6" s="537"/>
      <c r="KJ6" s="537"/>
      <c r="KK6" s="537"/>
      <c r="KL6" s="537"/>
      <c r="KM6" s="537"/>
      <c r="KN6" s="537"/>
      <c r="KO6" s="537"/>
      <c r="KP6" s="537"/>
      <c r="KQ6" s="537"/>
      <c r="KR6" s="537"/>
      <c r="KS6" s="537"/>
      <c r="KT6" s="537"/>
      <c r="KU6" s="537"/>
      <c r="KV6" s="537"/>
      <c r="KW6" s="537"/>
      <c r="KX6" s="537"/>
      <c r="KY6" s="537"/>
      <c r="KZ6" s="537"/>
      <c r="LA6" s="537"/>
      <c r="LB6" s="537"/>
      <c r="LC6" s="537"/>
      <c r="LD6" s="537"/>
      <c r="LE6" s="537"/>
      <c r="LF6" s="537"/>
      <c r="LG6" s="537"/>
      <c r="LH6" s="537"/>
      <c r="LI6" s="537"/>
      <c r="LJ6" s="537"/>
      <c r="LK6" s="537"/>
      <c r="LL6" s="537"/>
      <c r="LM6" s="537"/>
      <c r="LN6" s="537"/>
      <c r="LO6" s="537"/>
      <c r="LP6" s="537"/>
      <c r="LQ6" s="537"/>
      <c r="LR6" s="537"/>
      <c r="LS6" s="537"/>
      <c r="LT6" s="537"/>
      <c r="LU6" s="537"/>
      <c r="LV6" s="537"/>
      <c r="LW6" s="537"/>
      <c r="LX6" s="537"/>
      <c r="LY6" s="537"/>
      <c r="LZ6" s="537"/>
      <c r="MA6" s="537"/>
      <c r="MB6" s="537"/>
      <c r="MC6" s="537"/>
      <c r="MD6" s="537"/>
      <c r="ME6" s="537"/>
      <c r="MF6" s="537"/>
      <c r="MG6" s="537"/>
      <c r="MH6" s="537"/>
      <c r="MI6" s="537"/>
      <c r="MJ6" s="537"/>
      <c r="MK6" s="537"/>
      <c r="ML6" s="537"/>
      <c r="MM6" s="537"/>
      <c r="MN6" s="537"/>
      <c r="MO6" s="537"/>
      <c r="MP6" s="537"/>
      <c r="MQ6" s="537"/>
      <c r="MR6" s="537"/>
      <c r="MS6" s="537"/>
      <c r="MT6" s="537"/>
      <c r="MU6" s="537"/>
      <c r="MV6" s="537"/>
      <c r="MW6" s="537"/>
      <c r="MX6" s="537"/>
      <c r="MY6" s="537"/>
      <c r="MZ6" s="537"/>
      <c r="NA6" s="537"/>
      <c r="NB6" s="537"/>
      <c r="NC6" s="537"/>
      <c r="ND6" s="537"/>
      <c r="NE6" s="537"/>
      <c r="NF6" s="537"/>
      <c r="NG6" s="537"/>
      <c r="NH6" s="537"/>
      <c r="NI6" s="537"/>
      <c r="NJ6" s="537"/>
      <c r="NK6" s="537"/>
      <c r="NL6" s="537"/>
      <c r="NM6" s="537"/>
      <c r="NN6" s="537"/>
      <c r="NO6" s="537"/>
      <c r="NP6" s="537"/>
      <c r="NQ6" s="537"/>
      <c r="NR6" s="537"/>
      <c r="NS6" s="537"/>
      <c r="NT6" s="537"/>
      <c r="NU6" s="537"/>
      <c r="NV6" s="537"/>
      <c r="NW6" s="537"/>
      <c r="NX6" s="537"/>
      <c r="NY6" s="537"/>
      <c r="NZ6" s="537"/>
      <c r="OA6" s="537"/>
      <c r="OB6" s="537"/>
      <c r="OC6" s="537"/>
      <c r="OD6" s="537"/>
      <c r="OE6" s="537"/>
      <c r="OF6" s="537"/>
      <c r="OG6" s="537"/>
      <c r="OH6" s="537"/>
      <c r="OI6" s="537"/>
      <c r="OJ6" s="537"/>
      <c r="OK6" s="537"/>
      <c r="OL6" s="537"/>
      <c r="OM6" s="537"/>
      <c r="ON6" s="537"/>
      <c r="OO6" s="537"/>
      <c r="OP6" s="537"/>
      <c r="OQ6" s="537"/>
      <c r="OR6" s="537"/>
      <c r="OS6" s="537"/>
      <c r="OT6" s="537"/>
      <c r="OU6" s="537"/>
      <c r="OV6" s="537"/>
      <c r="OW6" s="537"/>
      <c r="OX6" s="537"/>
      <c r="OY6" s="537"/>
      <c r="OZ6" s="537"/>
      <c r="PA6" s="537"/>
      <c r="PB6" s="537"/>
      <c r="PC6" s="537"/>
      <c r="PD6" s="537"/>
      <c r="PE6" s="537"/>
      <c r="PF6" s="537"/>
      <c r="PG6" s="537"/>
      <c r="PH6" s="537"/>
      <c r="PI6" s="537"/>
      <c r="PJ6" s="537"/>
      <c r="PK6" s="537"/>
      <c r="PL6" s="537"/>
      <c r="PM6" s="537"/>
      <c r="PN6" s="537"/>
      <c r="PO6" s="537"/>
      <c r="PP6" s="537"/>
      <c r="PQ6" s="537"/>
      <c r="PR6" s="537"/>
      <c r="PS6" s="537"/>
      <c r="PT6" s="537"/>
      <c r="PU6" s="537"/>
      <c r="PV6" s="537"/>
      <c r="PW6" s="537"/>
      <c r="PX6" s="537"/>
      <c r="PY6" s="537"/>
      <c r="PZ6" s="537"/>
      <c r="QA6" s="537"/>
      <c r="QB6" s="537"/>
      <c r="QC6" s="537"/>
      <c r="QD6" s="537"/>
      <c r="QE6" s="537"/>
      <c r="QF6" s="537"/>
      <c r="QG6" s="537"/>
      <c r="QH6" s="537"/>
      <c r="QI6" s="537"/>
      <c r="QJ6" s="537"/>
      <c r="QK6" s="537"/>
      <c r="QL6" s="537"/>
      <c r="QM6" s="537"/>
      <c r="QN6" s="537"/>
      <c r="QO6" s="537"/>
      <c r="QP6" s="537"/>
      <c r="QQ6" s="537"/>
      <c r="QR6" s="537"/>
      <c r="QS6" s="537"/>
      <c r="QT6" s="537"/>
      <c r="QU6" s="537"/>
      <c r="QV6" s="537"/>
      <c r="QW6" s="537"/>
      <c r="QX6" s="537"/>
      <c r="QY6" s="537"/>
      <c r="QZ6" s="537"/>
      <c r="RA6" s="537"/>
      <c r="RB6" s="537"/>
      <c r="RC6" s="537"/>
      <c r="RD6" s="537"/>
      <c r="RE6" s="537"/>
      <c r="RF6" s="537"/>
      <c r="RG6" s="537"/>
      <c r="RH6" s="537"/>
      <c r="RI6" s="537"/>
      <c r="RJ6" s="537"/>
      <c r="RK6" s="537"/>
      <c r="RL6" s="537"/>
      <c r="RM6" s="537"/>
      <c r="RN6" s="537"/>
      <c r="RO6" s="537"/>
      <c r="RP6" s="537"/>
      <c r="RQ6" s="537"/>
      <c r="RR6" s="537"/>
      <c r="RS6" s="537"/>
      <c r="RT6" s="537"/>
      <c r="RU6" s="537"/>
      <c r="RV6" s="537"/>
      <c r="RW6" s="537"/>
      <c r="RX6" s="537"/>
    </row>
    <row r="7" spans="1:492" s="538" customFormat="1" ht="20.149999999999999" customHeight="1">
      <c r="A7" s="548" t="s">
        <v>115</v>
      </c>
      <c r="B7" s="573" t="s">
        <v>116</v>
      </c>
      <c r="C7" s="528"/>
      <c r="D7" s="528"/>
      <c r="E7" s="528"/>
      <c r="F7" s="528"/>
      <c r="G7" s="528"/>
      <c r="H7" s="528"/>
      <c r="I7" s="528"/>
      <c r="J7" s="528"/>
      <c r="K7" s="528"/>
      <c r="L7" s="528"/>
      <c r="M7" s="528"/>
      <c r="N7" s="528"/>
      <c r="O7" s="528"/>
      <c r="P7" s="528"/>
      <c r="Q7" s="528"/>
      <c r="R7" s="528"/>
      <c r="S7" s="528"/>
      <c r="T7" s="528"/>
      <c r="U7" s="528"/>
      <c r="V7" s="528"/>
      <c r="W7" s="528"/>
      <c r="X7" s="528"/>
      <c r="Y7" s="528"/>
      <c r="Z7" s="528"/>
      <c r="AA7" s="528"/>
      <c r="AB7" s="528"/>
      <c r="AC7" s="528"/>
      <c r="AD7" s="528"/>
      <c r="AE7" s="528"/>
      <c r="AF7" s="528"/>
      <c r="AG7" s="528"/>
      <c r="AH7" s="528"/>
      <c r="AI7" s="528"/>
      <c r="AJ7" s="528"/>
      <c r="AK7" s="528"/>
      <c r="AL7" s="528"/>
      <c r="AM7" s="559">
        <v>349.6</v>
      </c>
      <c r="AN7" s="529">
        <v>412.69999999999993</v>
      </c>
      <c r="AO7" s="529">
        <v>375.20000000000005</v>
      </c>
      <c r="AP7" s="529">
        <v>558.40000000000009</v>
      </c>
      <c r="AQ7" s="560">
        <f t="shared" ref="AQ7:AQ9" si="4">SUM(AM7:AP7)</f>
        <v>1695.9</v>
      </c>
      <c r="AR7" s="529"/>
      <c r="AS7" s="529"/>
      <c r="AT7" s="529"/>
      <c r="AU7" s="529"/>
      <c r="AV7" s="524"/>
      <c r="AW7" s="529">
        <v>454.6</v>
      </c>
      <c r="AX7" s="529">
        <v>520.19999999999993</v>
      </c>
      <c r="AY7" s="529">
        <v>440.70000000000005</v>
      </c>
      <c r="AZ7" s="529">
        <v>582.40000000000009</v>
      </c>
      <c r="BA7" s="535">
        <f t="shared" ref="BA7:BA9" si="5">SUM(AW7:AZ7)</f>
        <v>1997.9</v>
      </c>
      <c r="BB7" s="559">
        <v>460.6</v>
      </c>
      <c r="BC7" s="529">
        <v>412.19999999999993</v>
      </c>
      <c r="BD7" s="529">
        <v>481.90000000000009</v>
      </c>
      <c r="BE7" s="523">
        <v>652.20000000000005</v>
      </c>
      <c r="BF7" s="560">
        <f t="shared" ref="BF7:BF9" si="6">SUM(BB7:BE7)</f>
        <v>2006.9</v>
      </c>
      <c r="BG7" s="529">
        <v>507.2</v>
      </c>
      <c r="BH7" s="529">
        <v>570</v>
      </c>
      <c r="BI7" s="529">
        <v>499.50000000000006</v>
      </c>
      <c r="BJ7" s="523">
        <f>2264.1-SUM(BG7:BI7)</f>
        <v>687.39999999999986</v>
      </c>
      <c r="BK7" s="560">
        <f t="shared" ref="BK7:BK9" si="7">SUM(BG7:BJ7)</f>
        <v>2264.1</v>
      </c>
      <c r="BL7" s="529">
        <v>533.5</v>
      </c>
      <c r="BM7" s="523">
        <f>1140-BL7</f>
        <v>606.5</v>
      </c>
      <c r="BN7" s="529">
        <f>1693.5-BM7-BL7</f>
        <v>553.5</v>
      </c>
      <c r="BO7" s="523">
        <f>2424.2-BN7-BM7-BL7</f>
        <v>730.69999999999982</v>
      </c>
      <c r="BP7" s="560">
        <f t="shared" ref="BP7:BP9" si="8">SUM(BL7:BO7)</f>
        <v>2424.1999999999998</v>
      </c>
      <c r="BQ7" s="529">
        <v>567.9</v>
      </c>
      <c r="BR7" s="523"/>
      <c r="BS7" s="529"/>
      <c r="BT7" s="523"/>
      <c r="BU7" s="560">
        <f t="shared" ref="BU7:BU9" si="9">SUM(BQ7:BT7)</f>
        <v>567.9</v>
      </c>
      <c r="BV7" s="537"/>
      <c r="BW7" s="529"/>
      <c r="BX7" s="537"/>
      <c r="BY7" s="537"/>
      <c r="BZ7" s="537"/>
      <c r="CA7" s="537"/>
      <c r="CB7" s="537"/>
      <c r="CC7" s="537"/>
      <c r="CD7" s="537"/>
      <c r="CE7" s="537"/>
      <c r="CF7" s="537"/>
      <c r="CG7" s="537"/>
      <c r="CH7" s="537"/>
      <c r="CI7" s="537"/>
      <c r="CJ7" s="537"/>
      <c r="CK7" s="537"/>
      <c r="CL7" s="537"/>
      <c r="CM7" s="537"/>
      <c r="CN7" s="537"/>
      <c r="CO7" s="537"/>
      <c r="CP7" s="537"/>
      <c r="CQ7" s="537"/>
      <c r="CR7" s="537"/>
      <c r="CS7" s="537"/>
      <c r="CT7" s="537"/>
      <c r="CU7" s="537"/>
      <c r="CV7" s="537"/>
      <c r="CW7" s="537"/>
      <c r="CX7" s="537"/>
      <c r="CY7" s="537"/>
      <c r="CZ7" s="537"/>
      <c r="DA7" s="537"/>
      <c r="DB7" s="537"/>
      <c r="DC7" s="537"/>
      <c r="DD7" s="537"/>
      <c r="DE7" s="537"/>
      <c r="DF7" s="537"/>
      <c r="DG7" s="537"/>
      <c r="DH7" s="537"/>
      <c r="DI7" s="537"/>
      <c r="DJ7" s="537"/>
      <c r="DK7" s="537"/>
      <c r="DL7" s="537"/>
      <c r="DM7" s="537"/>
      <c r="DN7" s="537"/>
      <c r="DO7" s="537"/>
      <c r="DP7" s="537"/>
      <c r="DQ7" s="537"/>
      <c r="DR7" s="537"/>
      <c r="DS7" s="537"/>
      <c r="DT7" s="537"/>
      <c r="DU7" s="537"/>
      <c r="DV7" s="537"/>
      <c r="DW7" s="537"/>
      <c r="DX7" s="537"/>
      <c r="DY7" s="537"/>
      <c r="DZ7" s="537"/>
      <c r="EA7" s="537"/>
      <c r="EB7" s="537"/>
      <c r="EC7" s="537"/>
      <c r="ED7" s="537"/>
      <c r="EE7" s="537"/>
      <c r="EF7" s="537"/>
      <c r="EG7" s="537"/>
      <c r="EH7" s="537"/>
      <c r="EI7" s="537"/>
      <c r="EJ7" s="537"/>
      <c r="EK7" s="537"/>
      <c r="EL7" s="537"/>
      <c r="EM7" s="537"/>
      <c r="EN7" s="537"/>
      <c r="EO7" s="537"/>
      <c r="EP7" s="537"/>
      <c r="EQ7" s="537"/>
      <c r="ER7" s="537"/>
      <c r="ES7" s="537"/>
      <c r="ET7" s="537"/>
      <c r="EU7" s="537"/>
      <c r="EV7" s="537"/>
      <c r="EW7" s="537"/>
      <c r="EX7" s="537"/>
      <c r="EY7" s="537"/>
      <c r="EZ7" s="537"/>
      <c r="FA7" s="537"/>
      <c r="FB7" s="537"/>
      <c r="FC7" s="537"/>
      <c r="FD7" s="537"/>
      <c r="FE7" s="537"/>
      <c r="FF7" s="537"/>
      <c r="FG7" s="537"/>
      <c r="FH7" s="537"/>
      <c r="FI7" s="537"/>
      <c r="FJ7" s="537"/>
      <c r="FK7" s="537"/>
      <c r="FL7" s="537"/>
      <c r="FM7" s="537"/>
      <c r="FN7" s="537"/>
      <c r="FO7" s="537"/>
      <c r="FP7" s="537"/>
      <c r="FQ7" s="537"/>
      <c r="FR7" s="537"/>
      <c r="FS7" s="537"/>
      <c r="FT7" s="537"/>
      <c r="FU7" s="537"/>
      <c r="FV7" s="537"/>
      <c r="FW7" s="537"/>
      <c r="FX7" s="537"/>
      <c r="FY7" s="537"/>
      <c r="FZ7" s="537"/>
      <c r="GA7" s="537"/>
      <c r="GB7" s="537"/>
      <c r="GC7" s="537"/>
      <c r="GD7" s="537"/>
      <c r="GE7" s="537"/>
      <c r="GF7" s="537"/>
      <c r="GG7" s="537"/>
      <c r="GH7" s="537"/>
      <c r="GI7" s="537"/>
      <c r="GJ7" s="537"/>
      <c r="GK7" s="537"/>
      <c r="GL7" s="537"/>
      <c r="GM7" s="537"/>
      <c r="GN7" s="537"/>
      <c r="GO7" s="537"/>
      <c r="GP7" s="537"/>
      <c r="GQ7" s="537"/>
      <c r="GR7" s="537"/>
      <c r="GS7" s="537"/>
      <c r="GT7" s="537"/>
      <c r="GU7" s="537"/>
      <c r="GV7" s="537"/>
      <c r="GW7" s="537"/>
      <c r="GX7" s="537"/>
      <c r="GY7" s="537"/>
      <c r="GZ7" s="537"/>
      <c r="HA7" s="537"/>
      <c r="HB7" s="537"/>
      <c r="HC7" s="537"/>
      <c r="HD7" s="537"/>
      <c r="HE7" s="537"/>
      <c r="HF7" s="537"/>
      <c r="HG7" s="537"/>
      <c r="HH7" s="537"/>
      <c r="HI7" s="537"/>
      <c r="HJ7" s="537"/>
      <c r="HK7" s="537"/>
      <c r="HL7" s="537"/>
      <c r="HM7" s="537"/>
      <c r="HN7" s="537"/>
      <c r="HO7" s="537"/>
      <c r="HP7" s="537"/>
      <c r="HQ7" s="537"/>
      <c r="HR7" s="537"/>
      <c r="HS7" s="537"/>
      <c r="HT7" s="537"/>
      <c r="HU7" s="537"/>
      <c r="HV7" s="537"/>
      <c r="HW7" s="537"/>
      <c r="HX7" s="537"/>
      <c r="HY7" s="537"/>
      <c r="HZ7" s="537"/>
      <c r="IA7" s="537"/>
      <c r="IB7" s="537"/>
      <c r="IC7" s="537"/>
      <c r="ID7" s="537"/>
      <c r="IE7" s="537"/>
      <c r="IF7" s="537"/>
      <c r="IG7" s="537"/>
      <c r="IH7" s="537"/>
      <c r="II7" s="537"/>
      <c r="IJ7" s="537"/>
      <c r="IK7" s="537"/>
      <c r="IL7" s="537"/>
      <c r="IM7" s="537"/>
      <c r="IN7" s="537"/>
      <c r="IO7" s="537"/>
      <c r="IP7" s="537"/>
      <c r="IQ7" s="537"/>
      <c r="IR7" s="537"/>
      <c r="IS7" s="537"/>
      <c r="IT7" s="537"/>
      <c r="IU7" s="537"/>
      <c r="IV7" s="537"/>
      <c r="IW7" s="537"/>
      <c r="IX7" s="537"/>
      <c r="IY7" s="537"/>
      <c r="IZ7" s="537"/>
      <c r="JA7" s="537"/>
      <c r="JB7" s="537"/>
      <c r="JC7" s="537"/>
      <c r="JD7" s="537"/>
      <c r="JE7" s="537"/>
      <c r="JF7" s="537"/>
      <c r="JG7" s="537"/>
      <c r="JH7" s="537"/>
      <c r="JI7" s="537"/>
      <c r="JJ7" s="537"/>
      <c r="JK7" s="537"/>
      <c r="JL7" s="537"/>
      <c r="JM7" s="537"/>
      <c r="JN7" s="537"/>
      <c r="JO7" s="537"/>
      <c r="JP7" s="537"/>
      <c r="JQ7" s="537"/>
      <c r="JR7" s="537"/>
      <c r="JS7" s="537"/>
      <c r="JT7" s="537"/>
      <c r="JU7" s="537"/>
      <c r="JV7" s="537"/>
      <c r="JW7" s="537"/>
      <c r="JX7" s="537"/>
      <c r="JY7" s="537"/>
      <c r="JZ7" s="537"/>
      <c r="KA7" s="537"/>
      <c r="KB7" s="537"/>
      <c r="KC7" s="537"/>
      <c r="KD7" s="537"/>
      <c r="KE7" s="537"/>
      <c r="KF7" s="537"/>
      <c r="KG7" s="537"/>
      <c r="KH7" s="537"/>
      <c r="KI7" s="537"/>
      <c r="KJ7" s="537"/>
      <c r="KK7" s="537"/>
      <c r="KL7" s="537"/>
      <c r="KM7" s="537"/>
      <c r="KN7" s="537"/>
      <c r="KO7" s="537"/>
      <c r="KP7" s="537"/>
      <c r="KQ7" s="537"/>
      <c r="KR7" s="537"/>
      <c r="KS7" s="537"/>
      <c r="KT7" s="537"/>
      <c r="KU7" s="537"/>
      <c r="KV7" s="537"/>
      <c r="KW7" s="537"/>
      <c r="KX7" s="537"/>
      <c r="KY7" s="537"/>
      <c r="KZ7" s="537"/>
      <c r="LA7" s="537"/>
      <c r="LB7" s="537"/>
      <c r="LC7" s="537"/>
      <c r="LD7" s="537"/>
      <c r="LE7" s="537"/>
      <c r="LF7" s="537"/>
      <c r="LG7" s="537"/>
      <c r="LH7" s="537"/>
      <c r="LI7" s="537"/>
      <c r="LJ7" s="537"/>
      <c r="LK7" s="537"/>
      <c r="LL7" s="537"/>
      <c r="LM7" s="537"/>
      <c r="LN7" s="537"/>
      <c r="LO7" s="537"/>
      <c r="LP7" s="537"/>
      <c r="LQ7" s="537"/>
      <c r="LR7" s="537"/>
      <c r="LS7" s="537"/>
      <c r="LT7" s="537"/>
      <c r="LU7" s="537"/>
      <c r="LV7" s="537"/>
      <c r="LW7" s="537"/>
      <c r="LX7" s="537"/>
      <c r="LY7" s="537"/>
      <c r="LZ7" s="537"/>
      <c r="MA7" s="537"/>
      <c r="MB7" s="537"/>
      <c r="MC7" s="537"/>
      <c r="MD7" s="537"/>
      <c r="ME7" s="537"/>
      <c r="MF7" s="537"/>
      <c r="MG7" s="537"/>
      <c r="MH7" s="537"/>
      <c r="MI7" s="537"/>
      <c r="MJ7" s="537"/>
      <c r="MK7" s="537"/>
      <c r="ML7" s="537"/>
      <c r="MM7" s="537"/>
      <c r="MN7" s="537"/>
      <c r="MO7" s="537"/>
      <c r="MP7" s="537"/>
      <c r="MQ7" s="537"/>
      <c r="MR7" s="537"/>
      <c r="MS7" s="537"/>
      <c r="MT7" s="537"/>
      <c r="MU7" s="537"/>
      <c r="MV7" s="537"/>
      <c r="MW7" s="537"/>
      <c r="MX7" s="537"/>
      <c r="MY7" s="537"/>
      <c r="MZ7" s="537"/>
      <c r="NA7" s="537"/>
      <c r="NB7" s="537"/>
      <c r="NC7" s="537"/>
      <c r="ND7" s="537"/>
      <c r="NE7" s="537"/>
      <c r="NF7" s="537"/>
      <c r="NG7" s="537"/>
      <c r="NH7" s="537"/>
      <c r="NI7" s="537"/>
      <c r="NJ7" s="537"/>
      <c r="NK7" s="537"/>
      <c r="NL7" s="537"/>
      <c r="NM7" s="537"/>
      <c r="NN7" s="537"/>
      <c r="NO7" s="537"/>
      <c r="NP7" s="537"/>
      <c r="NQ7" s="537"/>
      <c r="NR7" s="537"/>
      <c r="NS7" s="537"/>
      <c r="NT7" s="537"/>
      <c r="NU7" s="537"/>
      <c r="NV7" s="537"/>
      <c r="NW7" s="537"/>
      <c r="NX7" s="537"/>
      <c r="NY7" s="537"/>
      <c r="NZ7" s="537"/>
      <c r="OA7" s="537"/>
      <c r="OB7" s="537"/>
      <c r="OC7" s="537"/>
      <c r="OD7" s="537"/>
      <c r="OE7" s="537"/>
      <c r="OF7" s="537"/>
      <c r="OG7" s="537"/>
      <c r="OH7" s="537"/>
      <c r="OI7" s="537"/>
      <c r="OJ7" s="537"/>
      <c r="OK7" s="537"/>
      <c r="OL7" s="537"/>
      <c r="OM7" s="537"/>
      <c r="ON7" s="537"/>
      <c r="OO7" s="537"/>
      <c r="OP7" s="537"/>
      <c r="OQ7" s="537"/>
      <c r="OR7" s="537"/>
      <c r="OS7" s="537"/>
      <c r="OT7" s="537"/>
      <c r="OU7" s="537"/>
      <c r="OV7" s="537"/>
      <c r="OW7" s="537"/>
      <c r="OX7" s="537"/>
      <c r="OY7" s="537"/>
      <c r="OZ7" s="537"/>
      <c r="PA7" s="537"/>
      <c r="PB7" s="537"/>
      <c r="PC7" s="537"/>
      <c r="PD7" s="537"/>
      <c r="PE7" s="537"/>
      <c r="PF7" s="537"/>
      <c r="PG7" s="537"/>
      <c r="PH7" s="537"/>
      <c r="PI7" s="537"/>
      <c r="PJ7" s="537"/>
      <c r="PK7" s="537"/>
      <c r="PL7" s="537"/>
      <c r="PM7" s="537"/>
      <c r="PN7" s="537"/>
      <c r="PO7" s="537"/>
      <c r="PP7" s="537"/>
      <c r="PQ7" s="537"/>
      <c r="PR7" s="537"/>
      <c r="PS7" s="537"/>
      <c r="PT7" s="537"/>
      <c r="PU7" s="537"/>
      <c r="PV7" s="537"/>
      <c r="PW7" s="537"/>
      <c r="PX7" s="537"/>
      <c r="PY7" s="537"/>
      <c r="PZ7" s="537"/>
      <c r="QA7" s="537"/>
      <c r="QB7" s="537"/>
      <c r="QC7" s="537"/>
      <c r="QD7" s="537"/>
      <c r="QE7" s="537"/>
      <c r="QF7" s="537"/>
      <c r="QG7" s="537"/>
      <c r="QH7" s="537"/>
      <c r="QI7" s="537"/>
      <c r="QJ7" s="537"/>
      <c r="QK7" s="537"/>
      <c r="QL7" s="537"/>
      <c r="QM7" s="537"/>
      <c r="QN7" s="537"/>
      <c r="QO7" s="537"/>
      <c r="QP7" s="537"/>
      <c r="QQ7" s="537"/>
      <c r="QR7" s="537"/>
      <c r="QS7" s="537"/>
      <c r="QT7" s="537"/>
      <c r="QU7" s="537"/>
      <c r="QV7" s="537"/>
      <c r="QW7" s="537"/>
      <c r="QX7" s="537"/>
      <c r="QY7" s="537"/>
      <c r="QZ7" s="537"/>
      <c r="RA7" s="537"/>
      <c r="RB7" s="537"/>
      <c r="RC7" s="537"/>
      <c r="RD7" s="537"/>
      <c r="RE7" s="537"/>
      <c r="RF7" s="537"/>
      <c r="RG7" s="537"/>
      <c r="RH7" s="537"/>
      <c r="RI7" s="537"/>
      <c r="RJ7" s="537"/>
      <c r="RK7" s="537"/>
      <c r="RL7" s="537"/>
      <c r="RM7" s="537"/>
      <c r="RN7" s="537"/>
      <c r="RO7" s="537"/>
      <c r="RP7" s="537"/>
      <c r="RQ7" s="537"/>
      <c r="RR7" s="537"/>
      <c r="RS7" s="537"/>
      <c r="RT7" s="537"/>
      <c r="RU7" s="537"/>
      <c r="RV7" s="537"/>
      <c r="RW7" s="537"/>
      <c r="RX7" s="537"/>
    </row>
    <row r="8" spans="1:492" s="538" customFormat="1" ht="20.149999999999999" customHeight="1">
      <c r="A8" s="548" t="s">
        <v>117</v>
      </c>
      <c r="B8" s="573" t="s">
        <v>118</v>
      </c>
      <c r="C8" s="528"/>
      <c r="D8" s="528"/>
      <c r="E8" s="528"/>
      <c r="F8" s="528"/>
      <c r="G8" s="528"/>
      <c r="H8" s="528"/>
      <c r="I8" s="528"/>
      <c r="J8" s="528"/>
      <c r="K8" s="528"/>
      <c r="L8" s="528"/>
      <c r="M8" s="528"/>
      <c r="N8" s="528"/>
      <c r="O8" s="528"/>
      <c r="P8" s="528"/>
      <c r="Q8" s="528"/>
      <c r="R8" s="528"/>
      <c r="S8" s="528"/>
      <c r="T8" s="528"/>
      <c r="U8" s="528"/>
      <c r="V8" s="528"/>
      <c r="W8" s="528"/>
      <c r="X8" s="528"/>
      <c r="Y8" s="528"/>
      <c r="Z8" s="528"/>
      <c r="AA8" s="528"/>
      <c r="AB8" s="528"/>
      <c r="AC8" s="528"/>
      <c r="AD8" s="528"/>
      <c r="AE8" s="528"/>
      <c r="AF8" s="528"/>
      <c r="AG8" s="528"/>
      <c r="AH8" s="528"/>
      <c r="AI8" s="528"/>
      <c r="AJ8" s="528"/>
      <c r="AK8" s="528"/>
      <c r="AL8" s="528"/>
      <c r="AM8" s="559"/>
      <c r="AN8" s="529"/>
      <c r="AO8" s="529"/>
      <c r="AP8" s="529"/>
      <c r="AQ8" s="560"/>
      <c r="AR8" s="529"/>
      <c r="AS8" s="529"/>
      <c r="AT8" s="529"/>
      <c r="AU8" s="529"/>
      <c r="AV8" s="524"/>
      <c r="AW8" s="529"/>
      <c r="AX8" s="529"/>
      <c r="AY8" s="529"/>
      <c r="AZ8" s="529"/>
      <c r="BA8" s="535"/>
      <c r="BB8" s="559"/>
      <c r="BC8" s="529"/>
      <c r="BD8" s="529"/>
      <c r="BE8" s="523"/>
      <c r="BF8" s="560"/>
      <c r="BG8" s="529"/>
      <c r="BH8" s="529"/>
      <c r="BI8" s="529"/>
      <c r="BJ8" s="523"/>
      <c r="BK8" s="560"/>
      <c r="BL8" s="529"/>
      <c r="BM8" s="523">
        <v>44.3</v>
      </c>
      <c r="BN8" s="529">
        <f>118.1-BM8-BL8</f>
        <v>73.8</v>
      </c>
      <c r="BO8" s="523">
        <f>183.4-BN8-BM8</f>
        <v>65.300000000000011</v>
      </c>
      <c r="BP8" s="560">
        <f t="shared" si="8"/>
        <v>183.4</v>
      </c>
      <c r="BQ8" s="529">
        <v>44.8</v>
      </c>
      <c r="BR8" s="523"/>
      <c r="BS8" s="529"/>
      <c r="BT8" s="523"/>
      <c r="BU8" s="560">
        <f t="shared" si="9"/>
        <v>44.8</v>
      </c>
      <c r="BV8" s="537"/>
      <c r="BW8" s="529"/>
      <c r="BX8" s="537"/>
      <c r="BY8" s="537"/>
      <c r="BZ8" s="537"/>
      <c r="CA8" s="537"/>
      <c r="CB8" s="537"/>
      <c r="CC8" s="537"/>
      <c r="CD8" s="537"/>
      <c r="CE8" s="537"/>
      <c r="CF8" s="537"/>
      <c r="CG8" s="537"/>
      <c r="CH8" s="537"/>
      <c r="CI8" s="537"/>
      <c r="CJ8" s="537"/>
      <c r="CK8" s="537"/>
      <c r="CL8" s="537"/>
      <c r="CM8" s="537"/>
      <c r="CN8" s="537"/>
      <c r="CO8" s="537"/>
      <c r="CP8" s="537"/>
      <c r="CQ8" s="537"/>
      <c r="CR8" s="537"/>
      <c r="CS8" s="537"/>
      <c r="CT8" s="537"/>
      <c r="CU8" s="537"/>
      <c r="CV8" s="537"/>
      <c r="CW8" s="537"/>
      <c r="CX8" s="537"/>
      <c r="CY8" s="537"/>
      <c r="CZ8" s="537"/>
      <c r="DA8" s="537"/>
      <c r="DB8" s="537"/>
      <c r="DC8" s="537"/>
      <c r="DD8" s="537"/>
      <c r="DE8" s="537"/>
      <c r="DF8" s="537"/>
      <c r="DG8" s="537"/>
      <c r="DH8" s="537"/>
      <c r="DI8" s="537"/>
      <c r="DJ8" s="537"/>
      <c r="DK8" s="537"/>
      <c r="DL8" s="537"/>
      <c r="DM8" s="537"/>
      <c r="DN8" s="537"/>
      <c r="DO8" s="537"/>
      <c r="DP8" s="537"/>
      <c r="DQ8" s="537"/>
      <c r="DR8" s="537"/>
      <c r="DS8" s="537"/>
      <c r="DT8" s="537"/>
      <c r="DU8" s="537"/>
      <c r="DV8" s="537"/>
      <c r="DW8" s="537"/>
      <c r="DX8" s="537"/>
      <c r="DY8" s="537"/>
      <c r="DZ8" s="537"/>
      <c r="EA8" s="537"/>
      <c r="EB8" s="537"/>
      <c r="EC8" s="537"/>
      <c r="ED8" s="537"/>
      <c r="EE8" s="537"/>
      <c r="EF8" s="537"/>
      <c r="EG8" s="537"/>
      <c r="EH8" s="537"/>
      <c r="EI8" s="537"/>
      <c r="EJ8" s="537"/>
      <c r="EK8" s="537"/>
      <c r="EL8" s="537"/>
      <c r="EM8" s="537"/>
      <c r="EN8" s="537"/>
      <c r="EO8" s="537"/>
      <c r="EP8" s="537"/>
      <c r="EQ8" s="537"/>
      <c r="ER8" s="537"/>
      <c r="ES8" s="537"/>
      <c r="ET8" s="537"/>
      <c r="EU8" s="537"/>
      <c r="EV8" s="537"/>
      <c r="EW8" s="537"/>
      <c r="EX8" s="537"/>
      <c r="EY8" s="537"/>
      <c r="EZ8" s="537"/>
      <c r="FA8" s="537"/>
      <c r="FB8" s="537"/>
      <c r="FC8" s="537"/>
      <c r="FD8" s="537"/>
      <c r="FE8" s="537"/>
      <c r="FF8" s="537"/>
      <c r="FG8" s="537"/>
      <c r="FH8" s="537"/>
      <c r="FI8" s="537"/>
      <c r="FJ8" s="537"/>
      <c r="FK8" s="537"/>
      <c r="FL8" s="537"/>
      <c r="FM8" s="537"/>
      <c r="FN8" s="537"/>
      <c r="FO8" s="537"/>
      <c r="FP8" s="537"/>
      <c r="FQ8" s="537"/>
      <c r="FR8" s="537"/>
      <c r="FS8" s="537"/>
      <c r="FT8" s="537"/>
      <c r="FU8" s="537"/>
      <c r="FV8" s="537"/>
      <c r="FW8" s="537"/>
      <c r="FX8" s="537"/>
      <c r="FY8" s="537"/>
      <c r="FZ8" s="537"/>
      <c r="GA8" s="537"/>
      <c r="GB8" s="537"/>
      <c r="GC8" s="537"/>
      <c r="GD8" s="537"/>
      <c r="GE8" s="537"/>
      <c r="GF8" s="537"/>
      <c r="GG8" s="537"/>
      <c r="GH8" s="537"/>
      <c r="GI8" s="537"/>
      <c r="GJ8" s="537"/>
      <c r="GK8" s="537"/>
      <c r="GL8" s="537"/>
      <c r="GM8" s="537"/>
      <c r="GN8" s="537"/>
      <c r="GO8" s="537"/>
      <c r="GP8" s="537"/>
      <c r="GQ8" s="537"/>
      <c r="GR8" s="537"/>
      <c r="GS8" s="537"/>
      <c r="GT8" s="537"/>
      <c r="GU8" s="537"/>
      <c r="GV8" s="537"/>
      <c r="GW8" s="537"/>
      <c r="GX8" s="537"/>
      <c r="GY8" s="537"/>
      <c r="GZ8" s="537"/>
      <c r="HA8" s="537"/>
      <c r="HB8" s="537"/>
      <c r="HC8" s="537"/>
      <c r="HD8" s="537"/>
      <c r="HE8" s="537"/>
      <c r="HF8" s="537"/>
      <c r="HG8" s="537"/>
      <c r="HH8" s="537"/>
      <c r="HI8" s="537"/>
      <c r="HJ8" s="537"/>
      <c r="HK8" s="537"/>
      <c r="HL8" s="537"/>
      <c r="HM8" s="537"/>
      <c r="HN8" s="537"/>
      <c r="HO8" s="537"/>
      <c r="HP8" s="537"/>
      <c r="HQ8" s="537"/>
      <c r="HR8" s="537"/>
      <c r="HS8" s="537"/>
      <c r="HT8" s="537"/>
      <c r="HU8" s="537"/>
      <c r="HV8" s="537"/>
      <c r="HW8" s="537"/>
      <c r="HX8" s="537"/>
      <c r="HY8" s="537"/>
      <c r="HZ8" s="537"/>
      <c r="IA8" s="537"/>
      <c r="IB8" s="537"/>
      <c r="IC8" s="537"/>
      <c r="ID8" s="537"/>
      <c r="IE8" s="537"/>
      <c r="IF8" s="537"/>
      <c r="IG8" s="537"/>
      <c r="IH8" s="537"/>
      <c r="II8" s="537"/>
      <c r="IJ8" s="537"/>
      <c r="IK8" s="537"/>
      <c r="IL8" s="537"/>
      <c r="IM8" s="537"/>
      <c r="IN8" s="537"/>
      <c r="IO8" s="537"/>
      <c r="IP8" s="537"/>
      <c r="IQ8" s="537"/>
      <c r="IR8" s="537"/>
      <c r="IS8" s="537"/>
      <c r="IT8" s="537"/>
      <c r="IU8" s="537"/>
      <c r="IV8" s="537"/>
      <c r="IW8" s="537"/>
      <c r="IX8" s="537"/>
      <c r="IY8" s="537"/>
      <c r="IZ8" s="537"/>
      <c r="JA8" s="537"/>
      <c r="JB8" s="537"/>
      <c r="JC8" s="537"/>
      <c r="JD8" s="537"/>
      <c r="JE8" s="537"/>
      <c r="JF8" s="537"/>
      <c r="JG8" s="537"/>
      <c r="JH8" s="537"/>
      <c r="JI8" s="537"/>
      <c r="JJ8" s="537"/>
      <c r="JK8" s="537"/>
      <c r="JL8" s="537"/>
      <c r="JM8" s="537"/>
      <c r="JN8" s="537"/>
      <c r="JO8" s="537"/>
      <c r="JP8" s="537"/>
      <c r="JQ8" s="537"/>
      <c r="JR8" s="537"/>
      <c r="JS8" s="537"/>
      <c r="JT8" s="537"/>
      <c r="JU8" s="537"/>
      <c r="JV8" s="537"/>
      <c r="JW8" s="537"/>
      <c r="JX8" s="537"/>
      <c r="JY8" s="537"/>
      <c r="JZ8" s="537"/>
      <c r="KA8" s="537"/>
      <c r="KB8" s="537"/>
      <c r="KC8" s="537"/>
      <c r="KD8" s="537"/>
      <c r="KE8" s="537"/>
      <c r="KF8" s="537"/>
      <c r="KG8" s="537"/>
      <c r="KH8" s="537"/>
      <c r="KI8" s="537"/>
      <c r="KJ8" s="537"/>
      <c r="KK8" s="537"/>
      <c r="KL8" s="537"/>
      <c r="KM8" s="537"/>
      <c r="KN8" s="537"/>
      <c r="KO8" s="537"/>
      <c r="KP8" s="537"/>
      <c r="KQ8" s="537"/>
      <c r="KR8" s="537"/>
      <c r="KS8" s="537"/>
      <c r="KT8" s="537"/>
      <c r="KU8" s="537"/>
      <c r="KV8" s="537"/>
      <c r="KW8" s="537"/>
      <c r="KX8" s="537"/>
      <c r="KY8" s="537"/>
      <c r="KZ8" s="537"/>
      <c r="LA8" s="537"/>
      <c r="LB8" s="537"/>
      <c r="LC8" s="537"/>
      <c r="LD8" s="537"/>
      <c r="LE8" s="537"/>
      <c r="LF8" s="537"/>
      <c r="LG8" s="537"/>
      <c r="LH8" s="537"/>
      <c r="LI8" s="537"/>
      <c r="LJ8" s="537"/>
      <c r="LK8" s="537"/>
      <c r="LL8" s="537"/>
      <c r="LM8" s="537"/>
      <c r="LN8" s="537"/>
      <c r="LO8" s="537"/>
      <c r="LP8" s="537"/>
      <c r="LQ8" s="537"/>
      <c r="LR8" s="537"/>
      <c r="LS8" s="537"/>
      <c r="LT8" s="537"/>
      <c r="LU8" s="537"/>
      <c r="LV8" s="537"/>
      <c r="LW8" s="537"/>
      <c r="LX8" s="537"/>
      <c r="LY8" s="537"/>
      <c r="LZ8" s="537"/>
      <c r="MA8" s="537"/>
      <c r="MB8" s="537"/>
      <c r="MC8" s="537"/>
      <c r="MD8" s="537"/>
      <c r="ME8" s="537"/>
      <c r="MF8" s="537"/>
      <c r="MG8" s="537"/>
      <c r="MH8" s="537"/>
      <c r="MI8" s="537"/>
      <c r="MJ8" s="537"/>
      <c r="MK8" s="537"/>
      <c r="ML8" s="537"/>
      <c r="MM8" s="537"/>
      <c r="MN8" s="537"/>
      <c r="MO8" s="537"/>
      <c r="MP8" s="537"/>
      <c r="MQ8" s="537"/>
      <c r="MR8" s="537"/>
      <c r="MS8" s="537"/>
      <c r="MT8" s="537"/>
      <c r="MU8" s="537"/>
      <c r="MV8" s="537"/>
      <c r="MW8" s="537"/>
      <c r="MX8" s="537"/>
      <c r="MY8" s="537"/>
      <c r="MZ8" s="537"/>
      <c r="NA8" s="537"/>
      <c r="NB8" s="537"/>
      <c r="NC8" s="537"/>
      <c r="ND8" s="537"/>
      <c r="NE8" s="537"/>
      <c r="NF8" s="537"/>
      <c r="NG8" s="537"/>
      <c r="NH8" s="537"/>
      <c r="NI8" s="537"/>
      <c r="NJ8" s="537"/>
      <c r="NK8" s="537"/>
      <c r="NL8" s="537"/>
      <c r="NM8" s="537"/>
      <c r="NN8" s="537"/>
      <c r="NO8" s="537"/>
      <c r="NP8" s="537"/>
      <c r="NQ8" s="537"/>
      <c r="NR8" s="537"/>
      <c r="NS8" s="537"/>
      <c r="NT8" s="537"/>
      <c r="NU8" s="537"/>
      <c r="NV8" s="537"/>
      <c r="NW8" s="537"/>
      <c r="NX8" s="537"/>
      <c r="NY8" s="537"/>
      <c r="NZ8" s="537"/>
      <c r="OA8" s="537"/>
      <c r="OB8" s="537"/>
      <c r="OC8" s="537"/>
      <c r="OD8" s="537"/>
      <c r="OE8" s="537"/>
      <c r="OF8" s="537"/>
      <c r="OG8" s="537"/>
      <c r="OH8" s="537"/>
      <c r="OI8" s="537"/>
      <c r="OJ8" s="537"/>
      <c r="OK8" s="537"/>
      <c r="OL8" s="537"/>
      <c r="OM8" s="537"/>
      <c r="ON8" s="537"/>
      <c r="OO8" s="537"/>
      <c r="OP8" s="537"/>
      <c r="OQ8" s="537"/>
      <c r="OR8" s="537"/>
      <c r="OS8" s="537"/>
      <c r="OT8" s="537"/>
      <c r="OU8" s="537"/>
      <c r="OV8" s="537"/>
      <c r="OW8" s="537"/>
      <c r="OX8" s="537"/>
      <c r="OY8" s="537"/>
      <c r="OZ8" s="537"/>
      <c r="PA8" s="537"/>
      <c r="PB8" s="537"/>
      <c r="PC8" s="537"/>
      <c r="PD8" s="537"/>
      <c r="PE8" s="537"/>
      <c r="PF8" s="537"/>
      <c r="PG8" s="537"/>
      <c r="PH8" s="537"/>
      <c r="PI8" s="537"/>
      <c r="PJ8" s="537"/>
      <c r="PK8" s="537"/>
      <c r="PL8" s="537"/>
      <c r="PM8" s="537"/>
      <c r="PN8" s="537"/>
      <c r="PO8" s="537"/>
      <c r="PP8" s="537"/>
      <c r="PQ8" s="537"/>
      <c r="PR8" s="537"/>
      <c r="PS8" s="537"/>
      <c r="PT8" s="537"/>
      <c r="PU8" s="537"/>
      <c r="PV8" s="537"/>
      <c r="PW8" s="537"/>
      <c r="PX8" s="537"/>
      <c r="PY8" s="537"/>
      <c r="PZ8" s="537"/>
      <c r="QA8" s="537"/>
      <c r="QB8" s="537"/>
      <c r="QC8" s="537"/>
      <c r="QD8" s="537"/>
      <c r="QE8" s="537"/>
      <c r="QF8" s="537"/>
      <c r="QG8" s="537"/>
      <c r="QH8" s="537"/>
      <c r="QI8" s="537"/>
      <c r="QJ8" s="537"/>
      <c r="QK8" s="537"/>
      <c r="QL8" s="537"/>
      <c r="QM8" s="537"/>
      <c r="QN8" s="537"/>
      <c r="QO8" s="537"/>
      <c r="QP8" s="537"/>
      <c r="QQ8" s="537"/>
      <c r="QR8" s="537"/>
      <c r="QS8" s="537"/>
      <c r="QT8" s="537"/>
      <c r="QU8" s="537"/>
      <c r="QV8" s="537"/>
      <c r="QW8" s="537"/>
      <c r="QX8" s="537"/>
      <c r="QY8" s="537"/>
      <c r="QZ8" s="537"/>
      <c r="RA8" s="537"/>
      <c r="RB8" s="537"/>
      <c r="RC8" s="537"/>
      <c r="RD8" s="537"/>
      <c r="RE8" s="537"/>
      <c r="RF8" s="537"/>
      <c r="RG8" s="537"/>
      <c r="RH8" s="537"/>
      <c r="RI8" s="537"/>
      <c r="RJ8" s="537"/>
      <c r="RK8" s="537"/>
      <c r="RL8" s="537"/>
      <c r="RM8" s="537"/>
      <c r="RN8" s="537"/>
      <c r="RO8" s="537"/>
      <c r="RP8" s="537"/>
      <c r="RQ8" s="537"/>
      <c r="RR8" s="537"/>
      <c r="RS8" s="537"/>
      <c r="RT8" s="537"/>
      <c r="RU8" s="537"/>
      <c r="RV8" s="537"/>
      <c r="RW8" s="537"/>
      <c r="RX8" s="537"/>
    </row>
    <row r="9" spans="1:492" s="538" customFormat="1" ht="20.149999999999999" customHeight="1" thickBot="1">
      <c r="A9" s="548" t="s">
        <v>119</v>
      </c>
      <c r="B9" s="573" t="s">
        <v>120</v>
      </c>
      <c r="C9" s="528"/>
      <c r="D9" s="528"/>
      <c r="E9" s="528"/>
      <c r="F9" s="528"/>
      <c r="G9" s="528"/>
      <c r="H9" s="528"/>
      <c r="I9" s="528"/>
      <c r="J9" s="528"/>
      <c r="K9" s="528"/>
      <c r="L9" s="528"/>
      <c r="M9" s="528"/>
      <c r="N9" s="528"/>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61">
        <v>-53.1</v>
      </c>
      <c r="AN9" s="539">
        <v>-56.999999999999993</v>
      </c>
      <c r="AO9" s="539">
        <v>-69.700000000000017</v>
      </c>
      <c r="AP9" s="539">
        <v>-60.699999999999989</v>
      </c>
      <c r="AQ9" s="560">
        <f t="shared" si="4"/>
        <v>-240.5</v>
      </c>
      <c r="AR9" s="539"/>
      <c r="AS9" s="539"/>
      <c r="AT9" s="539"/>
      <c r="AU9" s="539"/>
      <c r="AV9" s="540"/>
      <c r="AW9" s="539">
        <v>-61.2</v>
      </c>
      <c r="AX9" s="539">
        <v>-66</v>
      </c>
      <c r="AY9" s="539">
        <v>-63.600000000000009</v>
      </c>
      <c r="AZ9" s="539">
        <v>-66.399999999999977</v>
      </c>
      <c r="BA9" s="535">
        <f t="shared" si="5"/>
        <v>-257.2</v>
      </c>
      <c r="BB9" s="561">
        <v>-65.5</v>
      </c>
      <c r="BC9" s="539">
        <v>-68</v>
      </c>
      <c r="BD9" s="539">
        <v>-68.699999999999989</v>
      </c>
      <c r="BE9" s="539">
        <v>-72.599999999999994</v>
      </c>
      <c r="BF9" s="570">
        <f t="shared" si="6"/>
        <v>-274.79999999999995</v>
      </c>
      <c r="BG9" s="539">
        <v>-70.8</v>
      </c>
      <c r="BH9" s="539">
        <v>-71.000000000000014</v>
      </c>
      <c r="BI9" s="539">
        <v>-59.899999999999991</v>
      </c>
      <c r="BJ9" s="539">
        <f>-274.8-SUM(BG9:BI9)</f>
        <v>-73.100000000000023</v>
      </c>
      <c r="BK9" s="570">
        <f t="shared" si="7"/>
        <v>-274.8</v>
      </c>
      <c r="BL9" s="539">
        <v>-72.7</v>
      </c>
      <c r="BM9" s="760">
        <f>-166.3-BL9</f>
        <v>-93.600000000000009</v>
      </c>
      <c r="BN9" s="539">
        <f>-266.4-BM9-BL9</f>
        <v>-100.09999999999995</v>
      </c>
      <c r="BO9" s="539">
        <f>-373.9-BN9-BM9-BL9</f>
        <v>-107.49999999999999</v>
      </c>
      <c r="BP9" s="570">
        <f t="shared" si="8"/>
        <v>-373.9</v>
      </c>
      <c r="BQ9" s="539">
        <v>-87.9</v>
      </c>
      <c r="BR9" s="760"/>
      <c r="BS9" s="539"/>
      <c r="BT9" s="539"/>
      <c r="BU9" s="570">
        <f t="shared" si="9"/>
        <v>-87.9</v>
      </c>
      <c r="BV9" s="537"/>
      <c r="BW9" s="529"/>
      <c r="BX9" s="537"/>
      <c r="BY9" s="537"/>
      <c r="BZ9" s="537"/>
      <c r="CA9" s="537"/>
      <c r="CB9" s="537"/>
      <c r="CC9" s="537"/>
      <c r="CD9" s="537"/>
      <c r="CE9" s="537"/>
      <c r="CF9" s="537"/>
      <c r="CG9" s="537"/>
      <c r="CH9" s="537"/>
      <c r="CI9" s="537"/>
      <c r="CJ9" s="537"/>
      <c r="CK9" s="537"/>
      <c r="CL9" s="537"/>
      <c r="CM9" s="537"/>
      <c r="CN9" s="537"/>
      <c r="CO9" s="537"/>
      <c r="CP9" s="537"/>
      <c r="CQ9" s="537"/>
      <c r="CR9" s="537"/>
      <c r="CS9" s="537"/>
      <c r="CT9" s="537"/>
      <c r="CU9" s="537"/>
      <c r="CV9" s="537"/>
      <c r="CW9" s="537"/>
      <c r="CX9" s="537"/>
      <c r="CY9" s="537"/>
      <c r="CZ9" s="537"/>
      <c r="DA9" s="537"/>
      <c r="DB9" s="537"/>
      <c r="DC9" s="537"/>
      <c r="DD9" s="537"/>
      <c r="DE9" s="537"/>
      <c r="DF9" s="537"/>
      <c r="DG9" s="537"/>
      <c r="DH9" s="537"/>
      <c r="DI9" s="537"/>
      <c r="DJ9" s="537"/>
      <c r="DK9" s="537"/>
      <c r="DL9" s="537"/>
      <c r="DM9" s="537"/>
      <c r="DN9" s="537"/>
      <c r="DO9" s="537"/>
      <c r="DP9" s="537"/>
      <c r="DQ9" s="537"/>
      <c r="DR9" s="537"/>
      <c r="DS9" s="537"/>
      <c r="DT9" s="537"/>
      <c r="DU9" s="537"/>
      <c r="DV9" s="537"/>
      <c r="DW9" s="537"/>
      <c r="DX9" s="537"/>
      <c r="DY9" s="537"/>
      <c r="DZ9" s="537"/>
      <c r="EA9" s="537"/>
      <c r="EB9" s="537"/>
      <c r="EC9" s="537"/>
      <c r="ED9" s="537"/>
      <c r="EE9" s="537"/>
      <c r="EF9" s="537"/>
      <c r="EG9" s="537"/>
      <c r="EH9" s="537"/>
      <c r="EI9" s="537"/>
      <c r="EJ9" s="537"/>
      <c r="EK9" s="537"/>
      <c r="EL9" s="537"/>
      <c r="EM9" s="537"/>
      <c r="EN9" s="537"/>
      <c r="EO9" s="537"/>
      <c r="EP9" s="537"/>
      <c r="EQ9" s="537"/>
      <c r="ER9" s="537"/>
      <c r="ES9" s="537"/>
      <c r="ET9" s="537"/>
      <c r="EU9" s="537"/>
      <c r="EV9" s="537"/>
      <c r="EW9" s="537"/>
      <c r="EX9" s="537"/>
      <c r="EY9" s="537"/>
      <c r="EZ9" s="537"/>
      <c r="FA9" s="537"/>
      <c r="FB9" s="537"/>
      <c r="FC9" s="537"/>
      <c r="FD9" s="537"/>
      <c r="FE9" s="537"/>
      <c r="FF9" s="537"/>
      <c r="FG9" s="537"/>
      <c r="FH9" s="537"/>
      <c r="FI9" s="537"/>
      <c r="FJ9" s="537"/>
      <c r="FK9" s="537"/>
      <c r="FL9" s="537"/>
      <c r="FM9" s="537"/>
      <c r="FN9" s="537"/>
      <c r="FO9" s="537"/>
      <c r="FP9" s="537"/>
      <c r="FQ9" s="537"/>
      <c r="FR9" s="537"/>
      <c r="FS9" s="537"/>
      <c r="FT9" s="537"/>
      <c r="FU9" s="537"/>
      <c r="FV9" s="537"/>
      <c r="FW9" s="537"/>
      <c r="FX9" s="537"/>
      <c r="FY9" s="537"/>
      <c r="FZ9" s="537"/>
      <c r="GA9" s="537"/>
      <c r="GB9" s="537"/>
      <c r="GC9" s="537"/>
      <c r="GD9" s="537"/>
      <c r="GE9" s="537"/>
      <c r="GF9" s="537"/>
      <c r="GG9" s="537"/>
      <c r="GH9" s="537"/>
      <c r="GI9" s="537"/>
      <c r="GJ9" s="537"/>
      <c r="GK9" s="537"/>
      <c r="GL9" s="537"/>
      <c r="GM9" s="537"/>
      <c r="GN9" s="537"/>
      <c r="GO9" s="537"/>
      <c r="GP9" s="537"/>
      <c r="GQ9" s="537"/>
      <c r="GR9" s="537"/>
      <c r="GS9" s="537"/>
      <c r="GT9" s="537"/>
      <c r="GU9" s="537"/>
      <c r="GV9" s="537"/>
      <c r="GW9" s="537"/>
      <c r="GX9" s="537"/>
      <c r="GY9" s="537"/>
      <c r="GZ9" s="537"/>
      <c r="HA9" s="537"/>
      <c r="HB9" s="537"/>
      <c r="HC9" s="537"/>
      <c r="HD9" s="537"/>
      <c r="HE9" s="537"/>
      <c r="HF9" s="537"/>
      <c r="HG9" s="537"/>
      <c r="HH9" s="537"/>
      <c r="HI9" s="537"/>
      <c r="HJ9" s="537"/>
      <c r="HK9" s="537"/>
      <c r="HL9" s="537"/>
      <c r="HM9" s="537"/>
      <c r="HN9" s="537"/>
      <c r="HO9" s="537"/>
      <c r="HP9" s="537"/>
      <c r="HQ9" s="537"/>
      <c r="HR9" s="537"/>
      <c r="HS9" s="537"/>
      <c r="HT9" s="537"/>
      <c r="HU9" s="537"/>
      <c r="HV9" s="537"/>
      <c r="HW9" s="537"/>
      <c r="HX9" s="537"/>
      <c r="HY9" s="537"/>
      <c r="HZ9" s="537"/>
      <c r="IA9" s="537"/>
      <c r="IB9" s="537"/>
      <c r="IC9" s="537"/>
      <c r="ID9" s="537"/>
      <c r="IE9" s="537"/>
      <c r="IF9" s="537"/>
      <c r="IG9" s="537"/>
      <c r="IH9" s="537"/>
      <c r="II9" s="537"/>
      <c r="IJ9" s="537"/>
      <c r="IK9" s="537"/>
      <c r="IL9" s="537"/>
      <c r="IM9" s="537"/>
      <c r="IN9" s="537"/>
      <c r="IO9" s="537"/>
      <c r="IP9" s="537"/>
      <c r="IQ9" s="537"/>
      <c r="IR9" s="537"/>
      <c r="IS9" s="537"/>
      <c r="IT9" s="537"/>
      <c r="IU9" s="537"/>
      <c r="IV9" s="537"/>
      <c r="IW9" s="537"/>
      <c r="IX9" s="537"/>
      <c r="IY9" s="537"/>
      <c r="IZ9" s="537"/>
      <c r="JA9" s="537"/>
      <c r="JB9" s="537"/>
      <c r="JC9" s="537"/>
      <c r="JD9" s="537"/>
      <c r="JE9" s="537"/>
      <c r="JF9" s="537"/>
      <c r="JG9" s="537"/>
      <c r="JH9" s="537"/>
      <c r="JI9" s="537"/>
      <c r="JJ9" s="537"/>
      <c r="JK9" s="537"/>
      <c r="JL9" s="537"/>
      <c r="JM9" s="537"/>
      <c r="JN9" s="537"/>
      <c r="JO9" s="537"/>
      <c r="JP9" s="537"/>
      <c r="JQ9" s="537"/>
      <c r="JR9" s="537"/>
      <c r="JS9" s="537"/>
      <c r="JT9" s="537"/>
      <c r="JU9" s="537"/>
      <c r="JV9" s="537"/>
      <c r="JW9" s="537"/>
      <c r="JX9" s="537"/>
      <c r="JY9" s="537"/>
      <c r="JZ9" s="537"/>
      <c r="KA9" s="537"/>
      <c r="KB9" s="537"/>
      <c r="KC9" s="537"/>
      <c r="KD9" s="537"/>
      <c r="KE9" s="537"/>
      <c r="KF9" s="537"/>
      <c r="KG9" s="537"/>
      <c r="KH9" s="537"/>
      <c r="KI9" s="537"/>
      <c r="KJ9" s="537"/>
      <c r="KK9" s="537"/>
      <c r="KL9" s="537"/>
      <c r="KM9" s="537"/>
      <c r="KN9" s="537"/>
      <c r="KO9" s="537"/>
      <c r="KP9" s="537"/>
      <c r="KQ9" s="537"/>
      <c r="KR9" s="537"/>
      <c r="KS9" s="537"/>
      <c r="KT9" s="537"/>
      <c r="KU9" s="537"/>
      <c r="KV9" s="537"/>
      <c r="KW9" s="537"/>
      <c r="KX9" s="537"/>
      <c r="KY9" s="537"/>
      <c r="KZ9" s="537"/>
      <c r="LA9" s="537"/>
      <c r="LB9" s="537"/>
      <c r="LC9" s="537"/>
      <c r="LD9" s="537"/>
      <c r="LE9" s="537"/>
      <c r="LF9" s="537"/>
      <c r="LG9" s="537"/>
      <c r="LH9" s="537"/>
      <c r="LI9" s="537"/>
      <c r="LJ9" s="537"/>
      <c r="LK9" s="537"/>
      <c r="LL9" s="537"/>
      <c r="LM9" s="537"/>
      <c r="LN9" s="537"/>
      <c r="LO9" s="537"/>
      <c r="LP9" s="537"/>
      <c r="LQ9" s="537"/>
      <c r="LR9" s="537"/>
      <c r="LS9" s="537"/>
      <c r="LT9" s="537"/>
      <c r="LU9" s="537"/>
      <c r="LV9" s="537"/>
      <c r="LW9" s="537"/>
      <c r="LX9" s="537"/>
      <c r="LY9" s="537"/>
      <c r="LZ9" s="537"/>
      <c r="MA9" s="537"/>
      <c r="MB9" s="537"/>
      <c r="MC9" s="537"/>
      <c r="MD9" s="537"/>
      <c r="ME9" s="537"/>
      <c r="MF9" s="537"/>
      <c r="MG9" s="537"/>
      <c r="MH9" s="537"/>
      <c r="MI9" s="537"/>
      <c r="MJ9" s="537"/>
      <c r="MK9" s="537"/>
      <c r="ML9" s="537"/>
      <c r="MM9" s="537"/>
      <c r="MN9" s="537"/>
      <c r="MO9" s="537"/>
      <c r="MP9" s="537"/>
      <c r="MQ9" s="537"/>
      <c r="MR9" s="537"/>
      <c r="MS9" s="537"/>
      <c r="MT9" s="537"/>
      <c r="MU9" s="537"/>
      <c r="MV9" s="537"/>
      <c r="MW9" s="537"/>
      <c r="MX9" s="537"/>
      <c r="MY9" s="537"/>
      <c r="MZ9" s="537"/>
      <c r="NA9" s="537"/>
      <c r="NB9" s="537"/>
      <c r="NC9" s="537"/>
      <c r="ND9" s="537"/>
      <c r="NE9" s="537"/>
      <c r="NF9" s="537"/>
      <c r="NG9" s="537"/>
      <c r="NH9" s="537"/>
      <c r="NI9" s="537"/>
      <c r="NJ9" s="537"/>
      <c r="NK9" s="537"/>
      <c r="NL9" s="537"/>
      <c r="NM9" s="537"/>
      <c r="NN9" s="537"/>
      <c r="NO9" s="537"/>
      <c r="NP9" s="537"/>
      <c r="NQ9" s="537"/>
      <c r="NR9" s="537"/>
      <c r="NS9" s="537"/>
      <c r="NT9" s="537"/>
      <c r="NU9" s="537"/>
      <c r="NV9" s="537"/>
      <c r="NW9" s="537"/>
      <c r="NX9" s="537"/>
      <c r="NY9" s="537"/>
      <c r="NZ9" s="537"/>
      <c r="OA9" s="537"/>
      <c r="OB9" s="537"/>
      <c r="OC9" s="537"/>
      <c r="OD9" s="537"/>
      <c r="OE9" s="537"/>
      <c r="OF9" s="537"/>
      <c r="OG9" s="537"/>
      <c r="OH9" s="537"/>
      <c r="OI9" s="537"/>
      <c r="OJ9" s="537"/>
      <c r="OK9" s="537"/>
      <c r="OL9" s="537"/>
      <c r="OM9" s="537"/>
      <c r="ON9" s="537"/>
      <c r="OO9" s="537"/>
      <c r="OP9" s="537"/>
      <c r="OQ9" s="537"/>
      <c r="OR9" s="537"/>
      <c r="OS9" s="537"/>
      <c r="OT9" s="537"/>
      <c r="OU9" s="537"/>
      <c r="OV9" s="537"/>
      <c r="OW9" s="537"/>
      <c r="OX9" s="537"/>
      <c r="OY9" s="537"/>
      <c r="OZ9" s="537"/>
      <c r="PA9" s="537"/>
      <c r="PB9" s="537"/>
      <c r="PC9" s="537"/>
      <c r="PD9" s="537"/>
      <c r="PE9" s="537"/>
      <c r="PF9" s="537"/>
      <c r="PG9" s="537"/>
      <c r="PH9" s="537"/>
      <c r="PI9" s="537"/>
      <c r="PJ9" s="537"/>
      <c r="PK9" s="537"/>
      <c r="PL9" s="537"/>
      <c r="PM9" s="537"/>
      <c r="PN9" s="537"/>
      <c r="PO9" s="537"/>
      <c r="PP9" s="537"/>
      <c r="PQ9" s="537"/>
      <c r="PR9" s="537"/>
      <c r="PS9" s="537"/>
      <c r="PT9" s="537"/>
      <c r="PU9" s="537"/>
      <c r="PV9" s="537"/>
      <c r="PW9" s="537"/>
      <c r="PX9" s="537"/>
      <c r="PY9" s="537"/>
      <c r="PZ9" s="537"/>
      <c r="QA9" s="537"/>
      <c r="QB9" s="537"/>
      <c r="QC9" s="537"/>
      <c r="QD9" s="537"/>
      <c r="QE9" s="537"/>
      <c r="QF9" s="537"/>
      <c r="QG9" s="537"/>
      <c r="QH9" s="537"/>
      <c r="QI9" s="537"/>
      <c r="QJ9" s="537"/>
      <c r="QK9" s="537"/>
      <c r="QL9" s="537"/>
      <c r="QM9" s="537"/>
      <c r="QN9" s="537"/>
      <c r="QO9" s="537"/>
      <c r="QP9" s="537"/>
      <c r="QQ9" s="537"/>
      <c r="QR9" s="537"/>
      <c r="QS9" s="537"/>
      <c r="QT9" s="537"/>
      <c r="QU9" s="537"/>
      <c r="QV9" s="537"/>
      <c r="QW9" s="537"/>
      <c r="QX9" s="537"/>
      <c r="QY9" s="537"/>
      <c r="QZ9" s="537"/>
      <c r="RA9" s="537"/>
      <c r="RB9" s="537"/>
      <c r="RC9" s="537"/>
      <c r="RD9" s="537"/>
      <c r="RE9" s="537"/>
      <c r="RF9" s="537"/>
      <c r="RG9" s="537"/>
      <c r="RH9" s="537"/>
      <c r="RI9" s="537"/>
      <c r="RJ9" s="537"/>
      <c r="RK9" s="537"/>
      <c r="RL9" s="537"/>
      <c r="RM9" s="537"/>
      <c r="RN9" s="537"/>
      <c r="RO9" s="537"/>
      <c r="RP9" s="537"/>
      <c r="RQ9" s="537"/>
      <c r="RR9" s="537"/>
      <c r="RS9" s="537"/>
      <c r="RT9" s="537"/>
      <c r="RU9" s="537"/>
      <c r="RV9" s="537"/>
      <c r="RW9" s="537"/>
      <c r="RX9" s="537"/>
    </row>
    <row r="10" spans="1:492" s="65" customFormat="1" ht="20.25" customHeight="1" thickBot="1">
      <c r="A10" s="549" t="s">
        <v>121</v>
      </c>
      <c r="B10" s="574" t="s">
        <v>122</v>
      </c>
      <c r="C10" s="427"/>
      <c r="D10" s="427"/>
      <c r="E10" s="427"/>
      <c r="F10" s="427"/>
      <c r="G10" s="427"/>
      <c r="H10" s="427"/>
      <c r="I10" s="427"/>
      <c r="J10" s="427"/>
      <c r="K10" s="427"/>
      <c r="L10" s="427"/>
      <c r="M10" s="427"/>
      <c r="N10" s="427"/>
      <c r="O10" s="427"/>
      <c r="P10" s="427"/>
      <c r="Q10" s="427"/>
      <c r="R10" s="427"/>
      <c r="S10" s="427"/>
      <c r="T10" s="427"/>
      <c r="U10" s="427"/>
      <c r="V10" s="427"/>
      <c r="W10" s="427"/>
      <c r="X10" s="427"/>
      <c r="Y10" s="427"/>
      <c r="Z10" s="427"/>
      <c r="AA10" s="427"/>
      <c r="AB10" s="427"/>
      <c r="AC10" s="427"/>
      <c r="AD10" s="427"/>
      <c r="AE10" s="427"/>
      <c r="AF10" s="427"/>
      <c r="AG10" s="427"/>
      <c r="AH10" s="427"/>
      <c r="AI10" s="427"/>
      <c r="AJ10" s="427"/>
      <c r="AK10" s="427"/>
      <c r="AL10" s="427"/>
      <c r="AM10" s="562"/>
      <c r="AN10" s="428"/>
      <c r="AO10" s="428"/>
      <c r="AP10" s="428"/>
      <c r="AQ10" s="563"/>
      <c r="AR10" s="428"/>
      <c r="AS10" s="428"/>
      <c r="AT10" s="428"/>
      <c r="AU10" s="428"/>
      <c r="AV10" s="429"/>
      <c r="AW10" s="428"/>
      <c r="AX10" s="428"/>
      <c r="AY10" s="428"/>
      <c r="AZ10" s="428"/>
      <c r="BA10" s="554"/>
      <c r="BB10" s="562">
        <f>BB18</f>
        <v>1026.7</v>
      </c>
      <c r="BC10" s="428">
        <f>SUM(BC11:BC12)</f>
        <v>1001.4999999999999</v>
      </c>
      <c r="BD10" s="428">
        <f t="shared" ref="BD10:BF10" si="10">SUM(BD11:BD12)</f>
        <v>1082.0999999999999</v>
      </c>
      <c r="BE10" s="428">
        <f t="shared" si="10"/>
        <v>1127.5</v>
      </c>
      <c r="BF10" s="563">
        <f t="shared" si="10"/>
        <v>4237.8</v>
      </c>
      <c r="BG10" s="428">
        <f t="shared" ref="BG10:BH10" si="11">SUM(BG11:BG12)</f>
        <v>1082.7</v>
      </c>
      <c r="BH10" s="428">
        <f t="shared" si="11"/>
        <v>1140.9000000000001</v>
      </c>
      <c r="BI10" s="428">
        <f>SUM(BI11:BI12)</f>
        <v>904.19999999999993</v>
      </c>
      <c r="BJ10" s="428">
        <f>SUM(BJ11:BJ12)</f>
        <v>891.19999999999993</v>
      </c>
      <c r="BK10" s="563">
        <f>SUM(BK11:BK12)</f>
        <v>4019</v>
      </c>
      <c r="BL10" s="428">
        <f>SUM(BL11:BL14)</f>
        <v>800.7</v>
      </c>
      <c r="BM10" s="761">
        <f>SUM(BM11:BM14)</f>
        <v>893.3</v>
      </c>
      <c r="BN10" s="428">
        <f t="shared" ref="BN10:BO10" si="12">SUM(BN11:BN14)</f>
        <v>839.59999999999968</v>
      </c>
      <c r="BO10" s="428">
        <f t="shared" si="12"/>
        <v>818.5</v>
      </c>
      <c r="BP10" s="563">
        <f>SUM(BP11:BP14)</f>
        <v>3352.1</v>
      </c>
      <c r="BQ10" s="428">
        <f>SUM(BQ11:BQ14)</f>
        <v>0</v>
      </c>
      <c r="BR10" s="761">
        <f>SUM(BR11:BR14)</f>
        <v>0</v>
      </c>
      <c r="BS10" s="428">
        <f t="shared" ref="BS10:BT10" si="13">SUM(BS11:BS14)</f>
        <v>0</v>
      </c>
      <c r="BT10" s="428">
        <f t="shared" si="13"/>
        <v>0</v>
      </c>
      <c r="BU10" s="563">
        <f>SUM(BU11:BU14)</f>
        <v>0</v>
      </c>
      <c r="BV10" s="11"/>
      <c r="BW10" s="11"/>
      <c r="BX10" s="11"/>
      <c r="BY10" s="11"/>
      <c r="BZ10" s="11"/>
      <c r="CA10" s="11"/>
      <c r="CB10" s="11"/>
      <c r="CC10" s="11"/>
      <c r="CD10" s="11"/>
      <c r="CE10" s="11"/>
      <c r="CF10" s="11"/>
      <c r="CG10" s="11"/>
      <c r="CH10" s="11"/>
      <c r="CI10" s="11"/>
      <c r="CJ10" s="11"/>
      <c r="CK10" s="11"/>
      <c r="CL10" s="11"/>
      <c r="CM10" s="11"/>
      <c r="CN10" s="11"/>
      <c r="CO10" s="11"/>
      <c r="CP10" s="11"/>
      <c r="CQ10" s="11"/>
      <c r="CR10" s="11"/>
      <c r="CS10" s="11"/>
      <c r="CT10" s="11"/>
      <c r="CU10" s="11"/>
      <c r="CV10" s="11"/>
      <c r="CW10" s="11"/>
      <c r="CX10" s="11"/>
      <c r="CY10" s="11"/>
      <c r="CZ10" s="11"/>
      <c r="DA10" s="11"/>
      <c r="DB10" s="11"/>
      <c r="DC10" s="11"/>
      <c r="DD10" s="11"/>
      <c r="DE10" s="11"/>
      <c r="DF10" s="11"/>
      <c r="DG10" s="11"/>
      <c r="DH10" s="11"/>
      <c r="DI10" s="11"/>
      <c r="DJ10" s="11"/>
      <c r="DK10" s="11"/>
      <c r="DL10" s="11"/>
      <c r="DM10" s="11"/>
      <c r="DN10" s="11"/>
      <c r="DO10" s="11"/>
      <c r="DP10" s="11"/>
      <c r="DQ10" s="11"/>
      <c r="DR10" s="11"/>
      <c r="DS10" s="11"/>
      <c r="DT10" s="11"/>
      <c r="DU10" s="11"/>
      <c r="DV10" s="11"/>
      <c r="DW10" s="11"/>
      <c r="DX10" s="11"/>
      <c r="DY10" s="11"/>
      <c r="DZ10" s="11"/>
      <c r="EA10" s="11"/>
      <c r="EB10" s="11"/>
      <c r="EC10" s="11"/>
      <c r="ED10" s="11"/>
      <c r="EE10" s="11"/>
      <c r="EF10" s="11"/>
      <c r="EG10" s="11"/>
      <c r="EH10" s="11"/>
      <c r="EI10" s="11"/>
      <c r="EJ10" s="11"/>
      <c r="EK10" s="11"/>
      <c r="EL10" s="11"/>
      <c r="EM10" s="11"/>
      <c r="EN10" s="11"/>
      <c r="EO10" s="11"/>
      <c r="EP10" s="11"/>
      <c r="EQ10" s="11"/>
      <c r="ER10" s="11"/>
      <c r="ES10" s="11"/>
      <c r="ET10" s="11"/>
      <c r="EU10" s="11"/>
      <c r="EV10" s="11"/>
      <c r="EW10" s="11"/>
      <c r="EX10" s="11"/>
      <c r="EY10" s="11"/>
      <c r="EZ10" s="11"/>
      <c r="FA10" s="11"/>
      <c r="FB10" s="11"/>
      <c r="FC10" s="11"/>
      <c r="FD10" s="11"/>
      <c r="FE10" s="11"/>
      <c r="FF10" s="11"/>
      <c r="FG10" s="11"/>
      <c r="FH10" s="11"/>
      <c r="FI10" s="11"/>
      <c r="FJ10" s="11"/>
      <c r="FK10" s="11"/>
      <c r="FL10" s="11"/>
      <c r="FM10" s="11"/>
      <c r="FN10" s="11"/>
      <c r="FO10" s="11"/>
      <c r="FP10" s="11"/>
      <c r="FQ10" s="11"/>
      <c r="FR10" s="11"/>
      <c r="FS10" s="11"/>
      <c r="FT10" s="11"/>
      <c r="FU10" s="11"/>
      <c r="FV10" s="11"/>
      <c r="FW10" s="11"/>
      <c r="FX10" s="11"/>
      <c r="FY10" s="11"/>
      <c r="FZ10" s="11"/>
      <c r="GA10" s="11"/>
      <c r="GB10" s="11"/>
      <c r="GC10" s="11"/>
      <c r="GD10" s="11"/>
      <c r="GE10" s="11"/>
      <c r="GF10" s="11"/>
      <c r="GG10" s="11"/>
      <c r="GH10" s="11"/>
      <c r="GI10" s="11"/>
      <c r="GJ10" s="11"/>
      <c r="GK10" s="11"/>
      <c r="GL10" s="11"/>
      <c r="GM10" s="11"/>
      <c r="GN10" s="11"/>
      <c r="GO10" s="11"/>
      <c r="GP10" s="11"/>
      <c r="GQ10" s="11"/>
      <c r="GR10" s="11"/>
      <c r="GS10" s="11"/>
      <c r="GT10" s="11"/>
      <c r="GU10" s="11"/>
      <c r="GV10" s="11"/>
      <c r="GW10" s="11"/>
      <c r="GX10" s="11"/>
      <c r="GY10" s="11"/>
      <c r="GZ10" s="11"/>
      <c r="HA10" s="11"/>
      <c r="HB10" s="11"/>
      <c r="HC10" s="11"/>
      <c r="HD10" s="11"/>
      <c r="HE10" s="11"/>
      <c r="HF10" s="11"/>
      <c r="HG10" s="11"/>
      <c r="HH10" s="11"/>
      <c r="HI10" s="11"/>
      <c r="HJ10" s="11"/>
      <c r="HK10" s="11"/>
      <c r="HL10" s="11"/>
      <c r="HM10" s="11"/>
      <c r="HN10" s="11"/>
      <c r="HO10" s="11"/>
      <c r="HP10" s="11"/>
      <c r="HQ10" s="11"/>
      <c r="HR10" s="11"/>
      <c r="HS10" s="11"/>
      <c r="HT10" s="11"/>
      <c r="HU10" s="11"/>
      <c r="HV10" s="11"/>
      <c r="HW10" s="11"/>
      <c r="HX10" s="11"/>
      <c r="HY10" s="11"/>
      <c r="HZ10" s="11"/>
      <c r="IA10" s="11"/>
      <c r="IB10" s="11"/>
      <c r="IC10" s="11"/>
      <c r="ID10" s="11"/>
      <c r="IE10" s="11"/>
      <c r="IF10" s="11"/>
      <c r="IG10" s="11"/>
      <c r="IH10" s="11"/>
      <c r="II10" s="11"/>
      <c r="IJ10" s="11"/>
      <c r="IK10" s="11"/>
      <c r="IL10" s="11"/>
      <c r="IM10" s="11"/>
      <c r="IN10" s="11"/>
      <c r="IO10" s="11"/>
      <c r="IP10" s="11"/>
      <c r="IQ10" s="11"/>
      <c r="IR10" s="11"/>
      <c r="IS10" s="11"/>
      <c r="IT10" s="11"/>
      <c r="IU10" s="11"/>
      <c r="IV10" s="11"/>
      <c r="IW10" s="11"/>
      <c r="IX10" s="11"/>
      <c r="IY10" s="11"/>
      <c r="IZ10" s="11"/>
      <c r="JA10" s="11"/>
      <c r="JB10" s="11"/>
      <c r="JC10" s="11"/>
      <c r="JD10" s="11"/>
      <c r="JE10" s="11"/>
      <c r="JF10" s="11"/>
      <c r="JG10" s="11"/>
      <c r="JH10" s="11"/>
      <c r="JI10" s="11"/>
      <c r="JJ10" s="11"/>
      <c r="JK10" s="11"/>
      <c r="JL10" s="11"/>
      <c r="JM10" s="11"/>
      <c r="JN10" s="11"/>
      <c r="JO10" s="11"/>
      <c r="JP10" s="11"/>
      <c r="JQ10" s="11"/>
      <c r="JR10" s="11"/>
      <c r="JS10" s="11"/>
      <c r="JT10" s="11"/>
      <c r="JU10" s="11"/>
      <c r="JV10" s="11"/>
      <c r="JW10" s="11"/>
      <c r="JX10" s="11"/>
      <c r="JY10" s="11"/>
      <c r="JZ10" s="11"/>
      <c r="KA10" s="11"/>
      <c r="KB10" s="11"/>
      <c r="KC10" s="11"/>
      <c r="KD10" s="11"/>
      <c r="KE10" s="11"/>
      <c r="KF10" s="11"/>
      <c r="KG10" s="11"/>
      <c r="KH10" s="11"/>
      <c r="KI10" s="11"/>
      <c r="KJ10" s="11"/>
      <c r="KK10" s="11"/>
      <c r="KL10" s="11"/>
      <c r="KM10" s="11"/>
      <c r="KN10" s="11"/>
      <c r="KO10" s="11"/>
      <c r="KP10" s="11"/>
      <c r="KQ10" s="11"/>
      <c r="KR10" s="11"/>
      <c r="KS10" s="11"/>
      <c r="KT10" s="11"/>
      <c r="KU10" s="11"/>
      <c r="KV10" s="11"/>
      <c r="KW10" s="11"/>
      <c r="KX10" s="11"/>
      <c r="KY10" s="11"/>
      <c r="KZ10" s="11"/>
      <c r="LA10" s="11"/>
      <c r="LB10" s="11"/>
      <c r="LC10" s="11"/>
      <c r="LD10" s="11"/>
      <c r="LE10" s="11"/>
      <c r="LF10" s="11"/>
      <c r="LG10" s="11"/>
      <c r="LH10" s="11"/>
      <c r="LI10" s="11"/>
      <c r="LJ10" s="11"/>
      <c r="LK10" s="11"/>
      <c r="LL10" s="11"/>
      <c r="LM10" s="11"/>
      <c r="LN10" s="11"/>
      <c r="LO10" s="11"/>
      <c r="LP10" s="11"/>
      <c r="LQ10" s="11"/>
      <c r="LR10" s="11"/>
      <c r="LS10" s="11"/>
      <c r="LT10" s="11"/>
      <c r="LU10" s="11"/>
      <c r="LV10" s="11"/>
      <c r="LW10" s="11"/>
      <c r="LX10" s="11"/>
      <c r="LY10" s="11"/>
      <c r="LZ10" s="11"/>
      <c r="MA10" s="11"/>
      <c r="MB10" s="11"/>
      <c r="MC10" s="11"/>
      <c r="MD10" s="11"/>
      <c r="ME10" s="11"/>
      <c r="MF10" s="11"/>
      <c r="MG10" s="11"/>
      <c r="MH10" s="11"/>
      <c r="MI10" s="11"/>
      <c r="MJ10" s="11"/>
      <c r="MK10" s="11"/>
      <c r="ML10" s="11"/>
      <c r="MM10" s="11"/>
      <c r="MN10" s="11"/>
      <c r="MO10" s="11"/>
      <c r="MP10" s="11"/>
      <c r="MQ10" s="11"/>
      <c r="MR10" s="11"/>
      <c r="MS10" s="11"/>
      <c r="MT10" s="11"/>
      <c r="MU10" s="11"/>
      <c r="MV10" s="11"/>
      <c r="MW10" s="11"/>
      <c r="MX10" s="11"/>
      <c r="MY10" s="11"/>
      <c r="MZ10" s="11"/>
      <c r="NA10" s="11"/>
      <c r="NB10" s="11"/>
      <c r="NC10" s="11"/>
      <c r="ND10" s="11"/>
      <c r="NE10" s="11"/>
      <c r="NF10" s="11"/>
      <c r="NG10" s="11"/>
      <c r="NH10" s="11"/>
      <c r="NI10" s="11"/>
      <c r="NJ10" s="11"/>
      <c r="NK10" s="11"/>
      <c r="NL10" s="11"/>
      <c r="NM10" s="11"/>
      <c r="NN10" s="11"/>
      <c r="NO10" s="11"/>
      <c r="NP10" s="11"/>
      <c r="NQ10" s="11"/>
      <c r="NR10" s="11"/>
      <c r="NS10" s="11"/>
      <c r="NT10" s="11"/>
      <c r="NU10" s="11"/>
      <c r="NV10" s="11"/>
      <c r="NW10" s="11"/>
      <c r="NX10" s="11"/>
      <c r="NY10" s="11"/>
      <c r="NZ10" s="11"/>
      <c r="OA10" s="11"/>
      <c r="OB10" s="11"/>
      <c r="OC10" s="11"/>
      <c r="OD10" s="11"/>
      <c r="OE10" s="11"/>
      <c r="OF10" s="11"/>
      <c r="OG10" s="11"/>
      <c r="OH10" s="11"/>
      <c r="OI10" s="11"/>
      <c r="OJ10" s="11"/>
      <c r="OK10" s="11"/>
      <c r="OL10" s="11"/>
      <c r="OM10" s="11"/>
      <c r="ON10" s="11"/>
      <c r="OO10" s="11"/>
      <c r="OP10" s="11"/>
      <c r="OQ10" s="11"/>
      <c r="OR10" s="11"/>
      <c r="OS10" s="11"/>
      <c r="OT10" s="11"/>
      <c r="OU10" s="11"/>
      <c r="OV10" s="11"/>
      <c r="OW10" s="11"/>
      <c r="OX10" s="11"/>
      <c r="OY10" s="11"/>
      <c r="OZ10" s="11"/>
      <c r="PA10" s="11"/>
      <c r="PB10" s="11"/>
      <c r="PC10" s="11"/>
      <c r="PD10" s="11"/>
      <c r="PE10" s="11"/>
      <c r="PF10" s="11"/>
      <c r="PG10" s="11"/>
      <c r="PH10" s="11"/>
      <c r="PI10" s="11"/>
      <c r="PJ10" s="11"/>
      <c r="PK10" s="11"/>
      <c r="PL10" s="11"/>
      <c r="PM10" s="11"/>
      <c r="PN10" s="11"/>
      <c r="PO10" s="11"/>
      <c r="PP10" s="11"/>
      <c r="PQ10" s="11"/>
      <c r="PR10" s="11"/>
      <c r="PS10" s="11"/>
      <c r="PT10" s="11"/>
      <c r="PU10" s="11"/>
      <c r="PV10" s="11"/>
      <c r="PW10" s="11"/>
      <c r="PX10" s="11"/>
      <c r="PY10" s="11"/>
      <c r="PZ10" s="11"/>
      <c r="QA10" s="11"/>
      <c r="QB10" s="11"/>
      <c r="QC10" s="11"/>
      <c r="QD10" s="11"/>
      <c r="QE10" s="11"/>
      <c r="QF10" s="11"/>
      <c r="QG10" s="11"/>
      <c r="QH10" s="11"/>
      <c r="QI10" s="11"/>
      <c r="QJ10" s="11"/>
      <c r="QK10" s="11"/>
      <c r="QL10" s="11"/>
      <c r="QM10" s="11"/>
      <c r="QN10" s="11"/>
      <c r="QO10" s="11"/>
      <c r="QP10" s="11"/>
      <c r="QQ10" s="11"/>
      <c r="QR10" s="11"/>
      <c r="QS10" s="11"/>
      <c r="QT10" s="11"/>
      <c r="QU10" s="11"/>
      <c r="QV10" s="11"/>
      <c r="QW10" s="11"/>
      <c r="QX10" s="11"/>
      <c r="QY10" s="11"/>
      <c r="QZ10" s="11"/>
      <c r="RA10" s="11"/>
      <c r="RB10" s="11"/>
      <c r="RC10" s="11"/>
      <c r="RD10" s="11"/>
      <c r="RE10" s="11"/>
      <c r="RF10" s="11"/>
      <c r="RG10" s="11"/>
      <c r="RH10" s="11"/>
      <c r="RI10" s="11"/>
      <c r="RJ10" s="11"/>
      <c r="RK10" s="11"/>
      <c r="RL10" s="11"/>
      <c r="RM10" s="11"/>
      <c r="RN10" s="11"/>
      <c r="RO10" s="11"/>
      <c r="RP10" s="11"/>
      <c r="RQ10" s="11"/>
      <c r="RR10" s="11"/>
      <c r="RS10" s="11"/>
      <c r="RT10" s="11"/>
      <c r="RU10" s="11"/>
      <c r="RV10" s="11"/>
      <c r="RW10" s="11"/>
      <c r="RX10" s="11"/>
    </row>
    <row r="11" spans="1:492" s="531" customFormat="1" ht="20.149999999999999" customHeight="1">
      <c r="A11" s="550" t="s">
        <v>113</v>
      </c>
      <c r="B11" s="575" t="s">
        <v>114</v>
      </c>
      <c r="C11" s="532"/>
      <c r="D11" s="532"/>
      <c r="E11" s="532"/>
      <c r="F11" s="532"/>
      <c r="G11" s="532"/>
      <c r="H11" s="532"/>
      <c r="I11" s="532"/>
      <c r="J11" s="532"/>
      <c r="K11" s="532"/>
      <c r="L11" s="532"/>
      <c r="M11" s="532"/>
      <c r="N11" s="532"/>
      <c r="O11" s="532"/>
      <c r="P11" s="532"/>
      <c r="Q11" s="532"/>
      <c r="R11" s="532"/>
      <c r="S11" s="532"/>
      <c r="T11" s="532"/>
      <c r="U11" s="532"/>
      <c r="V11" s="532"/>
      <c r="W11" s="532"/>
      <c r="X11" s="532"/>
      <c r="Y11" s="532"/>
      <c r="Z11" s="532"/>
      <c r="AA11" s="532"/>
      <c r="AB11" s="532"/>
      <c r="AC11" s="532"/>
      <c r="AD11" s="532"/>
      <c r="AE11" s="532"/>
      <c r="AF11" s="532"/>
      <c r="AG11" s="532"/>
      <c r="AH11" s="532"/>
      <c r="AI11" s="532"/>
      <c r="AJ11" s="532"/>
      <c r="AK11" s="532"/>
      <c r="AL11" s="532"/>
      <c r="AM11" s="564"/>
      <c r="AN11" s="533"/>
      <c r="AO11" s="533"/>
      <c r="AP11" s="533"/>
      <c r="AQ11" s="565"/>
      <c r="AR11" s="534"/>
      <c r="AS11" s="534"/>
      <c r="AT11" s="534"/>
      <c r="AU11" s="534"/>
      <c r="AV11" s="534"/>
      <c r="AW11" s="533"/>
      <c r="AX11" s="533"/>
      <c r="AY11" s="533"/>
      <c r="AZ11" s="533"/>
      <c r="BA11" s="533"/>
      <c r="BB11" s="571">
        <v>879.6</v>
      </c>
      <c r="BC11" s="535">
        <v>879.19999999999993</v>
      </c>
      <c r="BD11" s="535">
        <v>946.89999999999986</v>
      </c>
      <c r="BE11" s="535">
        <v>925.9</v>
      </c>
      <c r="BF11" s="560">
        <f>SUM(BB11:BE11)</f>
        <v>3631.6</v>
      </c>
      <c r="BG11" s="535">
        <v>936.6</v>
      </c>
      <c r="BH11" s="535">
        <v>951.80000000000007</v>
      </c>
      <c r="BI11" s="535">
        <v>786.3</v>
      </c>
      <c r="BJ11" s="535">
        <f>3389.7-SUM(BG11:BI11)</f>
        <v>715</v>
      </c>
      <c r="BK11" s="579">
        <f>SUM(BG11:BJ11)</f>
        <v>3389.7</v>
      </c>
      <c r="BL11" s="535">
        <v>704.1</v>
      </c>
      <c r="BM11" s="762">
        <f>1453.5-BL11</f>
        <v>749.4</v>
      </c>
      <c r="BN11" s="535">
        <f>2211.7-BM11-BL11</f>
        <v>758.1999999999997</v>
      </c>
      <c r="BO11" s="535">
        <f>2834-BN11-BM11-BL11</f>
        <v>622.30000000000007</v>
      </c>
      <c r="BP11" s="579">
        <f>SUM(BL11:BO11)</f>
        <v>2834</v>
      </c>
      <c r="BQ11" s="535"/>
      <c r="BR11" s="762"/>
      <c r="BS11" s="535"/>
      <c r="BT11" s="535"/>
      <c r="BU11" s="579">
        <f>SUM(BQ11:BT11)</f>
        <v>0</v>
      </c>
      <c r="BV11" s="530"/>
      <c r="BW11" s="530"/>
      <c r="BX11" s="530"/>
      <c r="BY11" s="530"/>
      <c r="BZ11" s="530"/>
      <c r="CA11" s="530"/>
      <c r="CB11" s="530"/>
      <c r="CC11" s="530"/>
      <c r="CD11" s="530"/>
      <c r="CE11" s="530"/>
      <c r="CF11" s="530"/>
      <c r="CG11" s="530"/>
      <c r="CH11" s="530"/>
      <c r="CI11" s="530"/>
      <c r="CJ11" s="530"/>
      <c r="CK11" s="530"/>
      <c r="CL11" s="530"/>
      <c r="CM11" s="530"/>
      <c r="CN11" s="530"/>
      <c r="CO11" s="530"/>
      <c r="CP11" s="530"/>
      <c r="CQ11" s="530"/>
      <c r="CR11" s="530"/>
      <c r="CS11" s="530"/>
      <c r="CT11" s="530"/>
      <c r="CU11" s="530"/>
      <c r="CV11" s="530"/>
      <c r="CW11" s="530"/>
      <c r="CX11" s="530"/>
      <c r="CY11" s="530"/>
      <c r="CZ11" s="530"/>
      <c r="DA11" s="530"/>
      <c r="DB11" s="530"/>
      <c r="DC11" s="530"/>
      <c r="DD11" s="530"/>
      <c r="DE11" s="530"/>
      <c r="DF11" s="530"/>
      <c r="DG11" s="530"/>
      <c r="DH11" s="530"/>
      <c r="DI11" s="530"/>
      <c r="DJ11" s="530"/>
      <c r="DK11" s="530"/>
      <c r="DL11" s="530"/>
      <c r="DM11" s="530"/>
      <c r="DN11" s="530"/>
      <c r="DO11" s="530"/>
      <c r="DP11" s="530"/>
      <c r="DQ11" s="530"/>
      <c r="DR11" s="530"/>
      <c r="DS11" s="530"/>
      <c r="DT11" s="530"/>
      <c r="DU11" s="530"/>
      <c r="DV11" s="530"/>
      <c r="DW11" s="530"/>
      <c r="DX11" s="530"/>
      <c r="DY11" s="530"/>
      <c r="DZ11" s="530"/>
      <c r="EA11" s="530"/>
      <c r="EB11" s="530"/>
      <c r="EC11" s="530"/>
      <c r="ED11" s="530"/>
      <c r="EE11" s="530"/>
      <c r="EF11" s="530"/>
      <c r="EG11" s="530"/>
      <c r="EH11" s="530"/>
      <c r="EI11" s="530"/>
      <c r="EJ11" s="530"/>
      <c r="EK11" s="530"/>
      <c r="EL11" s="530"/>
      <c r="EM11" s="530"/>
      <c r="EN11" s="530"/>
      <c r="EO11" s="530"/>
      <c r="EP11" s="530"/>
      <c r="EQ11" s="530"/>
      <c r="ER11" s="530"/>
      <c r="ES11" s="530"/>
      <c r="ET11" s="530"/>
      <c r="EU11" s="530"/>
      <c r="EV11" s="530"/>
      <c r="EW11" s="530"/>
      <c r="EX11" s="530"/>
      <c r="EY11" s="530"/>
      <c r="EZ11" s="530"/>
      <c r="FA11" s="530"/>
      <c r="FB11" s="530"/>
      <c r="FC11" s="530"/>
      <c r="FD11" s="530"/>
      <c r="FE11" s="530"/>
      <c r="FF11" s="530"/>
      <c r="FG11" s="530"/>
      <c r="FH11" s="530"/>
      <c r="FI11" s="530"/>
      <c r="FJ11" s="530"/>
      <c r="FK11" s="530"/>
      <c r="FL11" s="530"/>
      <c r="FM11" s="530"/>
      <c r="FN11" s="530"/>
      <c r="FO11" s="530"/>
      <c r="FP11" s="530"/>
      <c r="FQ11" s="530"/>
      <c r="FR11" s="530"/>
      <c r="FS11" s="530"/>
      <c r="FT11" s="530"/>
      <c r="FU11" s="530"/>
      <c r="FV11" s="530"/>
      <c r="FW11" s="530"/>
      <c r="FX11" s="530"/>
      <c r="FY11" s="530"/>
      <c r="FZ11" s="530"/>
      <c r="GA11" s="530"/>
      <c r="GB11" s="530"/>
      <c r="GC11" s="530"/>
      <c r="GD11" s="530"/>
      <c r="GE11" s="530"/>
      <c r="GF11" s="530"/>
      <c r="GG11" s="530"/>
      <c r="GH11" s="530"/>
      <c r="GI11" s="530"/>
      <c r="GJ11" s="530"/>
      <c r="GK11" s="530"/>
      <c r="GL11" s="530"/>
      <c r="GM11" s="530"/>
      <c r="GN11" s="530"/>
      <c r="GO11" s="530"/>
      <c r="GP11" s="530"/>
      <c r="GQ11" s="530"/>
      <c r="GR11" s="530"/>
      <c r="GS11" s="530"/>
      <c r="GT11" s="530"/>
      <c r="GU11" s="530"/>
      <c r="GV11" s="530"/>
      <c r="GW11" s="530"/>
      <c r="GX11" s="530"/>
      <c r="GY11" s="530"/>
      <c r="GZ11" s="530"/>
      <c r="HA11" s="530"/>
      <c r="HB11" s="530"/>
      <c r="HC11" s="530"/>
      <c r="HD11" s="530"/>
      <c r="HE11" s="530"/>
      <c r="HF11" s="530"/>
      <c r="HG11" s="530"/>
      <c r="HH11" s="530"/>
      <c r="HI11" s="530"/>
      <c r="HJ11" s="530"/>
      <c r="HK11" s="530"/>
      <c r="HL11" s="530"/>
      <c r="HM11" s="530"/>
      <c r="HN11" s="530"/>
      <c r="HO11" s="530"/>
      <c r="HP11" s="530"/>
      <c r="HQ11" s="530"/>
      <c r="HR11" s="530"/>
      <c r="HS11" s="530"/>
      <c r="HT11" s="530"/>
      <c r="HU11" s="530"/>
      <c r="HV11" s="530"/>
      <c r="HW11" s="530"/>
      <c r="HX11" s="530"/>
      <c r="HY11" s="530"/>
      <c r="HZ11" s="530"/>
      <c r="IA11" s="530"/>
      <c r="IB11" s="530"/>
      <c r="IC11" s="530"/>
      <c r="ID11" s="530"/>
      <c r="IE11" s="530"/>
      <c r="IF11" s="530"/>
      <c r="IG11" s="530"/>
      <c r="IH11" s="530"/>
      <c r="II11" s="530"/>
      <c r="IJ11" s="530"/>
      <c r="IK11" s="530"/>
      <c r="IL11" s="530"/>
      <c r="IM11" s="530"/>
      <c r="IN11" s="530"/>
      <c r="IO11" s="530"/>
      <c r="IP11" s="530"/>
      <c r="IQ11" s="530"/>
      <c r="IR11" s="530"/>
      <c r="IS11" s="530"/>
      <c r="IT11" s="530"/>
      <c r="IU11" s="530"/>
      <c r="IV11" s="530"/>
      <c r="IW11" s="530"/>
      <c r="IX11" s="530"/>
      <c r="IY11" s="530"/>
      <c r="IZ11" s="530"/>
      <c r="JA11" s="530"/>
      <c r="JB11" s="530"/>
      <c r="JC11" s="530"/>
      <c r="JD11" s="530"/>
      <c r="JE11" s="530"/>
      <c r="JF11" s="530"/>
      <c r="JG11" s="530"/>
      <c r="JH11" s="530"/>
      <c r="JI11" s="530"/>
      <c r="JJ11" s="530"/>
      <c r="JK11" s="530"/>
      <c r="JL11" s="530"/>
      <c r="JM11" s="530"/>
      <c r="JN11" s="530"/>
      <c r="JO11" s="530"/>
      <c r="JP11" s="530"/>
      <c r="JQ11" s="530"/>
      <c r="JR11" s="530"/>
      <c r="JS11" s="530"/>
      <c r="JT11" s="530"/>
      <c r="JU11" s="530"/>
      <c r="JV11" s="530"/>
      <c r="JW11" s="530"/>
      <c r="JX11" s="530"/>
      <c r="JY11" s="530"/>
      <c r="JZ11" s="530"/>
      <c r="KA11" s="530"/>
      <c r="KB11" s="530"/>
      <c r="KC11" s="530"/>
      <c r="KD11" s="530"/>
      <c r="KE11" s="530"/>
      <c r="KF11" s="530"/>
      <c r="KG11" s="530"/>
      <c r="KH11" s="530"/>
      <c r="KI11" s="530"/>
      <c r="KJ11" s="530"/>
      <c r="KK11" s="530"/>
      <c r="KL11" s="530"/>
      <c r="KM11" s="530"/>
      <c r="KN11" s="530"/>
      <c r="KO11" s="530"/>
      <c r="KP11" s="530"/>
      <c r="KQ11" s="530"/>
      <c r="KR11" s="530"/>
      <c r="KS11" s="530"/>
      <c r="KT11" s="530"/>
      <c r="KU11" s="530"/>
      <c r="KV11" s="530"/>
      <c r="KW11" s="530"/>
      <c r="KX11" s="530"/>
      <c r="KY11" s="530"/>
      <c r="KZ11" s="530"/>
      <c r="LA11" s="530"/>
      <c r="LB11" s="530"/>
      <c r="LC11" s="530"/>
      <c r="LD11" s="530"/>
      <c r="LE11" s="530"/>
      <c r="LF11" s="530"/>
      <c r="LG11" s="530"/>
      <c r="LH11" s="530"/>
      <c r="LI11" s="530"/>
      <c r="LJ11" s="530"/>
      <c r="LK11" s="530"/>
      <c r="LL11" s="530"/>
      <c r="LM11" s="530"/>
      <c r="LN11" s="530"/>
      <c r="LO11" s="530"/>
      <c r="LP11" s="530"/>
      <c r="LQ11" s="530"/>
      <c r="LR11" s="530"/>
      <c r="LS11" s="530"/>
      <c r="LT11" s="530"/>
      <c r="LU11" s="530"/>
      <c r="LV11" s="530"/>
      <c r="LW11" s="530"/>
      <c r="LX11" s="530"/>
      <c r="LY11" s="530"/>
      <c r="LZ11" s="530"/>
      <c r="MA11" s="530"/>
      <c r="MB11" s="530"/>
      <c r="MC11" s="530"/>
      <c r="MD11" s="530"/>
      <c r="ME11" s="530"/>
      <c r="MF11" s="530"/>
      <c r="MG11" s="530"/>
      <c r="MH11" s="530"/>
      <c r="MI11" s="530"/>
      <c r="MJ11" s="530"/>
      <c r="MK11" s="530"/>
      <c r="ML11" s="530"/>
      <c r="MM11" s="530"/>
      <c r="MN11" s="530"/>
      <c r="MO11" s="530"/>
      <c r="MP11" s="530"/>
      <c r="MQ11" s="530"/>
      <c r="MR11" s="530"/>
      <c r="MS11" s="530"/>
      <c r="MT11" s="530"/>
      <c r="MU11" s="530"/>
      <c r="MV11" s="530"/>
      <c r="MW11" s="530"/>
      <c r="MX11" s="530"/>
      <c r="MY11" s="530"/>
      <c r="MZ11" s="530"/>
      <c r="NA11" s="530"/>
      <c r="NB11" s="530"/>
      <c r="NC11" s="530"/>
      <c r="ND11" s="530"/>
      <c r="NE11" s="530"/>
      <c r="NF11" s="530"/>
      <c r="NG11" s="530"/>
      <c r="NH11" s="530"/>
      <c r="NI11" s="530"/>
      <c r="NJ11" s="530"/>
      <c r="NK11" s="530"/>
      <c r="NL11" s="530"/>
      <c r="NM11" s="530"/>
      <c r="NN11" s="530"/>
      <c r="NO11" s="530"/>
      <c r="NP11" s="530"/>
      <c r="NQ11" s="530"/>
      <c r="NR11" s="530"/>
      <c r="NS11" s="530"/>
      <c r="NT11" s="530"/>
      <c r="NU11" s="530"/>
      <c r="NV11" s="530"/>
      <c r="NW11" s="530"/>
      <c r="NX11" s="530"/>
      <c r="NY11" s="530"/>
      <c r="NZ11" s="530"/>
      <c r="OA11" s="530"/>
      <c r="OB11" s="530"/>
      <c r="OC11" s="530"/>
      <c r="OD11" s="530"/>
      <c r="OE11" s="530"/>
      <c r="OF11" s="530"/>
      <c r="OG11" s="530"/>
      <c r="OH11" s="530"/>
      <c r="OI11" s="530"/>
      <c r="OJ11" s="530"/>
      <c r="OK11" s="530"/>
      <c r="OL11" s="530"/>
      <c r="OM11" s="530"/>
      <c r="ON11" s="530"/>
      <c r="OO11" s="530"/>
      <c r="OP11" s="530"/>
      <c r="OQ11" s="530"/>
      <c r="OR11" s="530"/>
      <c r="OS11" s="530"/>
      <c r="OT11" s="530"/>
      <c r="OU11" s="530"/>
      <c r="OV11" s="530"/>
      <c r="OW11" s="530"/>
      <c r="OX11" s="530"/>
      <c r="OY11" s="530"/>
      <c r="OZ11" s="530"/>
      <c r="PA11" s="530"/>
      <c r="PB11" s="530"/>
      <c r="PC11" s="530"/>
      <c r="PD11" s="530"/>
      <c r="PE11" s="530"/>
      <c r="PF11" s="530"/>
      <c r="PG11" s="530"/>
      <c r="PH11" s="530"/>
      <c r="PI11" s="530"/>
      <c r="PJ11" s="530"/>
      <c r="PK11" s="530"/>
      <c r="PL11" s="530"/>
      <c r="PM11" s="530"/>
      <c r="PN11" s="530"/>
      <c r="PO11" s="530"/>
      <c r="PP11" s="530"/>
      <c r="PQ11" s="530"/>
      <c r="PR11" s="530"/>
      <c r="PS11" s="530"/>
      <c r="PT11" s="530"/>
      <c r="PU11" s="530"/>
      <c r="PV11" s="530"/>
      <c r="PW11" s="530"/>
      <c r="PX11" s="530"/>
      <c r="PY11" s="530"/>
      <c r="PZ11" s="530"/>
      <c r="QA11" s="530"/>
      <c r="QB11" s="530"/>
      <c r="QC11" s="530"/>
      <c r="QD11" s="530"/>
      <c r="QE11" s="530"/>
      <c r="QF11" s="530"/>
      <c r="QG11" s="530"/>
      <c r="QH11" s="530"/>
      <c r="QI11" s="530"/>
      <c r="QJ11" s="530"/>
      <c r="QK11" s="530"/>
      <c r="QL11" s="530"/>
      <c r="QM11" s="530"/>
      <c r="QN11" s="530"/>
      <c r="QO11" s="530"/>
      <c r="QP11" s="530"/>
      <c r="QQ11" s="530"/>
      <c r="QR11" s="530"/>
      <c r="QS11" s="530"/>
      <c r="QT11" s="530"/>
      <c r="QU11" s="530"/>
      <c r="QV11" s="530"/>
      <c r="QW11" s="530"/>
      <c r="QX11" s="530"/>
      <c r="QY11" s="530"/>
      <c r="QZ11" s="530"/>
      <c r="RA11" s="530"/>
      <c r="RB11" s="530"/>
      <c r="RC11" s="530"/>
      <c r="RD11" s="530"/>
      <c r="RE11" s="530"/>
      <c r="RF11" s="530"/>
      <c r="RG11" s="530"/>
      <c r="RH11" s="530"/>
      <c r="RI11" s="530"/>
      <c r="RJ11" s="530"/>
      <c r="RK11" s="530"/>
      <c r="RL11" s="530"/>
      <c r="RM11" s="530"/>
      <c r="RN11" s="530"/>
      <c r="RO11" s="530"/>
      <c r="RP11" s="530"/>
      <c r="RQ11" s="530"/>
      <c r="RR11" s="530"/>
      <c r="RS11" s="530"/>
      <c r="RT11" s="530"/>
      <c r="RU11" s="530"/>
      <c r="RV11" s="530"/>
      <c r="RW11" s="530"/>
      <c r="RX11" s="530"/>
    </row>
    <row r="12" spans="1:492" s="531" customFormat="1" ht="20.149999999999999" customHeight="1">
      <c r="A12" s="550" t="s">
        <v>115</v>
      </c>
      <c r="B12" s="575" t="s">
        <v>116</v>
      </c>
      <c r="C12" s="532"/>
      <c r="D12" s="532"/>
      <c r="E12" s="532"/>
      <c r="F12" s="532"/>
      <c r="G12" s="532"/>
      <c r="H12" s="532"/>
      <c r="I12" s="532"/>
      <c r="J12" s="532"/>
      <c r="K12" s="532"/>
      <c r="L12" s="532"/>
      <c r="M12" s="532"/>
      <c r="N12" s="532"/>
      <c r="O12" s="532"/>
      <c r="P12" s="532"/>
      <c r="Q12" s="532"/>
      <c r="R12" s="532"/>
      <c r="S12" s="532"/>
      <c r="T12" s="532"/>
      <c r="U12" s="532"/>
      <c r="V12" s="532"/>
      <c r="W12" s="532"/>
      <c r="X12" s="532"/>
      <c r="Y12" s="532"/>
      <c r="Z12" s="532"/>
      <c r="AA12" s="532"/>
      <c r="AB12" s="532"/>
      <c r="AC12" s="532"/>
      <c r="AD12" s="532"/>
      <c r="AE12" s="532"/>
      <c r="AF12" s="532"/>
      <c r="AG12" s="532"/>
      <c r="AH12" s="532"/>
      <c r="AI12" s="532"/>
      <c r="AJ12" s="532"/>
      <c r="AK12" s="532"/>
      <c r="AL12" s="532"/>
      <c r="AM12" s="564"/>
      <c r="AN12" s="533"/>
      <c r="AO12" s="533"/>
      <c r="AP12" s="533"/>
      <c r="AQ12" s="565"/>
      <c r="AR12" s="534"/>
      <c r="AS12" s="534"/>
      <c r="AT12" s="534"/>
      <c r="AU12" s="534"/>
      <c r="AV12" s="534"/>
      <c r="AW12" s="533"/>
      <c r="AX12" s="533"/>
      <c r="AY12" s="533"/>
      <c r="AZ12" s="533"/>
      <c r="BA12" s="533"/>
      <c r="BB12" s="571">
        <v>147.1</v>
      </c>
      <c r="BC12" s="535">
        <v>122.29999999999998</v>
      </c>
      <c r="BD12" s="535">
        <v>135.20000000000005</v>
      </c>
      <c r="BE12" s="535">
        <v>201.6</v>
      </c>
      <c r="BF12" s="560">
        <f t="shared" ref="BF12" si="14">SUM(BB12:BE12)</f>
        <v>606.20000000000005</v>
      </c>
      <c r="BG12" s="535">
        <v>146.1</v>
      </c>
      <c r="BH12" s="535">
        <v>189.1</v>
      </c>
      <c r="BI12" s="535">
        <v>117.9</v>
      </c>
      <c r="BJ12" s="535">
        <f>629.3-SUM(BG12:BI12)</f>
        <v>176.19999999999993</v>
      </c>
      <c r="BK12" s="579">
        <f t="shared" ref="BK12:BK16" si="15">SUM(BG12:BJ12)</f>
        <v>629.29999999999995</v>
      </c>
      <c r="BL12" s="535">
        <v>96.6</v>
      </c>
      <c r="BM12" s="762">
        <f>239-BL12</f>
        <v>142.4</v>
      </c>
      <c r="BN12" s="535">
        <f>315.8-BM12-BL12</f>
        <v>76.800000000000011</v>
      </c>
      <c r="BO12" s="535">
        <f>506-BN12-BM12-BL12</f>
        <v>190.19999999999996</v>
      </c>
      <c r="BP12" s="579">
        <f t="shared" ref="BP12:BP17" si="16">SUM(BL12:BO12)</f>
        <v>506</v>
      </c>
      <c r="BQ12" s="535"/>
      <c r="BR12" s="762"/>
      <c r="BS12" s="535"/>
      <c r="BT12" s="535"/>
      <c r="BU12" s="579">
        <f t="shared" ref="BU12:BU17" si="17">SUM(BQ12:BT12)</f>
        <v>0</v>
      </c>
      <c r="BV12" s="530"/>
      <c r="BW12" s="530"/>
      <c r="BX12" s="530"/>
      <c r="BY12" s="530"/>
      <c r="BZ12" s="530"/>
      <c r="CA12" s="530"/>
      <c r="CB12" s="530"/>
      <c r="CC12" s="530"/>
      <c r="CD12" s="530"/>
      <c r="CE12" s="530"/>
      <c r="CF12" s="530"/>
      <c r="CG12" s="530"/>
      <c r="CH12" s="530"/>
      <c r="CI12" s="530"/>
      <c r="CJ12" s="530"/>
      <c r="CK12" s="530"/>
      <c r="CL12" s="530"/>
      <c r="CM12" s="530"/>
      <c r="CN12" s="530"/>
      <c r="CO12" s="530"/>
      <c r="CP12" s="530"/>
      <c r="CQ12" s="530"/>
      <c r="CR12" s="530"/>
      <c r="CS12" s="530"/>
      <c r="CT12" s="530"/>
      <c r="CU12" s="530"/>
      <c r="CV12" s="530"/>
      <c r="CW12" s="530"/>
      <c r="CX12" s="530"/>
      <c r="CY12" s="530"/>
      <c r="CZ12" s="530"/>
      <c r="DA12" s="530"/>
      <c r="DB12" s="530"/>
      <c r="DC12" s="530"/>
      <c r="DD12" s="530"/>
      <c r="DE12" s="530"/>
      <c r="DF12" s="530"/>
      <c r="DG12" s="530"/>
      <c r="DH12" s="530"/>
      <c r="DI12" s="530"/>
      <c r="DJ12" s="530"/>
      <c r="DK12" s="530"/>
      <c r="DL12" s="530"/>
      <c r="DM12" s="530"/>
      <c r="DN12" s="530"/>
      <c r="DO12" s="530"/>
      <c r="DP12" s="530"/>
      <c r="DQ12" s="530"/>
      <c r="DR12" s="530"/>
      <c r="DS12" s="530"/>
      <c r="DT12" s="530"/>
      <c r="DU12" s="530"/>
      <c r="DV12" s="530"/>
      <c r="DW12" s="530"/>
      <c r="DX12" s="530"/>
      <c r="DY12" s="530"/>
      <c r="DZ12" s="530"/>
      <c r="EA12" s="530"/>
      <c r="EB12" s="530"/>
      <c r="EC12" s="530"/>
      <c r="ED12" s="530"/>
      <c r="EE12" s="530"/>
      <c r="EF12" s="530"/>
      <c r="EG12" s="530"/>
      <c r="EH12" s="530"/>
      <c r="EI12" s="530"/>
      <c r="EJ12" s="530"/>
      <c r="EK12" s="530"/>
      <c r="EL12" s="530"/>
      <c r="EM12" s="530"/>
      <c r="EN12" s="530"/>
      <c r="EO12" s="530"/>
      <c r="EP12" s="530"/>
      <c r="EQ12" s="530"/>
      <c r="ER12" s="530"/>
      <c r="ES12" s="530"/>
      <c r="ET12" s="530"/>
      <c r="EU12" s="530"/>
      <c r="EV12" s="530"/>
      <c r="EW12" s="530"/>
      <c r="EX12" s="530"/>
      <c r="EY12" s="530"/>
      <c r="EZ12" s="530"/>
      <c r="FA12" s="530"/>
      <c r="FB12" s="530"/>
      <c r="FC12" s="530"/>
      <c r="FD12" s="530"/>
      <c r="FE12" s="530"/>
      <c r="FF12" s="530"/>
      <c r="FG12" s="530"/>
      <c r="FH12" s="530"/>
      <c r="FI12" s="530"/>
      <c r="FJ12" s="530"/>
      <c r="FK12" s="530"/>
      <c r="FL12" s="530"/>
      <c r="FM12" s="530"/>
      <c r="FN12" s="530"/>
      <c r="FO12" s="530"/>
      <c r="FP12" s="530"/>
      <c r="FQ12" s="530"/>
      <c r="FR12" s="530"/>
      <c r="FS12" s="530"/>
      <c r="FT12" s="530"/>
      <c r="FU12" s="530"/>
      <c r="FV12" s="530"/>
      <c r="FW12" s="530"/>
      <c r="FX12" s="530"/>
      <c r="FY12" s="530"/>
      <c r="FZ12" s="530"/>
      <c r="GA12" s="530"/>
      <c r="GB12" s="530"/>
      <c r="GC12" s="530"/>
      <c r="GD12" s="530"/>
      <c r="GE12" s="530"/>
      <c r="GF12" s="530"/>
      <c r="GG12" s="530"/>
      <c r="GH12" s="530"/>
      <c r="GI12" s="530"/>
      <c r="GJ12" s="530"/>
      <c r="GK12" s="530"/>
      <c r="GL12" s="530"/>
      <c r="GM12" s="530"/>
      <c r="GN12" s="530"/>
      <c r="GO12" s="530"/>
      <c r="GP12" s="530"/>
      <c r="GQ12" s="530"/>
      <c r="GR12" s="530"/>
      <c r="GS12" s="530"/>
      <c r="GT12" s="530"/>
      <c r="GU12" s="530"/>
      <c r="GV12" s="530"/>
      <c r="GW12" s="530"/>
      <c r="GX12" s="530"/>
      <c r="GY12" s="530"/>
      <c r="GZ12" s="530"/>
      <c r="HA12" s="530"/>
      <c r="HB12" s="530"/>
      <c r="HC12" s="530"/>
      <c r="HD12" s="530"/>
      <c r="HE12" s="530"/>
      <c r="HF12" s="530"/>
      <c r="HG12" s="530"/>
      <c r="HH12" s="530"/>
      <c r="HI12" s="530"/>
      <c r="HJ12" s="530"/>
      <c r="HK12" s="530"/>
      <c r="HL12" s="530"/>
      <c r="HM12" s="530"/>
      <c r="HN12" s="530"/>
      <c r="HO12" s="530"/>
      <c r="HP12" s="530"/>
      <c r="HQ12" s="530"/>
      <c r="HR12" s="530"/>
      <c r="HS12" s="530"/>
      <c r="HT12" s="530"/>
      <c r="HU12" s="530"/>
      <c r="HV12" s="530"/>
      <c r="HW12" s="530"/>
      <c r="HX12" s="530"/>
      <c r="HY12" s="530"/>
      <c r="HZ12" s="530"/>
      <c r="IA12" s="530"/>
      <c r="IB12" s="530"/>
      <c r="IC12" s="530"/>
      <c r="ID12" s="530"/>
      <c r="IE12" s="530"/>
      <c r="IF12" s="530"/>
      <c r="IG12" s="530"/>
      <c r="IH12" s="530"/>
      <c r="II12" s="530"/>
      <c r="IJ12" s="530"/>
      <c r="IK12" s="530"/>
      <c r="IL12" s="530"/>
      <c r="IM12" s="530"/>
      <c r="IN12" s="530"/>
      <c r="IO12" s="530"/>
      <c r="IP12" s="530"/>
      <c r="IQ12" s="530"/>
      <c r="IR12" s="530"/>
      <c r="IS12" s="530"/>
      <c r="IT12" s="530"/>
      <c r="IU12" s="530"/>
      <c r="IV12" s="530"/>
      <c r="IW12" s="530"/>
      <c r="IX12" s="530"/>
      <c r="IY12" s="530"/>
      <c r="IZ12" s="530"/>
      <c r="JA12" s="530"/>
      <c r="JB12" s="530"/>
      <c r="JC12" s="530"/>
      <c r="JD12" s="530"/>
      <c r="JE12" s="530"/>
      <c r="JF12" s="530"/>
      <c r="JG12" s="530"/>
      <c r="JH12" s="530"/>
      <c r="JI12" s="530"/>
      <c r="JJ12" s="530"/>
      <c r="JK12" s="530"/>
      <c r="JL12" s="530"/>
      <c r="JM12" s="530"/>
      <c r="JN12" s="530"/>
      <c r="JO12" s="530"/>
      <c r="JP12" s="530"/>
      <c r="JQ12" s="530"/>
      <c r="JR12" s="530"/>
      <c r="JS12" s="530"/>
      <c r="JT12" s="530"/>
      <c r="JU12" s="530"/>
      <c r="JV12" s="530"/>
      <c r="JW12" s="530"/>
      <c r="JX12" s="530"/>
      <c r="JY12" s="530"/>
      <c r="JZ12" s="530"/>
      <c r="KA12" s="530"/>
      <c r="KB12" s="530"/>
      <c r="KC12" s="530"/>
      <c r="KD12" s="530"/>
      <c r="KE12" s="530"/>
      <c r="KF12" s="530"/>
      <c r="KG12" s="530"/>
      <c r="KH12" s="530"/>
      <c r="KI12" s="530"/>
      <c r="KJ12" s="530"/>
      <c r="KK12" s="530"/>
      <c r="KL12" s="530"/>
      <c r="KM12" s="530"/>
      <c r="KN12" s="530"/>
      <c r="KO12" s="530"/>
      <c r="KP12" s="530"/>
      <c r="KQ12" s="530"/>
      <c r="KR12" s="530"/>
      <c r="KS12" s="530"/>
      <c r="KT12" s="530"/>
      <c r="KU12" s="530"/>
      <c r="KV12" s="530"/>
      <c r="KW12" s="530"/>
      <c r="KX12" s="530"/>
      <c r="KY12" s="530"/>
      <c r="KZ12" s="530"/>
      <c r="LA12" s="530"/>
      <c r="LB12" s="530"/>
      <c r="LC12" s="530"/>
      <c r="LD12" s="530"/>
      <c r="LE12" s="530"/>
      <c r="LF12" s="530"/>
      <c r="LG12" s="530"/>
      <c r="LH12" s="530"/>
      <c r="LI12" s="530"/>
      <c r="LJ12" s="530"/>
      <c r="LK12" s="530"/>
      <c r="LL12" s="530"/>
      <c r="LM12" s="530"/>
      <c r="LN12" s="530"/>
      <c r="LO12" s="530"/>
      <c r="LP12" s="530"/>
      <c r="LQ12" s="530"/>
      <c r="LR12" s="530"/>
      <c r="LS12" s="530"/>
      <c r="LT12" s="530"/>
      <c r="LU12" s="530"/>
      <c r="LV12" s="530"/>
      <c r="LW12" s="530"/>
      <c r="LX12" s="530"/>
      <c r="LY12" s="530"/>
      <c r="LZ12" s="530"/>
      <c r="MA12" s="530"/>
      <c r="MB12" s="530"/>
      <c r="MC12" s="530"/>
      <c r="MD12" s="530"/>
      <c r="ME12" s="530"/>
      <c r="MF12" s="530"/>
      <c r="MG12" s="530"/>
      <c r="MH12" s="530"/>
      <c r="MI12" s="530"/>
      <c r="MJ12" s="530"/>
      <c r="MK12" s="530"/>
      <c r="ML12" s="530"/>
      <c r="MM12" s="530"/>
      <c r="MN12" s="530"/>
      <c r="MO12" s="530"/>
      <c r="MP12" s="530"/>
      <c r="MQ12" s="530"/>
      <c r="MR12" s="530"/>
      <c r="MS12" s="530"/>
      <c r="MT12" s="530"/>
      <c r="MU12" s="530"/>
      <c r="MV12" s="530"/>
      <c r="MW12" s="530"/>
      <c r="MX12" s="530"/>
      <c r="MY12" s="530"/>
      <c r="MZ12" s="530"/>
      <c r="NA12" s="530"/>
      <c r="NB12" s="530"/>
      <c r="NC12" s="530"/>
      <c r="ND12" s="530"/>
      <c r="NE12" s="530"/>
      <c r="NF12" s="530"/>
      <c r="NG12" s="530"/>
      <c r="NH12" s="530"/>
      <c r="NI12" s="530"/>
      <c r="NJ12" s="530"/>
      <c r="NK12" s="530"/>
      <c r="NL12" s="530"/>
      <c r="NM12" s="530"/>
      <c r="NN12" s="530"/>
      <c r="NO12" s="530"/>
      <c r="NP12" s="530"/>
      <c r="NQ12" s="530"/>
      <c r="NR12" s="530"/>
      <c r="NS12" s="530"/>
      <c r="NT12" s="530"/>
      <c r="NU12" s="530"/>
      <c r="NV12" s="530"/>
      <c r="NW12" s="530"/>
      <c r="NX12" s="530"/>
      <c r="NY12" s="530"/>
      <c r="NZ12" s="530"/>
      <c r="OA12" s="530"/>
      <c r="OB12" s="530"/>
      <c r="OC12" s="530"/>
      <c r="OD12" s="530"/>
      <c r="OE12" s="530"/>
      <c r="OF12" s="530"/>
      <c r="OG12" s="530"/>
      <c r="OH12" s="530"/>
      <c r="OI12" s="530"/>
      <c r="OJ12" s="530"/>
      <c r="OK12" s="530"/>
      <c r="OL12" s="530"/>
      <c r="OM12" s="530"/>
      <c r="ON12" s="530"/>
      <c r="OO12" s="530"/>
      <c r="OP12" s="530"/>
      <c r="OQ12" s="530"/>
      <c r="OR12" s="530"/>
      <c r="OS12" s="530"/>
      <c r="OT12" s="530"/>
      <c r="OU12" s="530"/>
      <c r="OV12" s="530"/>
      <c r="OW12" s="530"/>
      <c r="OX12" s="530"/>
      <c r="OY12" s="530"/>
      <c r="OZ12" s="530"/>
      <c r="PA12" s="530"/>
      <c r="PB12" s="530"/>
      <c r="PC12" s="530"/>
      <c r="PD12" s="530"/>
      <c r="PE12" s="530"/>
      <c r="PF12" s="530"/>
      <c r="PG12" s="530"/>
      <c r="PH12" s="530"/>
      <c r="PI12" s="530"/>
      <c r="PJ12" s="530"/>
      <c r="PK12" s="530"/>
      <c r="PL12" s="530"/>
      <c r="PM12" s="530"/>
      <c r="PN12" s="530"/>
      <c r="PO12" s="530"/>
      <c r="PP12" s="530"/>
      <c r="PQ12" s="530"/>
      <c r="PR12" s="530"/>
      <c r="PS12" s="530"/>
      <c r="PT12" s="530"/>
      <c r="PU12" s="530"/>
      <c r="PV12" s="530"/>
      <c r="PW12" s="530"/>
      <c r="PX12" s="530"/>
      <c r="PY12" s="530"/>
      <c r="PZ12" s="530"/>
      <c r="QA12" s="530"/>
      <c r="QB12" s="530"/>
      <c r="QC12" s="530"/>
      <c r="QD12" s="530"/>
      <c r="QE12" s="530"/>
      <c r="QF12" s="530"/>
      <c r="QG12" s="530"/>
      <c r="QH12" s="530"/>
      <c r="QI12" s="530"/>
      <c r="QJ12" s="530"/>
      <c r="QK12" s="530"/>
      <c r="QL12" s="530"/>
      <c r="QM12" s="530"/>
      <c r="QN12" s="530"/>
      <c r="QO12" s="530"/>
      <c r="QP12" s="530"/>
      <c r="QQ12" s="530"/>
      <c r="QR12" s="530"/>
      <c r="QS12" s="530"/>
      <c r="QT12" s="530"/>
      <c r="QU12" s="530"/>
      <c r="QV12" s="530"/>
      <c r="QW12" s="530"/>
      <c r="QX12" s="530"/>
      <c r="QY12" s="530"/>
      <c r="QZ12" s="530"/>
      <c r="RA12" s="530"/>
      <c r="RB12" s="530"/>
      <c r="RC12" s="530"/>
      <c r="RD12" s="530"/>
      <c r="RE12" s="530"/>
      <c r="RF12" s="530"/>
      <c r="RG12" s="530"/>
      <c r="RH12" s="530"/>
      <c r="RI12" s="530"/>
      <c r="RJ12" s="530"/>
      <c r="RK12" s="530"/>
      <c r="RL12" s="530"/>
      <c r="RM12" s="530"/>
      <c r="RN12" s="530"/>
      <c r="RO12" s="530"/>
      <c r="RP12" s="530"/>
      <c r="RQ12" s="530"/>
      <c r="RR12" s="530"/>
      <c r="RS12" s="530"/>
      <c r="RT12" s="530"/>
      <c r="RU12" s="530"/>
      <c r="RV12" s="530"/>
      <c r="RW12" s="530"/>
      <c r="RX12" s="530"/>
    </row>
    <row r="13" spans="1:492" s="531" customFormat="1" ht="20.149999999999999" customHeight="1">
      <c r="A13" s="550" t="s">
        <v>123</v>
      </c>
      <c r="B13" s="575" t="s">
        <v>118</v>
      </c>
      <c r="C13" s="532"/>
      <c r="D13" s="532"/>
      <c r="E13" s="532"/>
      <c r="F13" s="532"/>
      <c r="G13" s="532"/>
      <c r="H13" s="532"/>
      <c r="I13" s="532"/>
      <c r="J13" s="532"/>
      <c r="K13" s="532"/>
      <c r="L13" s="532"/>
      <c r="M13" s="532"/>
      <c r="N13" s="532"/>
      <c r="O13" s="532"/>
      <c r="P13" s="532"/>
      <c r="Q13" s="532"/>
      <c r="R13" s="532"/>
      <c r="S13" s="532"/>
      <c r="T13" s="532"/>
      <c r="U13" s="532"/>
      <c r="V13" s="532"/>
      <c r="W13" s="532"/>
      <c r="X13" s="532"/>
      <c r="Y13" s="532"/>
      <c r="Z13" s="532"/>
      <c r="AA13" s="532"/>
      <c r="AB13" s="532"/>
      <c r="AC13" s="532"/>
      <c r="AD13" s="532"/>
      <c r="AE13" s="532"/>
      <c r="AF13" s="532"/>
      <c r="AG13" s="532"/>
      <c r="AH13" s="532"/>
      <c r="AI13" s="532"/>
      <c r="AJ13" s="532"/>
      <c r="AK13" s="532"/>
      <c r="AL13" s="532"/>
      <c r="AM13" s="564"/>
      <c r="AN13" s="533"/>
      <c r="AO13" s="533"/>
      <c r="AP13" s="533"/>
      <c r="AQ13" s="565"/>
      <c r="AR13" s="534"/>
      <c r="AS13" s="534"/>
      <c r="AT13" s="534"/>
      <c r="AU13" s="534"/>
      <c r="AV13" s="534"/>
      <c r="AW13" s="533"/>
      <c r="AX13" s="533"/>
      <c r="AY13" s="533"/>
      <c r="AZ13" s="533"/>
      <c r="BA13" s="533"/>
      <c r="BB13" s="571"/>
      <c r="BC13" s="535"/>
      <c r="BD13" s="535"/>
      <c r="BE13" s="535"/>
      <c r="BF13" s="560"/>
      <c r="BG13" s="535"/>
      <c r="BH13" s="535"/>
      <c r="BI13" s="535"/>
      <c r="BJ13" s="535"/>
      <c r="BK13" s="579"/>
      <c r="BL13" s="749">
        <v>0</v>
      </c>
      <c r="BM13" s="762">
        <v>3.7</v>
      </c>
      <c r="BN13" s="535">
        <f>14-BM13-BL13</f>
        <v>10.3</v>
      </c>
      <c r="BO13" s="535">
        <f>17.2-BN13-BM13</f>
        <v>3.1999999999999984</v>
      </c>
      <c r="BP13" s="579">
        <f t="shared" si="16"/>
        <v>17.2</v>
      </c>
      <c r="BQ13" s="749"/>
      <c r="BR13" s="762"/>
      <c r="BS13" s="535"/>
      <c r="BT13" s="535"/>
      <c r="BU13" s="579">
        <f t="shared" si="17"/>
        <v>0</v>
      </c>
      <c r="BV13" s="530"/>
      <c r="BW13" s="530"/>
      <c r="BX13" s="530"/>
      <c r="BY13" s="530"/>
      <c r="BZ13" s="530"/>
      <c r="CA13" s="530"/>
      <c r="CB13" s="530"/>
      <c r="CC13" s="530"/>
      <c r="CD13" s="530"/>
      <c r="CE13" s="530"/>
      <c r="CF13" s="530"/>
      <c r="CG13" s="530"/>
      <c r="CH13" s="530"/>
      <c r="CI13" s="530"/>
      <c r="CJ13" s="530"/>
      <c r="CK13" s="530"/>
      <c r="CL13" s="530"/>
      <c r="CM13" s="530"/>
      <c r="CN13" s="530"/>
      <c r="CO13" s="530"/>
      <c r="CP13" s="530"/>
      <c r="CQ13" s="530"/>
      <c r="CR13" s="530"/>
      <c r="CS13" s="530"/>
      <c r="CT13" s="530"/>
      <c r="CU13" s="530"/>
      <c r="CV13" s="530"/>
      <c r="CW13" s="530"/>
      <c r="CX13" s="530"/>
      <c r="CY13" s="530"/>
      <c r="CZ13" s="530"/>
      <c r="DA13" s="530"/>
      <c r="DB13" s="530"/>
      <c r="DC13" s="530"/>
      <c r="DD13" s="530"/>
      <c r="DE13" s="530"/>
      <c r="DF13" s="530"/>
      <c r="DG13" s="530"/>
      <c r="DH13" s="530"/>
      <c r="DI13" s="530"/>
      <c r="DJ13" s="530"/>
      <c r="DK13" s="530"/>
      <c r="DL13" s="530"/>
      <c r="DM13" s="530"/>
      <c r="DN13" s="530"/>
      <c r="DO13" s="530"/>
      <c r="DP13" s="530"/>
      <c r="DQ13" s="530"/>
      <c r="DR13" s="530"/>
      <c r="DS13" s="530"/>
      <c r="DT13" s="530"/>
      <c r="DU13" s="530"/>
      <c r="DV13" s="530"/>
      <c r="DW13" s="530"/>
      <c r="DX13" s="530"/>
      <c r="DY13" s="530"/>
      <c r="DZ13" s="530"/>
      <c r="EA13" s="530"/>
      <c r="EB13" s="530"/>
      <c r="EC13" s="530"/>
      <c r="ED13" s="530"/>
      <c r="EE13" s="530"/>
      <c r="EF13" s="530"/>
      <c r="EG13" s="530"/>
      <c r="EH13" s="530"/>
      <c r="EI13" s="530"/>
      <c r="EJ13" s="530"/>
      <c r="EK13" s="530"/>
      <c r="EL13" s="530"/>
      <c r="EM13" s="530"/>
      <c r="EN13" s="530"/>
      <c r="EO13" s="530"/>
      <c r="EP13" s="530"/>
      <c r="EQ13" s="530"/>
      <c r="ER13" s="530"/>
      <c r="ES13" s="530"/>
      <c r="ET13" s="530"/>
      <c r="EU13" s="530"/>
      <c r="EV13" s="530"/>
      <c r="EW13" s="530"/>
      <c r="EX13" s="530"/>
      <c r="EY13" s="530"/>
      <c r="EZ13" s="530"/>
      <c r="FA13" s="530"/>
      <c r="FB13" s="530"/>
      <c r="FC13" s="530"/>
      <c r="FD13" s="530"/>
      <c r="FE13" s="530"/>
      <c r="FF13" s="530"/>
      <c r="FG13" s="530"/>
      <c r="FH13" s="530"/>
      <c r="FI13" s="530"/>
      <c r="FJ13" s="530"/>
      <c r="FK13" s="530"/>
      <c r="FL13" s="530"/>
      <c r="FM13" s="530"/>
      <c r="FN13" s="530"/>
      <c r="FO13" s="530"/>
      <c r="FP13" s="530"/>
      <c r="FQ13" s="530"/>
      <c r="FR13" s="530"/>
      <c r="FS13" s="530"/>
      <c r="FT13" s="530"/>
      <c r="FU13" s="530"/>
      <c r="FV13" s="530"/>
      <c r="FW13" s="530"/>
      <c r="FX13" s="530"/>
      <c r="FY13" s="530"/>
      <c r="FZ13" s="530"/>
      <c r="GA13" s="530"/>
      <c r="GB13" s="530"/>
      <c r="GC13" s="530"/>
      <c r="GD13" s="530"/>
      <c r="GE13" s="530"/>
      <c r="GF13" s="530"/>
      <c r="GG13" s="530"/>
      <c r="GH13" s="530"/>
      <c r="GI13" s="530"/>
      <c r="GJ13" s="530"/>
      <c r="GK13" s="530"/>
      <c r="GL13" s="530"/>
      <c r="GM13" s="530"/>
      <c r="GN13" s="530"/>
      <c r="GO13" s="530"/>
      <c r="GP13" s="530"/>
      <c r="GQ13" s="530"/>
      <c r="GR13" s="530"/>
      <c r="GS13" s="530"/>
      <c r="GT13" s="530"/>
      <c r="GU13" s="530"/>
      <c r="GV13" s="530"/>
      <c r="GW13" s="530"/>
      <c r="GX13" s="530"/>
      <c r="GY13" s="530"/>
      <c r="GZ13" s="530"/>
      <c r="HA13" s="530"/>
      <c r="HB13" s="530"/>
      <c r="HC13" s="530"/>
      <c r="HD13" s="530"/>
      <c r="HE13" s="530"/>
      <c r="HF13" s="530"/>
      <c r="HG13" s="530"/>
      <c r="HH13" s="530"/>
      <c r="HI13" s="530"/>
      <c r="HJ13" s="530"/>
      <c r="HK13" s="530"/>
      <c r="HL13" s="530"/>
      <c r="HM13" s="530"/>
      <c r="HN13" s="530"/>
      <c r="HO13" s="530"/>
      <c r="HP13" s="530"/>
      <c r="HQ13" s="530"/>
      <c r="HR13" s="530"/>
      <c r="HS13" s="530"/>
      <c r="HT13" s="530"/>
      <c r="HU13" s="530"/>
      <c r="HV13" s="530"/>
      <c r="HW13" s="530"/>
      <c r="HX13" s="530"/>
      <c r="HY13" s="530"/>
      <c r="HZ13" s="530"/>
      <c r="IA13" s="530"/>
      <c r="IB13" s="530"/>
      <c r="IC13" s="530"/>
      <c r="ID13" s="530"/>
      <c r="IE13" s="530"/>
      <c r="IF13" s="530"/>
      <c r="IG13" s="530"/>
      <c r="IH13" s="530"/>
      <c r="II13" s="530"/>
      <c r="IJ13" s="530"/>
      <c r="IK13" s="530"/>
      <c r="IL13" s="530"/>
      <c r="IM13" s="530"/>
      <c r="IN13" s="530"/>
      <c r="IO13" s="530"/>
      <c r="IP13" s="530"/>
      <c r="IQ13" s="530"/>
      <c r="IR13" s="530"/>
      <c r="IS13" s="530"/>
      <c r="IT13" s="530"/>
      <c r="IU13" s="530"/>
      <c r="IV13" s="530"/>
      <c r="IW13" s="530"/>
      <c r="IX13" s="530"/>
      <c r="IY13" s="530"/>
      <c r="IZ13" s="530"/>
      <c r="JA13" s="530"/>
      <c r="JB13" s="530"/>
      <c r="JC13" s="530"/>
      <c r="JD13" s="530"/>
      <c r="JE13" s="530"/>
      <c r="JF13" s="530"/>
      <c r="JG13" s="530"/>
      <c r="JH13" s="530"/>
      <c r="JI13" s="530"/>
      <c r="JJ13" s="530"/>
      <c r="JK13" s="530"/>
      <c r="JL13" s="530"/>
      <c r="JM13" s="530"/>
      <c r="JN13" s="530"/>
      <c r="JO13" s="530"/>
      <c r="JP13" s="530"/>
      <c r="JQ13" s="530"/>
      <c r="JR13" s="530"/>
      <c r="JS13" s="530"/>
      <c r="JT13" s="530"/>
      <c r="JU13" s="530"/>
      <c r="JV13" s="530"/>
      <c r="JW13" s="530"/>
      <c r="JX13" s="530"/>
      <c r="JY13" s="530"/>
      <c r="JZ13" s="530"/>
      <c r="KA13" s="530"/>
      <c r="KB13" s="530"/>
      <c r="KC13" s="530"/>
      <c r="KD13" s="530"/>
      <c r="KE13" s="530"/>
      <c r="KF13" s="530"/>
      <c r="KG13" s="530"/>
      <c r="KH13" s="530"/>
      <c r="KI13" s="530"/>
      <c r="KJ13" s="530"/>
      <c r="KK13" s="530"/>
      <c r="KL13" s="530"/>
      <c r="KM13" s="530"/>
      <c r="KN13" s="530"/>
      <c r="KO13" s="530"/>
      <c r="KP13" s="530"/>
      <c r="KQ13" s="530"/>
      <c r="KR13" s="530"/>
      <c r="KS13" s="530"/>
      <c r="KT13" s="530"/>
      <c r="KU13" s="530"/>
      <c r="KV13" s="530"/>
      <c r="KW13" s="530"/>
      <c r="KX13" s="530"/>
      <c r="KY13" s="530"/>
      <c r="KZ13" s="530"/>
      <c r="LA13" s="530"/>
      <c r="LB13" s="530"/>
      <c r="LC13" s="530"/>
      <c r="LD13" s="530"/>
      <c r="LE13" s="530"/>
      <c r="LF13" s="530"/>
      <c r="LG13" s="530"/>
      <c r="LH13" s="530"/>
      <c r="LI13" s="530"/>
      <c r="LJ13" s="530"/>
      <c r="LK13" s="530"/>
      <c r="LL13" s="530"/>
      <c r="LM13" s="530"/>
      <c r="LN13" s="530"/>
      <c r="LO13" s="530"/>
      <c r="LP13" s="530"/>
      <c r="LQ13" s="530"/>
      <c r="LR13" s="530"/>
      <c r="LS13" s="530"/>
      <c r="LT13" s="530"/>
      <c r="LU13" s="530"/>
      <c r="LV13" s="530"/>
      <c r="LW13" s="530"/>
      <c r="LX13" s="530"/>
      <c r="LY13" s="530"/>
      <c r="LZ13" s="530"/>
      <c r="MA13" s="530"/>
      <c r="MB13" s="530"/>
      <c r="MC13" s="530"/>
      <c r="MD13" s="530"/>
      <c r="ME13" s="530"/>
      <c r="MF13" s="530"/>
      <c r="MG13" s="530"/>
      <c r="MH13" s="530"/>
      <c r="MI13" s="530"/>
      <c r="MJ13" s="530"/>
      <c r="MK13" s="530"/>
      <c r="ML13" s="530"/>
      <c r="MM13" s="530"/>
      <c r="MN13" s="530"/>
      <c r="MO13" s="530"/>
      <c r="MP13" s="530"/>
      <c r="MQ13" s="530"/>
      <c r="MR13" s="530"/>
      <c r="MS13" s="530"/>
      <c r="MT13" s="530"/>
      <c r="MU13" s="530"/>
      <c r="MV13" s="530"/>
      <c r="MW13" s="530"/>
      <c r="MX13" s="530"/>
      <c r="MY13" s="530"/>
      <c r="MZ13" s="530"/>
      <c r="NA13" s="530"/>
      <c r="NB13" s="530"/>
      <c r="NC13" s="530"/>
      <c r="ND13" s="530"/>
      <c r="NE13" s="530"/>
      <c r="NF13" s="530"/>
      <c r="NG13" s="530"/>
      <c r="NH13" s="530"/>
      <c r="NI13" s="530"/>
      <c r="NJ13" s="530"/>
      <c r="NK13" s="530"/>
      <c r="NL13" s="530"/>
      <c r="NM13" s="530"/>
      <c r="NN13" s="530"/>
      <c r="NO13" s="530"/>
      <c r="NP13" s="530"/>
      <c r="NQ13" s="530"/>
      <c r="NR13" s="530"/>
      <c r="NS13" s="530"/>
      <c r="NT13" s="530"/>
      <c r="NU13" s="530"/>
      <c r="NV13" s="530"/>
      <c r="NW13" s="530"/>
      <c r="NX13" s="530"/>
      <c r="NY13" s="530"/>
      <c r="NZ13" s="530"/>
      <c r="OA13" s="530"/>
      <c r="OB13" s="530"/>
      <c r="OC13" s="530"/>
      <c r="OD13" s="530"/>
      <c r="OE13" s="530"/>
      <c r="OF13" s="530"/>
      <c r="OG13" s="530"/>
      <c r="OH13" s="530"/>
      <c r="OI13" s="530"/>
      <c r="OJ13" s="530"/>
      <c r="OK13" s="530"/>
      <c r="OL13" s="530"/>
      <c r="OM13" s="530"/>
      <c r="ON13" s="530"/>
      <c r="OO13" s="530"/>
      <c r="OP13" s="530"/>
      <c r="OQ13" s="530"/>
      <c r="OR13" s="530"/>
      <c r="OS13" s="530"/>
      <c r="OT13" s="530"/>
      <c r="OU13" s="530"/>
      <c r="OV13" s="530"/>
      <c r="OW13" s="530"/>
      <c r="OX13" s="530"/>
      <c r="OY13" s="530"/>
      <c r="OZ13" s="530"/>
      <c r="PA13" s="530"/>
      <c r="PB13" s="530"/>
      <c r="PC13" s="530"/>
      <c r="PD13" s="530"/>
      <c r="PE13" s="530"/>
      <c r="PF13" s="530"/>
      <c r="PG13" s="530"/>
      <c r="PH13" s="530"/>
      <c r="PI13" s="530"/>
      <c r="PJ13" s="530"/>
      <c r="PK13" s="530"/>
      <c r="PL13" s="530"/>
      <c r="PM13" s="530"/>
      <c r="PN13" s="530"/>
      <c r="PO13" s="530"/>
      <c r="PP13" s="530"/>
      <c r="PQ13" s="530"/>
      <c r="PR13" s="530"/>
      <c r="PS13" s="530"/>
      <c r="PT13" s="530"/>
      <c r="PU13" s="530"/>
      <c r="PV13" s="530"/>
      <c r="PW13" s="530"/>
      <c r="PX13" s="530"/>
      <c r="PY13" s="530"/>
      <c r="PZ13" s="530"/>
      <c r="QA13" s="530"/>
      <c r="QB13" s="530"/>
      <c r="QC13" s="530"/>
      <c r="QD13" s="530"/>
      <c r="QE13" s="530"/>
      <c r="QF13" s="530"/>
      <c r="QG13" s="530"/>
      <c r="QH13" s="530"/>
      <c r="QI13" s="530"/>
      <c r="QJ13" s="530"/>
      <c r="QK13" s="530"/>
      <c r="QL13" s="530"/>
      <c r="QM13" s="530"/>
      <c r="QN13" s="530"/>
      <c r="QO13" s="530"/>
      <c r="QP13" s="530"/>
      <c r="QQ13" s="530"/>
      <c r="QR13" s="530"/>
      <c r="QS13" s="530"/>
      <c r="QT13" s="530"/>
      <c r="QU13" s="530"/>
      <c r="QV13" s="530"/>
      <c r="QW13" s="530"/>
      <c r="QX13" s="530"/>
      <c r="QY13" s="530"/>
      <c r="QZ13" s="530"/>
      <c r="RA13" s="530"/>
      <c r="RB13" s="530"/>
      <c r="RC13" s="530"/>
      <c r="RD13" s="530"/>
      <c r="RE13" s="530"/>
      <c r="RF13" s="530"/>
      <c r="RG13" s="530"/>
      <c r="RH13" s="530"/>
      <c r="RI13" s="530"/>
      <c r="RJ13" s="530"/>
      <c r="RK13" s="530"/>
      <c r="RL13" s="530"/>
      <c r="RM13" s="530"/>
      <c r="RN13" s="530"/>
      <c r="RO13" s="530"/>
      <c r="RP13" s="530"/>
      <c r="RQ13" s="530"/>
      <c r="RR13" s="530"/>
      <c r="RS13" s="530"/>
      <c r="RT13" s="530"/>
      <c r="RU13" s="530"/>
      <c r="RV13" s="530"/>
      <c r="RW13" s="530"/>
      <c r="RX13" s="530"/>
    </row>
    <row r="14" spans="1:492" s="531" customFormat="1" ht="20.149999999999999" customHeight="1">
      <c r="A14" s="550" t="s">
        <v>119</v>
      </c>
      <c r="B14" s="575" t="s">
        <v>120</v>
      </c>
      <c r="C14" s="532"/>
      <c r="D14" s="532"/>
      <c r="E14" s="532"/>
      <c r="F14" s="532"/>
      <c r="G14" s="532"/>
      <c r="H14" s="532"/>
      <c r="I14" s="532"/>
      <c r="J14" s="532"/>
      <c r="K14" s="532"/>
      <c r="L14" s="532"/>
      <c r="M14" s="532"/>
      <c r="N14" s="532"/>
      <c r="O14" s="532"/>
      <c r="P14" s="532"/>
      <c r="Q14" s="532"/>
      <c r="R14" s="532"/>
      <c r="S14" s="532"/>
      <c r="T14" s="532"/>
      <c r="U14" s="532"/>
      <c r="V14" s="532"/>
      <c r="W14" s="532"/>
      <c r="X14" s="532"/>
      <c r="Y14" s="532"/>
      <c r="Z14" s="532"/>
      <c r="AA14" s="532"/>
      <c r="AB14" s="532"/>
      <c r="AC14" s="532"/>
      <c r="AD14" s="532"/>
      <c r="AE14" s="532"/>
      <c r="AF14" s="532"/>
      <c r="AG14" s="532"/>
      <c r="AH14" s="532"/>
      <c r="AI14" s="532"/>
      <c r="AJ14" s="532"/>
      <c r="AK14" s="532"/>
      <c r="AL14" s="532"/>
      <c r="AM14" s="564"/>
      <c r="AN14" s="533"/>
      <c r="AO14" s="533"/>
      <c r="AP14" s="533"/>
      <c r="AQ14" s="565"/>
      <c r="AR14" s="534"/>
      <c r="AS14" s="534"/>
      <c r="AT14" s="534"/>
      <c r="AU14" s="534"/>
      <c r="AV14" s="534"/>
      <c r="AW14" s="533"/>
      <c r="AX14" s="533"/>
      <c r="AY14" s="533"/>
      <c r="AZ14" s="533"/>
      <c r="BA14" s="533"/>
      <c r="BB14" s="571"/>
      <c r="BC14" s="535"/>
      <c r="BD14" s="535"/>
      <c r="BE14" s="535"/>
      <c r="BF14" s="560"/>
      <c r="BG14" s="535"/>
      <c r="BH14" s="535"/>
      <c r="BI14" s="535"/>
      <c r="BJ14" s="535"/>
      <c r="BK14" s="579"/>
      <c r="BL14" s="749"/>
      <c r="BM14" s="763">
        <v>-2.2000000000000002</v>
      </c>
      <c r="BN14" s="763">
        <f>-7.9-BM14-BL14</f>
        <v>-5.7</v>
      </c>
      <c r="BO14" s="535">
        <f>-5.1-BN14-BM14</f>
        <v>2.8000000000000007</v>
      </c>
      <c r="BP14" s="579">
        <f t="shared" si="16"/>
        <v>-5.0999999999999996</v>
      </c>
      <c r="BQ14" s="749"/>
      <c r="BR14" s="763"/>
      <c r="BS14" s="763"/>
      <c r="BT14" s="535"/>
      <c r="BU14" s="579">
        <f t="shared" si="17"/>
        <v>0</v>
      </c>
      <c r="BV14" s="530"/>
      <c r="BW14" s="530"/>
      <c r="BX14" s="530"/>
      <c r="BY14" s="530"/>
      <c r="BZ14" s="530"/>
      <c r="CA14" s="530"/>
      <c r="CB14" s="530"/>
      <c r="CC14" s="530"/>
      <c r="CD14" s="530"/>
      <c r="CE14" s="530"/>
      <c r="CF14" s="530"/>
      <c r="CG14" s="530"/>
      <c r="CH14" s="530"/>
      <c r="CI14" s="530"/>
      <c r="CJ14" s="530"/>
      <c r="CK14" s="530"/>
      <c r="CL14" s="530"/>
      <c r="CM14" s="530"/>
      <c r="CN14" s="530"/>
      <c r="CO14" s="530"/>
      <c r="CP14" s="530"/>
      <c r="CQ14" s="530"/>
      <c r="CR14" s="530"/>
      <c r="CS14" s="530"/>
      <c r="CT14" s="530"/>
      <c r="CU14" s="530"/>
      <c r="CV14" s="530"/>
      <c r="CW14" s="530"/>
      <c r="CX14" s="530"/>
      <c r="CY14" s="530"/>
      <c r="CZ14" s="530"/>
      <c r="DA14" s="530"/>
      <c r="DB14" s="530"/>
      <c r="DC14" s="530"/>
      <c r="DD14" s="530"/>
      <c r="DE14" s="530"/>
      <c r="DF14" s="530"/>
      <c r="DG14" s="530"/>
      <c r="DH14" s="530"/>
      <c r="DI14" s="530"/>
      <c r="DJ14" s="530"/>
      <c r="DK14" s="530"/>
      <c r="DL14" s="530"/>
      <c r="DM14" s="530"/>
      <c r="DN14" s="530"/>
      <c r="DO14" s="530"/>
      <c r="DP14" s="530"/>
      <c r="DQ14" s="530"/>
      <c r="DR14" s="530"/>
      <c r="DS14" s="530"/>
      <c r="DT14" s="530"/>
      <c r="DU14" s="530"/>
      <c r="DV14" s="530"/>
      <c r="DW14" s="530"/>
      <c r="DX14" s="530"/>
      <c r="DY14" s="530"/>
      <c r="DZ14" s="530"/>
      <c r="EA14" s="530"/>
      <c r="EB14" s="530"/>
      <c r="EC14" s="530"/>
      <c r="ED14" s="530"/>
      <c r="EE14" s="530"/>
      <c r="EF14" s="530"/>
      <c r="EG14" s="530"/>
      <c r="EH14" s="530"/>
      <c r="EI14" s="530"/>
      <c r="EJ14" s="530"/>
      <c r="EK14" s="530"/>
      <c r="EL14" s="530"/>
      <c r="EM14" s="530"/>
      <c r="EN14" s="530"/>
      <c r="EO14" s="530"/>
      <c r="EP14" s="530"/>
      <c r="EQ14" s="530"/>
      <c r="ER14" s="530"/>
      <c r="ES14" s="530"/>
      <c r="ET14" s="530"/>
      <c r="EU14" s="530"/>
      <c r="EV14" s="530"/>
      <c r="EW14" s="530"/>
      <c r="EX14" s="530"/>
      <c r="EY14" s="530"/>
      <c r="EZ14" s="530"/>
      <c r="FA14" s="530"/>
      <c r="FB14" s="530"/>
      <c r="FC14" s="530"/>
      <c r="FD14" s="530"/>
      <c r="FE14" s="530"/>
      <c r="FF14" s="530"/>
      <c r="FG14" s="530"/>
      <c r="FH14" s="530"/>
      <c r="FI14" s="530"/>
      <c r="FJ14" s="530"/>
      <c r="FK14" s="530"/>
      <c r="FL14" s="530"/>
      <c r="FM14" s="530"/>
      <c r="FN14" s="530"/>
      <c r="FO14" s="530"/>
      <c r="FP14" s="530"/>
      <c r="FQ14" s="530"/>
      <c r="FR14" s="530"/>
      <c r="FS14" s="530"/>
      <c r="FT14" s="530"/>
      <c r="FU14" s="530"/>
      <c r="FV14" s="530"/>
      <c r="FW14" s="530"/>
      <c r="FX14" s="530"/>
      <c r="FY14" s="530"/>
      <c r="FZ14" s="530"/>
      <c r="GA14" s="530"/>
      <c r="GB14" s="530"/>
      <c r="GC14" s="530"/>
      <c r="GD14" s="530"/>
      <c r="GE14" s="530"/>
      <c r="GF14" s="530"/>
      <c r="GG14" s="530"/>
      <c r="GH14" s="530"/>
      <c r="GI14" s="530"/>
      <c r="GJ14" s="530"/>
      <c r="GK14" s="530"/>
      <c r="GL14" s="530"/>
      <c r="GM14" s="530"/>
      <c r="GN14" s="530"/>
      <c r="GO14" s="530"/>
      <c r="GP14" s="530"/>
      <c r="GQ14" s="530"/>
      <c r="GR14" s="530"/>
      <c r="GS14" s="530"/>
      <c r="GT14" s="530"/>
      <c r="GU14" s="530"/>
      <c r="GV14" s="530"/>
      <c r="GW14" s="530"/>
      <c r="GX14" s="530"/>
      <c r="GY14" s="530"/>
      <c r="GZ14" s="530"/>
      <c r="HA14" s="530"/>
      <c r="HB14" s="530"/>
      <c r="HC14" s="530"/>
      <c r="HD14" s="530"/>
      <c r="HE14" s="530"/>
      <c r="HF14" s="530"/>
      <c r="HG14" s="530"/>
      <c r="HH14" s="530"/>
      <c r="HI14" s="530"/>
      <c r="HJ14" s="530"/>
      <c r="HK14" s="530"/>
      <c r="HL14" s="530"/>
      <c r="HM14" s="530"/>
      <c r="HN14" s="530"/>
      <c r="HO14" s="530"/>
      <c r="HP14" s="530"/>
      <c r="HQ14" s="530"/>
      <c r="HR14" s="530"/>
      <c r="HS14" s="530"/>
      <c r="HT14" s="530"/>
      <c r="HU14" s="530"/>
      <c r="HV14" s="530"/>
      <c r="HW14" s="530"/>
      <c r="HX14" s="530"/>
      <c r="HY14" s="530"/>
      <c r="HZ14" s="530"/>
      <c r="IA14" s="530"/>
      <c r="IB14" s="530"/>
      <c r="IC14" s="530"/>
      <c r="ID14" s="530"/>
      <c r="IE14" s="530"/>
      <c r="IF14" s="530"/>
      <c r="IG14" s="530"/>
      <c r="IH14" s="530"/>
      <c r="II14" s="530"/>
      <c r="IJ14" s="530"/>
      <c r="IK14" s="530"/>
      <c r="IL14" s="530"/>
      <c r="IM14" s="530"/>
      <c r="IN14" s="530"/>
      <c r="IO14" s="530"/>
      <c r="IP14" s="530"/>
      <c r="IQ14" s="530"/>
      <c r="IR14" s="530"/>
      <c r="IS14" s="530"/>
      <c r="IT14" s="530"/>
      <c r="IU14" s="530"/>
      <c r="IV14" s="530"/>
      <c r="IW14" s="530"/>
      <c r="IX14" s="530"/>
      <c r="IY14" s="530"/>
      <c r="IZ14" s="530"/>
      <c r="JA14" s="530"/>
      <c r="JB14" s="530"/>
      <c r="JC14" s="530"/>
      <c r="JD14" s="530"/>
      <c r="JE14" s="530"/>
      <c r="JF14" s="530"/>
      <c r="JG14" s="530"/>
      <c r="JH14" s="530"/>
      <c r="JI14" s="530"/>
      <c r="JJ14" s="530"/>
      <c r="JK14" s="530"/>
      <c r="JL14" s="530"/>
      <c r="JM14" s="530"/>
      <c r="JN14" s="530"/>
      <c r="JO14" s="530"/>
      <c r="JP14" s="530"/>
      <c r="JQ14" s="530"/>
      <c r="JR14" s="530"/>
      <c r="JS14" s="530"/>
      <c r="JT14" s="530"/>
      <c r="JU14" s="530"/>
      <c r="JV14" s="530"/>
      <c r="JW14" s="530"/>
      <c r="JX14" s="530"/>
      <c r="JY14" s="530"/>
      <c r="JZ14" s="530"/>
      <c r="KA14" s="530"/>
      <c r="KB14" s="530"/>
      <c r="KC14" s="530"/>
      <c r="KD14" s="530"/>
      <c r="KE14" s="530"/>
      <c r="KF14" s="530"/>
      <c r="KG14" s="530"/>
      <c r="KH14" s="530"/>
      <c r="KI14" s="530"/>
      <c r="KJ14" s="530"/>
      <c r="KK14" s="530"/>
      <c r="KL14" s="530"/>
      <c r="KM14" s="530"/>
      <c r="KN14" s="530"/>
      <c r="KO14" s="530"/>
      <c r="KP14" s="530"/>
      <c r="KQ14" s="530"/>
      <c r="KR14" s="530"/>
      <c r="KS14" s="530"/>
      <c r="KT14" s="530"/>
      <c r="KU14" s="530"/>
      <c r="KV14" s="530"/>
      <c r="KW14" s="530"/>
      <c r="KX14" s="530"/>
      <c r="KY14" s="530"/>
      <c r="KZ14" s="530"/>
      <c r="LA14" s="530"/>
      <c r="LB14" s="530"/>
      <c r="LC14" s="530"/>
      <c r="LD14" s="530"/>
      <c r="LE14" s="530"/>
      <c r="LF14" s="530"/>
      <c r="LG14" s="530"/>
      <c r="LH14" s="530"/>
      <c r="LI14" s="530"/>
      <c r="LJ14" s="530"/>
      <c r="LK14" s="530"/>
      <c r="LL14" s="530"/>
      <c r="LM14" s="530"/>
      <c r="LN14" s="530"/>
      <c r="LO14" s="530"/>
      <c r="LP14" s="530"/>
      <c r="LQ14" s="530"/>
      <c r="LR14" s="530"/>
      <c r="LS14" s="530"/>
      <c r="LT14" s="530"/>
      <c r="LU14" s="530"/>
      <c r="LV14" s="530"/>
      <c r="LW14" s="530"/>
      <c r="LX14" s="530"/>
      <c r="LY14" s="530"/>
      <c r="LZ14" s="530"/>
      <c r="MA14" s="530"/>
      <c r="MB14" s="530"/>
      <c r="MC14" s="530"/>
      <c r="MD14" s="530"/>
      <c r="ME14" s="530"/>
      <c r="MF14" s="530"/>
      <c r="MG14" s="530"/>
      <c r="MH14" s="530"/>
      <c r="MI14" s="530"/>
      <c r="MJ14" s="530"/>
      <c r="MK14" s="530"/>
      <c r="ML14" s="530"/>
      <c r="MM14" s="530"/>
      <c r="MN14" s="530"/>
      <c r="MO14" s="530"/>
      <c r="MP14" s="530"/>
      <c r="MQ14" s="530"/>
      <c r="MR14" s="530"/>
      <c r="MS14" s="530"/>
      <c r="MT14" s="530"/>
      <c r="MU14" s="530"/>
      <c r="MV14" s="530"/>
      <c r="MW14" s="530"/>
      <c r="MX14" s="530"/>
      <c r="MY14" s="530"/>
      <c r="MZ14" s="530"/>
      <c r="NA14" s="530"/>
      <c r="NB14" s="530"/>
      <c r="NC14" s="530"/>
      <c r="ND14" s="530"/>
      <c r="NE14" s="530"/>
      <c r="NF14" s="530"/>
      <c r="NG14" s="530"/>
      <c r="NH14" s="530"/>
      <c r="NI14" s="530"/>
      <c r="NJ14" s="530"/>
      <c r="NK14" s="530"/>
      <c r="NL14" s="530"/>
      <c r="NM14" s="530"/>
      <c r="NN14" s="530"/>
      <c r="NO14" s="530"/>
      <c r="NP14" s="530"/>
      <c r="NQ14" s="530"/>
      <c r="NR14" s="530"/>
      <c r="NS14" s="530"/>
      <c r="NT14" s="530"/>
      <c r="NU14" s="530"/>
      <c r="NV14" s="530"/>
      <c r="NW14" s="530"/>
      <c r="NX14" s="530"/>
      <c r="NY14" s="530"/>
      <c r="NZ14" s="530"/>
      <c r="OA14" s="530"/>
      <c r="OB14" s="530"/>
      <c r="OC14" s="530"/>
      <c r="OD14" s="530"/>
      <c r="OE14" s="530"/>
      <c r="OF14" s="530"/>
      <c r="OG14" s="530"/>
      <c r="OH14" s="530"/>
      <c r="OI14" s="530"/>
      <c r="OJ14" s="530"/>
      <c r="OK14" s="530"/>
      <c r="OL14" s="530"/>
      <c r="OM14" s="530"/>
      <c r="ON14" s="530"/>
      <c r="OO14" s="530"/>
      <c r="OP14" s="530"/>
      <c r="OQ14" s="530"/>
      <c r="OR14" s="530"/>
      <c r="OS14" s="530"/>
      <c r="OT14" s="530"/>
      <c r="OU14" s="530"/>
      <c r="OV14" s="530"/>
      <c r="OW14" s="530"/>
      <c r="OX14" s="530"/>
      <c r="OY14" s="530"/>
      <c r="OZ14" s="530"/>
      <c r="PA14" s="530"/>
      <c r="PB14" s="530"/>
      <c r="PC14" s="530"/>
      <c r="PD14" s="530"/>
      <c r="PE14" s="530"/>
      <c r="PF14" s="530"/>
      <c r="PG14" s="530"/>
      <c r="PH14" s="530"/>
      <c r="PI14" s="530"/>
      <c r="PJ14" s="530"/>
      <c r="PK14" s="530"/>
      <c r="PL14" s="530"/>
      <c r="PM14" s="530"/>
      <c r="PN14" s="530"/>
      <c r="PO14" s="530"/>
      <c r="PP14" s="530"/>
      <c r="PQ14" s="530"/>
      <c r="PR14" s="530"/>
      <c r="PS14" s="530"/>
      <c r="PT14" s="530"/>
      <c r="PU14" s="530"/>
      <c r="PV14" s="530"/>
      <c r="PW14" s="530"/>
      <c r="PX14" s="530"/>
      <c r="PY14" s="530"/>
      <c r="PZ14" s="530"/>
      <c r="QA14" s="530"/>
      <c r="QB14" s="530"/>
      <c r="QC14" s="530"/>
      <c r="QD14" s="530"/>
      <c r="QE14" s="530"/>
      <c r="QF14" s="530"/>
      <c r="QG14" s="530"/>
      <c r="QH14" s="530"/>
      <c r="QI14" s="530"/>
      <c r="QJ14" s="530"/>
      <c r="QK14" s="530"/>
      <c r="QL14" s="530"/>
      <c r="QM14" s="530"/>
      <c r="QN14" s="530"/>
      <c r="QO14" s="530"/>
      <c r="QP14" s="530"/>
      <c r="QQ14" s="530"/>
      <c r="QR14" s="530"/>
      <c r="QS14" s="530"/>
      <c r="QT14" s="530"/>
      <c r="QU14" s="530"/>
      <c r="QV14" s="530"/>
      <c r="QW14" s="530"/>
      <c r="QX14" s="530"/>
      <c r="QY14" s="530"/>
      <c r="QZ14" s="530"/>
      <c r="RA14" s="530"/>
      <c r="RB14" s="530"/>
      <c r="RC14" s="530"/>
      <c r="RD14" s="530"/>
      <c r="RE14" s="530"/>
      <c r="RF14" s="530"/>
      <c r="RG14" s="530"/>
      <c r="RH14" s="530"/>
      <c r="RI14" s="530"/>
      <c r="RJ14" s="530"/>
      <c r="RK14" s="530"/>
      <c r="RL14" s="530"/>
      <c r="RM14" s="530"/>
      <c r="RN14" s="530"/>
      <c r="RO14" s="530"/>
      <c r="RP14" s="530"/>
      <c r="RQ14" s="530"/>
      <c r="RR14" s="530"/>
      <c r="RS14" s="530"/>
      <c r="RT14" s="530"/>
      <c r="RU14" s="530"/>
      <c r="RV14" s="530"/>
      <c r="RW14" s="530"/>
      <c r="RX14" s="530"/>
    </row>
    <row r="15" spans="1:492" s="531" customFormat="1" ht="20.25" customHeight="1">
      <c r="A15" s="550" t="s">
        <v>124</v>
      </c>
      <c r="B15" s="575" t="s">
        <v>125</v>
      </c>
      <c r="C15" s="536"/>
      <c r="D15" s="536"/>
      <c r="E15" s="536"/>
      <c r="F15" s="536"/>
      <c r="G15" s="536"/>
      <c r="H15" s="536"/>
      <c r="I15" s="536"/>
      <c r="J15" s="536"/>
      <c r="K15" s="536"/>
      <c r="L15" s="536"/>
      <c r="M15" s="536"/>
      <c r="N15" s="536"/>
      <c r="O15" s="536"/>
      <c r="P15" s="536"/>
      <c r="Q15" s="536"/>
      <c r="R15" s="536"/>
      <c r="S15" s="536"/>
      <c r="T15" s="536"/>
      <c r="U15" s="536"/>
      <c r="V15" s="536"/>
      <c r="W15" s="536"/>
      <c r="X15" s="536"/>
      <c r="Y15" s="536"/>
      <c r="Z15" s="536"/>
      <c r="AA15" s="536"/>
      <c r="AB15" s="536"/>
      <c r="AC15" s="536"/>
      <c r="AD15" s="536"/>
      <c r="AE15" s="536"/>
      <c r="AF15" s="536"/>
      <c r="AG15" s="536"/>
      <c r="AH15" s="536"/>
      <c r="AI15" s="536"/>
      <c r="AJ15" s="536"/>
      <c r="AK15" s="536"/>
      <c r="AL15" s="536"/>
      <c r="AM15" s="564"/>
      <c r="AN15" s="533"/>
      <c r="AO15" s="533"/>
      <c r="AP15" s="533"/>
      <c r="AQ15" s="565"/>
      <c r="AR15" s="534"/>
      <c r="AS15" s="534"/>
      <c r="AT15" s="534"/>
      <c r="AU15" s="534"/>
      <c r="AV15" s="534"/>
      <c r="AW15" s="533"/>
      <c r="AX15" s="533"/>
      <c r="AY15" s="533"/>
      <c r="AZ15" s="533"/>
      <c r="BA15" s="533"/>
      <c r="BB15" s="571">
        <v>0</v>
      </c>
      <c r="BC15" s="535">
        <v>-41.5</v>
      </c>
      <c r="BD15" s="535">
        <v>-3.3</v>
      </c>
      <c r="BE15" s="535">
        <v>-1.1000000000000001</v>
      </c>
      <c r="BF15" s="570">
        <f t="shared" ref="BF15" si="18">SUM(BB15:BE15)</f>
        <v>-45.9</v>
      </c>
      <c r="BG15" s="533"/>
      <c r="BH15" s="533"/>
      <c r="BI15" s="541">
        <v>0</v>
      </c>
      <c r="BJ15" s="541">
        <v>0</v>
      </c>
      <c r="BK15" s="579">
        <f t="shared" ref="BK15" si="19">SUM(BG15:BJ15)</f>
        <v>0</v>
      </c>
      <c r="BL15" s="749">
        <v>0</v>
      </c>
      <c r="BM15" s="764">
        <v>0</v>
      </c>
      <c r="BN15" s="541">
        <v>0</v>
      </c>
      <c r="BO15" s="541"/>
      <c r="BP15" s="579">
        <f t="shared" si="16"/>
        <v>0</v>
      </c>
      <c r="BQ15" s="749"/>
      <c r="BR15" s="764"/>
      <c r="BS15" s="541"/>
      <c r="BT15" s="541"/>
      <c r="BU15" s="579">
        <f t="shared" si="17"/>
        <v>0</v>
      </c>
      <c r="BV15" s="530"/>
      <c r="BW15" s="530"/>
      <c r="BX15" s="530"/>
      <c r="BY15" s="530"/>
      <c r="BZ15" s="530"/>
      <c r="CA15" s="530"/>
      <c r="CB15" s="530"/>
      <c r="CC15" s="530"/>
      <c r="CD15" s="530"/>
      <c r="CE15" s="530"/>
      <c r="CF15" s="530"/>
      <c r="CG15" s="530"/>
      <c r="CH15" s="530"/>
      <c r="CI15" s="530"/>
      <c r="CJ15" s="530"/>
      <c r="CK15" s="530"/>
      <c r="CL15" s="530"/>
      <c r="CM15" s="530"/>
      <c r="CN15" s="530"/>
      <c r="CO15" s="530"/>
      <c r="CP15" s="530"/>
      <c r="CQ15" s="530"/>
      <c r="CR15" s="530"/>
      <c r="CS15" s="530"/>
      <c r="CT15" s="530"/>
      <c r="CU15" s="530"/>
      <c r="CV15" s="530"/>
      <c r="CW15" s="530"/>
      <c r="CX15" s="530"/>
      <c r="CY15" s="530"/>
      <c r="CZ15" s="530"/>
      <c r="DA15" s="530"/>
      <c r="DB15" s="530"/>
      <c r="DC15" s="530"/>
      <c r="DD15" s="530"/>
      <c r="DE15" s="530"/>
      <c r="DF15" s="530"/>
      <c r="DG15" s="530"/>
      <c r="DH15" s="530"/>
      <c r="DI15" s="530"/>
      <c r="DJ15" s="530"/>
      <c r="DK15" s="530"/>
      <c r="DL15" s="530"/>
      <c r="DM15" s="530"/>
      <c r="DN15" s="530"/>
      <c r="DO15" s="530"/>
      <c r="DP15" s="530"/>
      <c r="DQ15" s="530"/>
      <c r="DR15" s="530"/>
      <c r="DS15" s="530"/>
      <c r="DT15" s="530"/>
      <c r="DU15" s="530"/>
      <c r="DV15" s="530"/>
      <c r="DW15" s="530"/>
      <c r="DX15" s="530"/>
      <c r="DY15" s="530"/>
      <c r="DZ15" s="530"/>
      <c r="EA15" s="530"/>
      <c r="EB15" s="530"/>
      <c r="EC15" s="530"/>
      <c r="ED15" s="530"/>
      <c r="EE15" s="530"/>
      <c r="EF15" s="530"/>
      <c r="EG15" s="530"/>
      <c r="EH15" s="530"/>
      <c r="EI15" s="530"/>
      <c r="EJ15" s="530"/>
      <c r="EK15" s="530"/>
      <c r="EL15" s="530"/>
      <c r="EM15" s="530"/>
      <c r="EN15" s="530"/>
      <c r="EO15" s="530"/>
      <c r="EP15" s="530"/>
      <c r="EQ15" s="530"/>
      <c r="ER15" s="530"/>
      <c r="ES15" s="530"/>
      <c r="ET15" s="530"/>
      <c r="EU15" s="530"/>
      <c r="EV15" s="530"/>
      <c r="EW15" s="530"/>
      <c r="EX15" s="530"/>
      <c r="EY15" s="530"/>
      <c r="EZ15" s="530"/>
      <c r="FA15" s="530"/>
      <c r="FB15" s="530"/>
      <c r="FC15" s="530"/>
      <c r="FD15" s="530"/>
      <c r="FE15" s="530"/>
      <c r="FF15" s="530"/>
      <c r="FG15" s="530"/>
      <c r="FH15" s="530"/>
      <c r="FI15" s="530"/>
      <c r="FJ15" s="530"/>
      <c r="FK15" s="530"/>
      <c r="FL15" s="530"/>
      <c r="FM15" s="530"/>
      <c r="FN15" s="530"/>
      <c r="FO15" s="530"/>
      <c r="FP15" s="530"/>
      <c r="FQ15" s="530"/>
      <c r="FR15" s="530"/>
      <c r="FS15" s="530"/>
      <c r="FT15" s="530"/>
      <c r="FU15" s="530"/>
      <c r="FV15" s="530"/>
      <c r="FW15" s="530"/>
      <c r="FX15" s="530"/>
      <c r="FY15" s="530"/>
      <c r="FZ15" s="530"/>
      <c r="GA15" s="530"/>
      <c r="GB15" s="530"/>
      <c r="GC15" s="530"/>
      <c r="GD15" s="530"/>
      <c r="GE15" s="530"/>
      <c r="GF15" s="530"/>
      <c r="GG15" s="530"/>
      <c r="GH15" s="530"/>
      <c r="GI15" s="530"/>
      <c r="GJ15" s="530"/>
      <c r="GK15" s="530"/>
      <c r="GL15" s="530"/>
      <c r="GM15" s="530"/>
      <c r="GN15" s="530"/>
      <c r="GO15" s="530"/>
      <c r="GP15" s="530"/>
      <c r="GQ15" s="530"/>
      <c r="GR15" s="530"/>
      <c r="GS15" s="530"/>
      <c r="GT15" s="530"/>
      <c r="GU15" s="530"/>
      <c r="GV15" s="530"/>
      <c r="GW15" s="530"/>
      <c r="GX15" s="530"/>
      <c r="GY15" s="530"/>
      <c r="GZ15" s="530"/>
      <c r="HA15" s="530"/>
      <c r="HB15" s="530"/>
      <c r="HC15" s="530"/>
      <c r="HD15" s="530"/>
      <c r="HE15" s="530"/>
      <c r="HF15" s="530"/>
      <c r="HG15" s="530"/>
      <c r="HH15" s="530"/>
      <c r="HI15" s="530"/>
      <c r="HJ15" s="530"/>
      <c r="HK15" s="530"/>
      <c r="HL15" s="530"/>
      <c r="HM15" s="530"/>
      <c r="HN15" s="530"/>
      <c r="HO15" s="530"/>
      <c r="HP15" s="530"/>
      <c r="HQ15" s="530"/>
      <c r="HR15" s="530"/>
      <c r="HS15" s="530"/>
      <c r="HT15" s="530"/>
      <c r="HU15" s="530"/>
      <c r="HV15" s="530"/>
      <c r="HW15" s="530"/>
      <c r="HX15" s="530"/>
      <c r="HY15" s="530"/>
      <c r="HZ15" s="530"/>
      <c r="IA15" s="530"/>
      <c r="IB15" s="530"/>
      <c r="IC15" s="530"/>
      <c r="ID15" s="530"/>
      <c r="IE15" s="530"/>
      <c r="IF15" s="530"/>
      <c r="IG15" s="530"/>
      <c r="IH15" s="530"/>
      <c r="II15" s="530"/>
      <c r="IJ15" s="530"/>
      <c r="IK15" s="530"/>
      <c r="IL15" s="530"/>
      <c r="IM15" s="530"/>
      <c r="IN15" s="530"/>
      <c r="IO15" s="530"/>
      <c r="IP15" s="530"/>
      <c r="IQ15" s="530"/>
      <c r="IR15" s="530"/>
      <c r="IS15" s="530"/>
      <c r="IT15" s="530"/>
      <c r="IU15" s="530"/>
      <c r="IV15" s="530"/>
      <c r="IW15" s="530"/>
      <c r="IX15" s="530"/>
      <c r="IY15" s="530"/>
      <c r="IZ15" s="530"/>
      <c r="JA15" s="530"/>
      <c r="JB15" s="530"/>
      <c r="JC15" s="530"/>
      <c r="JD15" s="530"/>
      <c r="JE15" s="530"/>
      <c r="JF15" s="530"/>
      <c r="JG15" s="530"/>
      <c r="JH15" s="530"/>
      <c r="JI15" s="530"/>
      <c r="JJ15" s="530"/>
      <c r="JK15" s="530"/>
      <c r="JL15" s="530"/>
      <c r="JM15" s="530"/>
      <c r="JN15" s="530"/>
      <c r="JO15" s="530"/>
      <c r="JP15" s="530"/>
      <c r="JQ15" s="530"/>
      <c r="JR15" s="530"/>
      <c r="JS15" s="530"/>
      <c r="JT15" s="530"/>
      <c r="JU15" s="530"/>
      <c r="JV15" s="530"/>
      <c r="JW15" s="530"/>
      <c r="JX15" s="530"/>
      <c r="JY15" s="530"/>
      <c r="JZ15" s="530"/>
      <c r="KA15" s="530"/>
      <c r="KB15" s="530"/>
      <c r="KC15" s="530"/>
      <c r="KD15" s="530"/>
      <c r="KE15" s="530"/>
      <c r="KF15" s="530"/>
      <c r="KG15" s="530"/>
      <c r="KH15" s="530"/>
      <c r="KI15" s="530"/>
      <c r="KJ15" s="530"/>
      <c r="KK15" s="530"/>
      <c r="KL15" s="530"/>
      <c r="KM15" s="530"/>
      <c r="KN15" s="530"/>
      <c r="KO15" s="530"/>
      <c r="KP15" s="530"/>
      <c r="KQ15" s="530"/>
      <c r="KR15" s="530"/>
      <c r="KS15" s="530"/>
      <c r="KT15" s="530"/>
      <c r="KU15" s="530"/>
      <c r="KV15" s="530"/>
      <c r="KW15" s="530"/>
      <c r="KX15" s="530"/>
      <c r="KY15" s="530"/>
      <c r="KZ15" s="530"/>
      <c r="LA15" s="530"/>
      <c r="LB15" s="530"/>
      <c r="LC15" s="530"/>
      <c r="LD15" s="530"/>
      <c r="LE15" s="530"/>
      <c r="LF15" s="530"/>
      <c r="LG15" s="530"/>
      <c r="LH15" s="530"/>
      <c r="LI15" s="530"/>
      <c r="LJ15" s="530"/>
      <c r="LK15" s="530"/>
      <c r="LL15" s="530"/>
      <c r="LM15" s="530"/>
      <c r="LN15" s="530"/>
      <c r="LO15" s="530"/>
      <c r="LP15" s="530"/>
      <c r="LQ15" s="530"/>
      <c r="LR15" s="530"/>
      <c r="LS15" s="530"/>
      <c r="LT15" s="530"/>
      <c r="LU15" s="530"/>
      <c r="LV15" s="530"/>
      <c r="LW15" s="530"/>
      <c r="LX15" s="530"/>
      <c r="LY15" s="530"/>
      <c r="LZ15" s="530"/>
      <c r="MA15" s="530"/>
      <c r="MB15" s="530"/>
      <c r="MC15" s="530"/>
      <c r="MD15" s="530"/>
      <c r="ME15" s="530"/>
      <c r="MF15" s="530"/>
      <c r="MG15" s="530"/>
      <c r="MH15" s="530"/>
      <c r="MI15" s="530"/>
      <c r="MJ15" s="530"/>
      <c r="MK15" s="530"/>
      <c r="ML15" s="530"/>
      <c r="MM15" s="530"/>
      <c r="MN15" s="530"/>
      <c r="MO15" s="530"/>
      <c r="MP15" s="530"/>
      <c r="MQ15" s="530"/>
      <c r="MR15" s="530"/>
      <c r="MS15" s="530"/>
      <c r="MT15" s="530"/>
      <c r="MU15" s="530"/>
      <c r="MV15" s="530"/>
      <c r="MW15" s="530"/>
      <c r="MX15" s="530"/>
      <c r="MY15" s="530"/>
      <c r="MZ15" s="530"/>
      <c r="NA15" s="530"/>
      <c r="NB15" s="530"/>
      <c r="NC15" s="530"/>
      <c r="ND15" s="530"/>
      <c r="NE15" s="530"/>
      <c r="NF15" s="530"/>
      <c r="NG15" s="530"/>
      <c r="NH15" s="530"/>
      <c r="NI15" s="530"/>
      <c r="NJ15" s="530"/>
      <c r="NK15" s="530"/>
      <c r="NL15" s="530"/>
      <c r="NM15" s="530"/>
      <c r="NN15" s="530"/>
      <c r="NO15" s="530"/>
      <c r="NP15" s="530"/>
      <c r="NQ15" s="530"/>
      <c r="NR15" s="530"/>
      <c r="NS15" s="530"/>
      <c r="NT15" s="530"/>
      <c r="NU15" s="530"/>
      <c r="NV15" s="530"/>
      <c r="NW15" s="530"/>
      <c r="NX15" s="530"/>
      <c r="NY15" s="530"/>
      <c r="NZ15" s="530"/>
      <c r="OA15" s="530"/>
      <c r="OB15" s="530"/>
      <c r="OC15" s="530"/>
      <c r="OD15" s="530"/>
      <c r="OE15" s="530"/>
      <c r="OF15" s="530"/>
      <c r="OG15" s="530"/>
      <c r="OH15" s="530"/>
      <c r="OI15" s="530"/>
      <c r="OJ15" s="530"/>
      <c r="OK15" s="530"/>
      <c r="OL15" s="530"/>
      <c r="OM15" s="530"/>
      <c r="ON15" s="530"/>
      <c r="OO15" s="530"/>
      <c r="OP15" s="530"/>
      <c r="OQ15" s="530"/>
      <c r="OR15" s="530"/>
      <c r="OS15" s="530"/>
      <c r="OT15" s="530"/>
      <c r="OU15" s="530"/>
      <c r="OV15" s="530"/>
      <c r="OW15" s="530"/>
      <c r="OX15" s="530"/>
      <c r="OY15" s="530"/>
      <c r="OZ15" s="530"/>
      <c r="PA15" s="530"/>
      <c r="PB15" s="530"/>
      <c r="PC15" s="530"/>
      <c r="PD15" s="530"/>
      <c r="PE15" s="530"/>
      <c r="PF15" s="530"/>
      <c r="PG15" s="530"/>
      <c r="PH15" s="530"/>
      <c r="PI15" s="530"/>
      <c r="PJ15" s="530"/>
      <c r="PK15" s="530"/>
      <c r="PL15" s="530"/>
      <c r="PM15" s="530"/>
      <c r="PN15" s="530"/>
      <c r="PO15" s="530"/>
      <c r="PP15" s="530"/>
      <c r="PQ15" s="530"/>
      <c r="PR15" s="530"/>
      <c r="PS15" s="530"/>
      <c r="PT15" s="530"/>
      <c r="PU15" s="530"/>
      <c r="PV15" s="530"/>
      <c r="PW15" s="530"/>
      <c r="PX15" s="530"/>
      <c r="PY15" s="530"/>
      <c r="PZ15" s="530"/>
      <c r="QA15" s="530"/>
      <c r="QB15" s="530"/>
      <c r="QC15" s="530"/>
      <c r="QD15" s="530"/>
      <c r="QE15" s="530"/>
      <c r="QF15" s="530"/>
      <c r="QG15" s="530"/>
      <c r="QH15" s="530"/>
      <c r="QI15" s="530"/>
      <c r="QJ15" s="530"/>
      <c r="QK15" s="530"/>
      <c r="QL15" s="530"/>
      <c r="QM15" s="530"/>
      <c r="QN15" s="530"/>
      <c r="QO15" s="530"/>
      <c r="QP15" s="530"/>
      <c r="QQ15" s="530"/>
      <c r="QR15" s="530"/>
      <c r="QS15" s="530"/>
      <c r="QT15" s="530"/>
      <c r="QU15" s="530"/>
      <c r="QV15" s="530"/>
      <c r="QW15" s="530"/>
      <c r="QX15" s="530"/>
      <c r="QY15" s="530"/>
      <c r="QZ15" s="530"/>
      <c r="RA15" s="530"/>
      <c r="RB15" s="530"/>
      <c r="RC15" s="530"/>
      <c r="RD15" s="530"/>
      <c r="RE15" s="530"/>
      <c r="RF15" s="530"/>
      <c r="RG15" s="530"/>
      <c r="RH15" s="530"/>
      <c r="RI15" s="530"/>
      <c r="RJ15" s="530"/>
      <c r="RK15" s="530"/>
      <c r="RL15" s="530"/>
      <c r="RM15" s="530"/>
      <c r="RN15" s="530"/>
      <c r="RO15" s="530"/>
      <c r="RP15" s="530"/>
      <c r="RQ15" s="530"/>
      <c r="RR15" s="530"/>
      <c r="RS15" s="530"/>
      <c r="RT15" s="530"/>
      <c r="RU15" s="530"/>
      <c r="RV15" s="530"/>
      <c r="RW15" s="530"/>
      <c r="RX15" s="530"/>
    </row>
    <row r="16" spans="1:492" s="531" customFormat="1" ht="14.15">
      <c r="A16" s="550" t="s">
        <v>126</v>
      </c>
      <c r="B16" s="575" t="s">
        <v>127</v>
      </c>
      <c r="C16" s="536"/>
      <c r="D16" s="536"/>
      <c r="E16" s="536"/>
      <c r="F16" s="536"/>
      <c r="G16" s="536"/>
      <c r="H16" s="536"/>
      <c r="I16" s="536"/>
      <c r="J16" s="536"/>
      <c r="K16" s="536"/>
      <c r="L16" s="536"/>
      <c r="M16" s="536"/>
      <c r="N16" s="536"/>
      <c r="O16" s="536"/>
      <c r="P16" s="536"/>
      <c r="Q16" s="536"/>
      <c r="R16" s="536"/>
      <c r="S16" s="536"/>
      <c r="T16" s="536"/>
      <c r="U16" s="536"/>
      <c r="V16" s="536"/>
      <c r="W16" s="536"/>
      <c r="X16" s="536"/>
      <c r="Y16" s="536"/>
      <c r="Z16" s="536"/>
      <c r="AA16" s="536"/>
      <c r="AB16" s="536"/>
      <c r="AC16" s="536"/>
      <c r="AD16" s="536"/>
      <c r="AE16" s="536"/>
      <c r="AF16" s="536"/>
      <c r="AG16" s="536"/>
      <c r="AH16" s="536"/>
      <c r="AI16" s="536"/>
      <c r="AJ16" s="536"/>
      <c r="AK16" s="536"/>
      <c r="AL16" s="536"/>
      <c r="AM16" s="564"/>
      <c r="AN16" s="533"/>
      <c r="AO16" s="533"/>
      <c r="AP16" s="533"/>
      <c r="AQ16" s="565"/>
      <c r="AR16" s="534"/>
      <c r="AS16" s="534"/>
      <c r="AT16" s="534"/>
      <c r="AU16" s="534"/>
      <c r="AV16" s="534"/>
      <c r="AW16" s="533"/>
      <c r="AX16" s="533"/>
      <c r="AY16" s="533"/>
      <c r="AZ16" s="533"/>
      <c r="BA16" s="533"/>
      <c r="BB16" s="571"/>
      <c r="BC16" s="535"/>
      <c r="BD16" s="535"/>
      <c r="BE16" s="535"/>
      <c r="BF16" s="570"/>
      <c r="BG16" s="533"/>
      <c r="BH16" s="533"/>
      <c r="BI16" s="541">
        <v>3690.8</v>
      </c>
      <c r="BJ16" s="541">
        <f>3680.6-SUM(BG16:BI16)</f>
        <v>-10.200000000000273</v>
      </c>
      <c r="BK16" s="579">
        <f t="shared" si="15"/>
        <v>3680.6</v>
      </c>
      <c r="BL16" s="749">
        <v>0</v>
      </c>
      <c r="BM16" s="764">
        <v>0</v>
      </c>
      <c r="BN16" s="541">
        <v>113.4</v>
      </c>
      <c r="BO16" s="541">
        <v>39.799999999999997</v>
      </c>
      <c r="BP16" s="579">
        <f t="shared" si="16"/>
        <v>153.19999999999999</v>
      </c>
      <c r="BQ16" s="749"/>
      <c r="BR16" s="764"/>
      <c r="BS16" s="541"/>
      <c r="BT16" s="541"/>
      <c r="BU16" s="579">
        <f t="shared" si="17"/>
        <v>0</v>
      </c>
    </row>
    <row r="17" spans="1:492" s="531" customFormat="1" ht="20.149999999999999" customHeight="1" thickBot="1">
      <c r="A17" s="550" t="s">
        <v>89</v>
      </c>
      <c r="B17" s="575" t="s">
        <v>128</v>
      </c>
      <c r="C17" s="536"/>
      <c r="D17" s="536"/>
      <c r="E17" s="536"/>
      <c r="F17" s="536"/>
      <c r="G17" s="536"/>
      <c r="H17" s="536"/>
      <c r="I17" s="536"/>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64"/>
      <c r="AN17" s="533"/>
      <c r="AO17" s="533"/>
      <c r="AP17" s="533"/>
      <c r="AQ17" s="565"/>
      <c r="AR17" s="533"/>
      <c r="AS17" s="533"/>
      <c r="AT17" s="533"/>
      <c r="AU17" s="533"/>
      <c r="AV17" s="534"/>
      <c r="AW17" s="533"/>
      <c r="AX17" s="533"/>
      <c r="AY17" s="533"/>
      <c r="AZ17" s="533"/>
      <c r="BA17" s="533"/>
      <c r="BB17" s="571"/>
      <c r="BC17" s="535"/>
      <c r="BD17" s="535"/>
      <c r="BE17" s="535"/>
      <c r="BF17" s="570"/>
      <c r="BG17" s="533"/>
      <c r="BH17" s="533"/>
      <c r="BI17" s="541"/>
      <c r="BJ17" s="541"/>
      <c r="BK17" s="579"/>
      <c r="BL17" s="541">
        <v>-34.1</v>
      </c>
      <c r="BM17" s="763">
        <v>0</v>
      </c>
      <c r="BN17" s="541">
        <v>0</v>
      </c>
      <c r="BO17" s="541"/>
      <c r="BP17" s="579">
        <f t="shared" si="16"/>
        <v>-34.1</v>
      </c>
      <c r="BQ17" s="541"/>
      <c r="BR17" s="763"/>
      <c r="BS17" s="541"/>
      <c r="BT17" s="541"/>
      <c r="BU17" s="579">
        <f t="shared" si="17"/>
        <v>0</v>
      </c>
    </row>
    <row r="18" spans="1:492" s="65" customFormat="1" ht="20.25" customHeight="1" thickBot="1">
      <c r="A18" s="549" t="s">
        <v>737</v>
      </c>
      <c r="B18" s="574" t="s">
        <v>737</v>
      </c>
      <c r="C18" s="427"/>
      <c r="D18" s="427"/>
      <c r="E18" s="427"/>
      <c r="F18" s="427"/>
      <c r="G18" s="427"/>
      <c r="H18" s="427"/>
      <c r="I18" s="427"/>
      <c r="J18" s="427"/>
      <c r="K18" s="427"/>
      <c r="L18" s="427"/>
      <c r="M18" s="427"/>
      <c r="N18" s="427"/>
      <c r="O18" s="427"/>
      <c r="P18" s="427"/>
      <c r="Q18" s="427"/>
      <c r="R18" s="427"/>
      <c r="S18" s="427"/>
      <c r="T18" s="427"/>
      <c r="U18" s="427"/>
      <c r="V18" s="427"/>
      <c r="W18" s="427"/>
      <c r="X18" s="427"/>
      <c r="Y18" s="427"/>
      <c r="Z18" s="427"/>
      <c r="AA18" s="427"/>
      <c r="AB18" s="427"/>
      <c r="AC18" s="427"/>
      <c r="AD18" s="427"/>
      <c r="AE18" s="427"/>
      <c r="AF18" s="427"/>
      <c r="AG18" s="427"/>
      <c r="AH18" s="427"/>
      <c r="AI18" s="427"/>
      <c r="AJ18" s="427"/>
      <c r="AK18" s="427"/>
      <c r="AL18" s="427"/>
      <c r="AM18" s="562">
        <f>SUM(AM19:AM20)</f>
        <v>890</v>
      </c>
      <c r="AN18" s="428">
        <f t="shared" ref="AN18:AQ18" si="20">SUM(AN19:AN20)</f>
        <v>946.40000000000009</v>
      </c>
      <c r="AO18" s="428">
        <f t="shared" si="20"/>
        <v>920</v>
      </c>
      <c r="AP18" s="428">
        <f t="shared" si="20"/>
        <v>941.3</v>
      </c>
      <c r="AQ18" s="563">
        <f t="shared" si="20"/>
        <v>3697.7</v>
      </c>
      <c r="AR18" s="428"/>
      <c r="AS18" s="428"/>
      <c r="AT18" s="428"/>
      <c r="AU18" s="428"/>
      <c r="AV18" s="429"/>
      <c r="AW18" s="428">
        <f t="shared" ref="AW18:BE18" si="21">SUM(AW19:AW20)</f>
        <v>1038.3</v>
      </c>
      <c r="AX18" s="428">
        <f t="shared" si="21"/>
        <v>1076.0999999999999</v>
      </c>
      <c r="AY18" s="428">
        <f t="shared" si="21"/>
        <v>1020.4999999999999</v>
      </c>
      <c r="AZ18" s="428">
        <f t="shared" si="21"/>
        <v>1061.8000000000004</v>
      </c>
      <c r="BA18" s="554">
        <f t="shared" si="21"/>
        <v>4196.7</v>
      </c>
      <c r="BB18" s="562">
        <f t="shared" si="21"/>
        <v>1026.7</v>
      </c>
      <c r="BC18" s="428">
        <f t="shared" si="21"/>
        <v>960</v>
      </c>
      <c r="BD18" s="428">
        <f t="shared" si="21"/>
        <v>1078.9000000000001</v>
      </c>
      <c r="BE18" s="428">
        <f t="shared" si="21"/>
        <v>1126.3</v>
      </c>
      <c r="BF18" s="563">
        <f>SUM(BF19:BF20)</f>
        <v>4191.9000000000005</v>
      </c>
      <c r="BG18" s="428">
        <f>SUM(BG19:BG20)</f>
        <v>1082.7</v>
      </c>
      <c r="BH18" s="428">
        <f t="shared" ref="BH18:BJ18" si="22">SUM(BH19:BH20)</f>
        <v>1140.9000000000001</v>
      </c>
      <c r="BI18" s="428">
        <f t="shared" si="22"/>
        <v>4594.9999999999991</v>
      </c>
      <c r="BJ18" s="428">
        <f t="shared" si="22"/>
        <v>881.00000000000011</v>
      </c>
      <c r="BK18" s="563">
        <f>SUM(BK19:BK20)</f>
        <v>7699.6</v>
      </c>
      <c r="BL18" s="428">
        <f>SUM(BL19:BL21)</f>
        <v>766.6</v>
      </c>
      <c r="BM18" s="761">
        <f>SUM(BM19:BM22)</f>
        <v>893.3</v>
      </c>
      <c r="BN18" s="428">
        <f>SUM(BN19:BN22)</f>
        <v>952.99999999999966</v>
      </c>
      <c r="BO18" s="428">
        <f>SUM(BO19:BO22)</f>
        <v>858.30000000000007</v>
      </c>
      <c r="BP18" s="563">
        <f>SUM(BP19:BP22)</f>
        <v>3471.2000000000003</v>
      </c>
      <c r="BQ18" s="428">
        <f>SUM(BQ19:BQ22)</f>
        <v>761.2</v>
      </c>
      <c r="BR18" s="428">
        <f t="shared" ref="BR18:BT18" si="23">SUM(BR19:BR22)</f>
        <v>0</v>
      </c>
      <c r="BS18" s="428">
        <f t="shared" si="23"/>
        <v>0</v>
      </c>
      <c r="BT18" s="428">
        <f t="shared" si="23"/>
        <v>0</v>
      </c>
      <c r="BU18" s="563">
        <f>SUM(BU19:BU22)</f>
        <v>761.2</v>
      </c>
      <c r="BV18" s="11"/>
      <c r="BW18" s="11"/>
      <c r="BX18" s="11"/>
      <c r="BY18" s="11"/>
      <c r="BZ18" s="11"/>
      <c r="CA18" s="11"/>
      <c r="CB18" s="11"/>
      <c r="CC18" s="11"/>
      <c r="CD18" s="11"/>
      <c r="CE18" s="11"/>
      <c r="CF18" s="11"/>
      <c r="CG18" s="11"/>
      <c r="CH18" s="11"/>
      <c r="CI18" s="11"/>
      <c r="CJ18" s="11"/>
      <c r="CK18" s="11"/>
      <c r="CL18" s="11"/>
      <c r="CM18" s="11"/>
      <c r="CN18" s="11"/>
      <c r="CO18" s="11"/>
      <c r="CP18" s="11"/>
      <c r="CQ18" s="11"/>
      <c r="CR18" s="11"/>
      <c r="CS18" s="11"/>
      <c r="CT18" s="11"/>
      <c r="CU18" s="11"/>
      <c r="CV18" s="11"/>
      <c r="CW18" s="11"/>
      <c r="CX18" s="11"/>
      <c r="CY18" s="11"/>
      <c r="CZ18" s="11"/>
      <c r="DA18" s="11"/>
      <c r="DB18" s="11"/>
      <c r="DC18" s="11"/>
      <c r="DD18" s="11"/>
      <c r="DE18" s="11"/>
      <c r="DF18" s="11"/>
      <c r="DG18" s="11"/>
      <c r="DH18" s="11"/>
      <c r="DI18" s="11"/>
      <c r="DJ18" s="11"/>
      <c r="DK18" s="11"/>
      <c r="DL18" s="11"/>
      <c r="DM18" s="11"/>
      <c r="DN18" s="11"/>
      <c r="DO18" s="11"/>
      <c r="DP18" s="11"/>
      <c r="DQ18" s="11"/>
      <c r="DR18" s="11"/>
      <c r="DS18" s="11"/>
      <c r="DT18" s="11"/>
      <c r="DU18" s="11"/>
      <c r="DV18" s="11"/>
      <c r="DW18" s="11"/>
      <c r="DX18" s="11"/>
      <c r="DY18" s="11"/>
      <c r="DZ18" s="11"/>
      <c r="EA18" s="11"/>
      <c r="EB18" s="11"/>
      <c r="EC18" s="11"/>
      <c r="ED18" s="11"/>
      <c r="EE18" s="11"/>
      <c r="EF18" s="11"/>
      <c r="EG18" s="11"/>
      <c r="EH18" s="11"/>
      <c r="EI18" s="11"/>
      <c r="EJ18" s="11"/>
      <c r="EK18" s="11"/>
      <c r="EL18" s="11"/>
      <c r="EM18" s="11"/>
      <c r="EN18" s="11"/>
      <c r="EO18" s="11"/>
      <c r="EP18" s="11"/>
      <c r="EQ18" s="11"/>
      <c r="ER18" s="11"/>
      <c r="ES18" s="11"/>
      <c r="ET18" s="11"/>
      <c r="EU18" s="11"/>
      <c r="EV18" s="11"/>
      <c r="EW18" s="11"/>
      <c r="EX18" s="11"/>
      <c r="EY18" s="11"/>
      <c r="EZ18" s="11"/>
      <c r="FA18" s="11"/>
      <c r="FB18" s="11"/>
      <c r="FC18" s="11"/>
      <c r="FD18" s="11"/>
      <c r="FE18" s="11"/>
      <c r="FF18" s="11"/>
      <c r="FG18" s="11"/>
      <c r="FH18" s="11"/>
      <c r="FI18" s="11"/>
      <c r="FJ18" s="11"/>
      <c r="FK18" s="11"/>
      <c r="FL18" s="11"/>
      <c r="FM18" s="11"/>
      <c r="FN18" s="11"/>
      <c r="FO18" s="11"/>
      <c r="FP18" s="11"/>
      <c r="FQ18" s="11"/>
      <c r="FR18" s="11"/>
      <c r="FS18" s="11"/>
      <c r="FT18" s="11"/>
      <c r="FU18" s="11"/>
      <c r="FV18" s="11"/>
      <c r="FW18" s="11"/>
      <c r="FX18" s="11"/>
      <c r="FY18" s="11"/>
      <c r="FZ18" s="11"/>
      <c r="GA18" s="11"/>
      <c r="GB18" s="11"/>
      <c r="GC18" s="11"/>
      <c r="GD18" s="11"/>
      <c r="GE18" s="11"/>
      <c r="GF18" s="11"/>
      <c r="GG18" s="11"/>
      <c r="GH18" s="11"/>
      <c r="GI18" s="11"/>
      <c r="GJ18" s="11"/>
      <c r="GK18" s="11"/>
      <c r="GL18" s="11"/>
      <c r="GM18" s="11"/>
      <c r="GN18" s="11"/>
      <c r="GO18" s="11"/>
      <c r="GP18" s="11"/>
      <c r="GQ18" s="11"/>
      <c r="GR18" s="11"/>
      <c r="GS18" s="11"/>
      <c r="GT18" s="11"/>
      <c r="GU18" s="11"/>
      <c r="GV18" s="11"/>
      <c r="GW18" s="11"/>
      <c r="GX18" s="11"/>
      <c r="GY18" s="11"/>
      <c r="GZ18" s="11"/>
      <c r="HA18" s="11"/>
      <c r="HB18" s="11"/>
      <c r="HC18" s="11"/>
      <c r="HD18" s="11"/>
      <c r="HE18" s="11"/>
      <c r="HF18" s="11"/>
      <c r="HG18" s="11"/>
      <c r="HH18" s="11"/>
      <c r="HI18" s="11"/>
      <c r="HJ18" s="11"/>
      <c r="HK18" s="11"/>
      <c r="HL18" s="11"/>
      <c r="HM18" s="11"/>
      <c r="HN18" s="11"/>
      <c r="HO18" s="11"/>
      <c r="HP18" s="11"/>
      <c r="HQ18" s="11"/>
      <c r="HR18" s="11"/>
      <c r="HS18" s="11"/>
      <c r="HT18" s="11"/>
      <c r="HU18" s="11"/>
      <c r="HV18" s="11"/>
      <c r="HW18" s="11"/>
      <c r="HX18" s="11"/>
      <c r="HY18" s="11"/>
      <c r="HZ18" s="11"/>
      <c r="IA18" s="11"/>
      <c r="IB18" s="11"/>
      <c r="IC18" s="11"/>
      <c r="ID18" s="11"/>
      <c r="IE18" s="11"/>
      <c r="IF18" s="11"/>
      <c r="IG18" s="11"/>
      <c r="IH18" s="11"/>
      <c r="II18" s="11"/>
      <c r="IJ18" s="11"/>
      <c r="IK18" s="11"/>
      <c r="IL18" s="11"/>
      <c r="IM18" s="11"/>
      <c r="IN18" s="11"/>
      <c r="IO18" s="11"/>
      <c r="IP18" s="11"/>
      <c r="IQ18" s="11"/>
      <c r="IR18" s="11"/>
      <c r="IS18" s="11"/>
      <c r="IT18" s="11"/>
      <c r="IU18" s="11"/>
      <c r="IV18" s="11"/>
      <c r="IW18" s="11"/>
      <c r="IX18" s="11"/>
      <c r="IY18" s="11"/>
      <c r="IZ18" s="11"/>
      <c r="JA18" s="11"/>
      <c r="JB18" s="11"/>
      <c r="JC18" s="11"/>
      <c r="JD18" s="11"/>
      <c r="JE18" s="11"/>
      <c r="JF18" s="11"/>
      <c r="JG18" s="11"/>
      <c r="JH18" s="11"/>
      <c r="JI18" s="11"/>
      <c r="JJ18" s="11"/>
      <c r="JK18" s="11"/>
      <c r="JL18" s="11"/>
      <c r="JM18" s="11"/>
      <c r="JN18" s="11"/>
      <c r="JO18" s="11"/>
      <c r="JP18" s="11"/>
      <c r="JQ18" s="11"/>
      <c r="JR18" s="11"/>
      <c r="JS18" s="11"/>
      <c r="JT18" s="11"/>
      <c r="JU18" s="11"/>
      <c r="JV18" s="11"/>
      <c r="JW18" s="11"/>
      <c r="JX18" s="11"/>
      <c r="JY18" s="11"/>
      <c r="JZ18" s="11"/>
      <c r="KA18" s="11"/>
      <c r="KB18" s="11"/>
      <c r="KC18" s="11"/>
      <c r="KD18" s="11"/>
      <c r="KE18" s="11"/>
      <c r="KF18" s="11"/>
      <c r="KG18" s="11"/>
      <c r="KH18" s="11"/>
      <c r="KI18" s="11"/>
      <c r="KJ18" s="11"/>
      <c r="KK18" s="11"/>
      <c r="KL18" s="11"/>
      <c r="KM18" s="11"/>
      <c r="KN18" s="11"/>
      <c r="KO18" s="11"/>
      <c r="KP18" s="11"/>
      <c r="KQ18" s="11"/>
      <c r="KR18" s="11"/>
      <c r="KS18" s="11"/>
      <c r="KT18" s="11"/>
      <c r="KU18" s="11"/>
      <c r="KV18" s="11"/>
      <c r="KW18" s="11"/>
      <c r="KX18" s="11"/>
      <c r="KY18" s="11"/>
      <c r="KZ18" s="11"/>
      <c r="LA18" s="11"/>
      <c r="LB18" s="11"/>
      <c r="LC18" s="11"/>
      <c r="LD18" s="11"/>
      <c r="LE18" s="11"/>
      <c r="LF18" s="11"/>
      <c r="LG18" s="11"/>
      <c r="LH18" s="11"/>
      <c r="LI18" s="11"/>
      <c r="LJ18" s="11"/>
      <c r="LK18" s="11"/>
      <c r="LL18" s="11"/>
      <c r="LM18" s="11"/>
      <c r="LN18" s="11"/>
      <c r="LO18" s="11"/>
      <c r="LP18" s="11"/>
      <c r="LQ18" s="11"/>
      <c r="LR18" s="11"/>
      <c r="LS18" s="11"/>
      <c r="LT18" s="11"/>
      <c r="LU18" s="11"/>
      <c r="LV18" s="11"/>
      <c r="LW18" s="11"/>
      <c r="LX18" s="11"/>
      <c r="LY18" s="11"/>
      <c r="LZ18" s="11"/>
      <c r="MA18" s="11"/>
      <c r="MB18" s="11"/>
      <c r="MC18" s="11"/>
      <c r="MD18" s="11"/>
      <c r="ME18" s="11"/>
      <c r="MF18" s="11"/>
      <c r="MG18" s="11"/>
      <c r="MH18" s="11"/>
      <c r="MI18" s="11"/>
      <c r="MJ18" s="11"/>
      <c r="MK18" s="11"/>
      <c r="ML18" s="11"/>
      <c r="MM18" s="11"/>
      <c r="MN18" s="11"/>
      <c r="MO18" s="11"/>
      <c r="MP18" s="11"/>
      <c r="MQ18" s="11"/>
      <c r="MR18" s="11"/>
      <c r="MS18" s="11"/>
      <c r="MT18" s="11"/>
      <c r="MU18" s="11"/>
      <c r="MV18" s="11"/>
      <c r="MW18" s="11"/>
      <c r="MX18" s="11"/>
      <c r="MY18" s="11"/>
      <c r="MZ18" s="11"/>
      <c r="NA18" s="11"/>
      <c r="NB18" s="11"/>
      <c r="NC18" s="11"/>
      <c r="ND18" s="11"/>
      <c r="NE18" s="11"/>
      <c r="NF18" s="11"/>
      <c r="NG18" s="11"/>
      <c r="NH18" s="11"/>
      <c r="NI18" s="11"/>
      <c r="NJ18" s="11"/>
      <c r="NK18" s="11"/>
      <c r="NL18" s="11"/>
      <c r="NM18" s="11"/>
      <c r="NN18" s="11"/>
      <c r="NO18" s="11"/>
      <c r="NP18" s="11"/>
      <c r="NQ18" s="11"/>
      <c r="NR18" s="11"/>
      <c r="NS18" s="11"/>
      <c r="NT18" s="11"/>
      <c r="NU18" s="11"/>
      <c r="NV18" s="11"/>
      <c r="NW18" s="11"/>
      <c r="NX18" s="11"/>
      <c r="NY18" s="11"/>
      <c r="NZ18" s="11"/>
      <c r="OA18" s="11"/>
      <c r="OB18" s="11"/>
      <c r="OC18" s="11"/>
      <c r="OD18" s="11"/>
      <c r="OE18" s="11"/>
      <c r="OF18" s="11"/>
      <c r="OG18" s="11"/>
      <c r="OH18" s="11"/>
      <c r="OI18" s="11"/>
      <c r="OJ18" s="11"/>
      <c r="OK18" s="11"/>
      <c r="OL18" s="11"/>
      <c r="OM18" s="11"/>
      <c r="ON18" s="11"/>
      <c r="OO18" s="11"/>
      <c r="OP18" s="11"/>
      <c r="OQ18" s="11"/>
      <c r="OR18" s="11"/>
      <c r="OS18" s="11"/>
      <c r="OT18" s="11"/>
      <c r="OU18" s="11"/>
      <c r="OV18" s="11"/>
      <c r="OW18" s="11"/>
      <c r="OX18" s="11"/>
      <c r="OY18" s="11"/>
      <c r="OZ18" s="11"/>
      <c r="PA18" s="11"/>
      <c r="PB18" s="11"/>
      <c r="PC18" s="11"/>
      <c r="PD18" s="11"/>
      <c r="PE18" s="11"/>
      <c r="PF18" s="11"/>
      <c r="PG18" s="11"/>
      <c r="PH18" s="11"/>
      <c r="PI18" s="11"/>
      <c r="PJ18" s="11"/>
      <c r="PK18" s="11"/>
      <c r="PL18" s="11"/>
      <c r="PM18" s="11"/>
      <c r="PN18" s="11"/>
      <c r="PO18" s="11"/>
      <c r="PP18" s="11"/>
      <c r="PQ18" s="11"/>
      <c r="PR18" s="11"/>
      <c r="PS18" s="11"/>
      <c r="PT18" s="11"/>
      <c r="PU18" s="11"/>
      <c r="PV18" s="11"/>
      <c r="PW18" s="11"/>
      <c r="PX18" s="11"/>
      <c r="PY18" s="11"/>
      <c r="PZ18" s="11"/>
      <c r="QA18" s="11"/>
      <c r="QB18" s="11"/>
      <c r="QC18" s="11"/>
      <c r="QD18" s="11"/>
      <c r="QE18" s="11"/>
      <c r="QF18" s="11"/>
      <c r="QG18" s="11"/>
      <c r="QH18" s="11"/>
      <c r="QI18" s="11"/>
      <c r="QJ18" s="11"/>
      <c r="QK18" s="11"/>
      <c r="QL18" s="11"/>
      <c r="QM18" s="11"/>
      <c r="QN18" s="11"/>
      <c r="QO18" s="11"/>
      <c r="QP18" s="11"/>
      <c r="QQ18" s="11"/>
      <c r="QR18" s="11"/>
      <c r="QS18" s="11"/>
      <c r="QT18" s="11"/>
      <c r="QU18" s="11"/>
      <c r="QV18" s="11"/>
      <c r="QW18" s="11"/>
      <c r="QX18" s="11"/>
      <c r="QY18" s="11"/>
      <c r="QZ18" s="11"/>
      <c r="RA18" s="11"/>
      <c r="RB18" s="11"/>
      <c r="RC18" s="11"/>
      <c r="RD18" s="11"/>
      <c r="RE18" s="11"/>
      <c r="RF18" s="11"/>
      <c r="RG18" s="11"/>
      <c r="RH18" s="11"/>
      <c r="RI18" s="11"/>
      <c r="RJ18" s="11"/>
      <c r="RK18" s="11"/>
      <c r="RL18" s="11"/>
      <c r="RM18" s="11"/>
      <c r="RN18" s="11"/>
      <c r="RO18" s="11"/>
      <c r="RP18" s="11"/>
      <c r="RQ18" s="11"/>
      <c r="RR18" s="11"/>
      <c r="RS18" s="11"/>
      <c r="RT18" s="11"/>
      <c r="RU18" s="11"/>
      <c r="RV18" s="11"/>
      <c r="RW18" s="11"/>
      <c r="RX18" s="11"/>
    </row>
    <row r="19" spans="1:492" s="531" customFormat="1" ht="20.149999999999999" customHeight="1">
      <c r="A19" s="548" t="s">
        <v>113</v>
      </c>
      <c r="B19" s="573" t="s">
        <v>114</v>
      </c>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59">
        <v>755</v>
      </c>
      <c r="AN19" s="529">
        <v>795.2</v>
      </c>
      <c r="AO19" s="529">
        <v>825.7</v>
      </c>
      <c r="AP19" s="529">
        <v>769</v>
      </c>
      <c r="AQ19" s="560">
        <f>SUM(AM19:AP19)</f>
        <v>3144.9</v>
      </c>
      <c r="AR19" s="529"/>
      <c r="AS19" s="529"/>
      <c r="AT19" s="529"/>
      <c r="AU19" s="529"/>
      <c r="AV19" s="524"/>
      <c r="AW19" s="529">
        <v>892.6</v>
      </c>
      <c r="AX19" s="529">
        <v>914.49999999999989</v>
      </c>
      <c r="AY19" s="529">
        <v>925.59999999999991</v>
      </c>
      <c r="AZ19" s="529">
        <v>867.10000000000036</v>
      </c>
      <c r="BA19" s="535">
        <f>SUM(AW19:AZ19)</f>
        <v>3599.8</v>
      </c>
      <c r="BB19" s="559">
        <v>879.6</v>
      </c>
      <c r="BC19" s="529">
        <v>841.4</v>
      </c>
      <c r="BD19" s="529">
        <v>943.80000000000018</v>
      </c>
      <c r="BE19" s="529">
        <v>925</v>
      </c>
      <c r="BF19" s="560">
        <f>SUM(BB19:BE19)</f>
        <v>3589.8</v>
      </c>
      <c r="BG19" s="529">
        <v>936.6</v>
      </c>
      <c r="BH19" s="529">
        <v>951.80000000000007</v>
      </c>
      <c r="BI19" s="529">
        <v>4477.0999999999995</v>
      </c>
      <c r="BJ19" s="529">
        <f>7070.3-SUM(BG19:BI19)</f>
        <v>704.80000000000018</v>
      </c>
      <c r="BK19" s="560">
        <f>SUM(BG19:BJ19)</f>
        <v>7070.3</v>
      </c>
      <c r="BL19" s="529">
        <v>671.1</v>
      </c>
      <c r="BM19" s="523">
        <f>1420.5-BL19</f>
        <v>749.4</v>
      </c>
      <c r="BN19" s="529">
        <f>2292.1-BM19-BL19</f>
        <v>871.5999999999998</v>
      </c>
      <c r="BO19" s="529">
        <f>2914.4-BN19-BM19-BL19</f>
        <v>622.30000000000007</v>
      </c>
      <c r="BP19" s="560">
        <f>SUM(BL19:BO19)</f>
        <v>2914.4</v>
      </c>
      <c r="BQ19" s="529">
        <v>663.2</v>
      </c>
      <c r="BR19" s="523"/>
      <c r="BS19" s="529"/>
      <c r="BT19" s="529"/>
      <c r="BU19" s="560">
        <f>SUM(BQ19:BT19)</f>
        <v>663.2</v>
      </c>
      <c r="BV19" s="530"/>
      <c r="BW19" s="529"/>
      <c r="BX19" s="530"/>
      <c r="BY19" s="530"/>
      <c r="BZ19" s="530"/>
      <c r="CA19" s="530"/>
      <c r="CB19" s="530"/>
      <c r="CC19" s="530"/>
      <c r="CD19" s="530"/>
      <c r="CE19" s="530"/>
      <c r="CF19" s="530"/>
      <c r="CG19" s="530"/>
      <c r="CH19" s="530"/>
      <c r="CI19" s="530"/>
      <c r="CJ19" s="530"/>
      <c r="CK19" s="530"/>
      <c r="CL19" s="530"/>
      <c r="CM19" s="530"/>
      <c r="CN19" s="530"/>
      <c r="CO19" s="530"/>
      <c r="CP19" s="530"/>
      <c r="CQ19" s="530"/>
      <c r="CR19" s="530"/>
      <c r="CS19" s="530"/>
      <c r="CT19" s="530"/>
      <c r="CU19" s="530"/>
      <c r="CV19" s="530"/>
      <c r="CW19" s="530"/>
      <c r="CX19" s="530"/>
      <c r="CY19" s="530"/>
      <c r="CZ19" s="530"/>
      <c r="DA19" s="530"/>
      <c r="DB19" s="530"/>
      <c r="DC19" s="530"/>
      <c r="DD19" s="530"/>
      <c r="DE19" s="530"/>
      <c r="DF19" s="530"/>
      <c r="DG19" s="530"/>
      <c r="DH19" s="530"/>
      <c r="DI19" s="530"/>
      <c r="DJ19" s="530"/>
      <c r="DK19" s="530"/>
      <c r="DL19" s="530"/>
      <c r="DM19" s="530"/>
      <c r="DN19" s="530"/>
      <c r="DO19" s="530"/>
      <c r="DP19" s="530"/>
      <c r="DQ19" s="530"/>
      <c r="DR19" s="530"/>
      <c r="DS19" s="530"/>
      <c r="DT19" s="530"/>
      <c r="DU19" s="530"/>
      <c r="DV19" s="530"/>
      <c r="DW19" s="530"/>
      <c r="DX19" s="530"/>
      <c r="DY19" s="530"/>
      <c r="DZ19" s="530"/>
      <c r="EA19" s="530"/>
      <c r="EB19" s="530"/>
      <c r="EC19" s="530"/>
      <c r="ED19" s="530"/>
      <c r="EE19" s="530"/>
      <c r="EF19" s="530"/>
      <c r="EG19" s="530"/>
      <c r="EH19" s="530"/>
      <c r="EI19" s="530"/>
      <c r="EJ19" s="530"/>
      <c r="EK19" s="530"/>
      <c r="EL19" s="530"/>
      <c r="EM19" s="530"/>
      <c r="EN19" s="530"/>
      <c r="EO19" s="530"/>
      <c r="EP19" s="530"/>
      <c r="EQ19" s="530"/>
      <c r="ER19" s="530"/>
      <c r="ES19" s="530"/>
      <c r="ET19" s="530"/>
      <c r="EU19" s="530"/>
      <c r="EV19" s="530"/>
      <c r="EW19" s="530"/>
      <c r="EX19" s="530"/>
      <c r="EY19" s="530"/>
      <c r="EZ19" s="530"/>
      <c r="FA19" s="530"/>
      <c r="FB19" s="530"/>
      <c r="FC19" s="530"/>
      <c r="FD19" s="530"/>
      <c r="FE19" s="530"/>
      <c r="FF19" s="530"/>
      <c r="FG19" s="530"/>
      <c r="FH19" s="530"/>
      <c r="FI19" s="530"/>
      <c r="FJ19" s="530"/>
      <c r="FK19" s="530"/>
      <c r="FL19" s="530"/>
      <c r="FM19" s="530"/>
      <c r="FN19" s="530"/>
      <c r="FO19" s="530"/>
      <c r="FP19" s="530"/>
      <c r="FQ19" s="530"/>
      <c r="FR19" s="530"/>
      <c r="FS19" s="530"/>
      <c r="FT19" s="530"/>
      <c r="FU19" s="530"/>
      <c r="FV19" s="530"/>
      <c r="FW19" s="530"/>
      <c r="FX19" s="530"/>
      <c r="FY19" s="530"/>
      <c r="FZ19" s="530"/>
      <c r="GA19" s="530"/>
      <c r="GB19" s="530"/>
      <c r="GC19" s="530"/>
      <c r="GD19" s="530"/>
      <c r="GE19" s="530"/>
      <c r="GF19" s="530"/>
      <c r="GG19" s="530"/>
      <c r="GH19" s="530"/>
      <c r="GI19" s="530"/>
      <c r="GJ19" s="530"/>
      <c r="GK19" s="530"/>
      <c r="GL19" s="530"/>
      <c r="GM19" s="530"/>
      <c r="GN19" s="530"/>
      <c r="GO19" s="530"/>
      <c r="GP19" s="530"/>
      <c r="GQ19" s="530"/>
      <c r="GR19" s="530"/>
      <c r="GS19" s="530"/>
      <c r="GT19" s="530"/>
      <c r="GU19" s="530"/>
      <c r="GV19" s="530"/>
      <c r="GW19" s="530"/>
      <c r="GX19" s="530"/>
      <c r="GY19" s="530"/>
      <c r="GZ19" s="530"/>
      <c r="HA19" s="530"/>
      <c r="HB19" s="530"/>
      <c r="HC19" s="530"/>
      <c r="HD19" s="530"/>
      <c r="HE19" s="530"/>
      <c r="HF19" s="530"/>
      <c r="HG19" s="530"/>
      <c r="HH19" s="530"/>
      <c r="HI19" s="530"/>
      <c r="HJ19" s="530"/>
      <c r="HK19" s="530"/>
      <c r="HL19" s="530"/>
      <c r="HM19" s="530"/>
      <c r="HN19" s="530"/>
      <c r="HO19" s="530"/>
      <c r="HP19" s="530"/>
      <c r="HQ19" s="530"/>
      <c r="HR19" s="530"/>
      <c r="HS19" s="530"/>
      <c r="HT19" s="530"/>
      <c r="HU19" s="530"/>
      <c r="HV19" s="530"/>
      <c r="HW19" s="530"/>
      <c r="HX19" s="530"/>
      <c r="HY19" s="530"/>
      <c r="HZ19" s="530"/>
      <c r="IA19" s="530"/>
      <c r="IB19" s="530"/>
      <c r="IC19" s="530"/>
      <c r="ID19" s="530"/>
      <c r="IE19" s="530"/>
      <c r="IF19" s="530"/>
      <c r="IG19" s="530"/>
      <c r="IH19" s="530"/>
      <c r="II19" s="530"/>
      <c r="IJ19" s="530"/>
      <c r="IK19" s="530"/>
      <c r="IL19" s="530"/>
      <c r="IM19" s="530"/>
      <c r="IN19" s="530"/>
      <c r="IO19" s="530"/>
      <c r="IP19" s="530"/>
      <c r="IQ19" s="530"/>
      <c r="IR19" s="530"/>
      <c r="IS19" s="530"/>
      <c r="IT19" s="530"/>
      <c r="IU19" s="530"/>
      <c r="IV19" s="530"/>
      <c r="IW19" s="530"/>
      <c r="IX19" s="530"/>
      <c r="IY19" s="530"/>
      <c r="IZ19" s="530"/>
      <c r="JA19" s="530"/>
      <c r="JB19" s="530"/>
      <c r="JC19" s="530"/>
      <c r="JD19" s="530"/>
      <c r="JE19" s="530"/>
      <c r="JF19" s="530"/>
      <c r="JG19" s="530"/>
      <c r="JH19" s="530"/>
      <c r="JI19" s="530"/>
      <c r="JJ19" s="530"/>
      <c r="JK19" s="530"/>
      <c r="JL19" s="530"/>
      <c r="JM19" s="530"/>
      <c r="JN19" s="530"/>
      <c r="JO19" s="530"/>
      <c r="JP19" s="530"/>
      <c r="JQ19" s="530"/>
      <c r="JR19" s="530"/>
      <c r="JS19" s="530"/>
      <c r="JT19" s="530"/>
      <c r="JU19" s="530"/>
      <c r="JV19" s="530"/>
      <c r="JW19" s="530"/>
      <c r="JX19" s="530"/>
      <c r="JY19" s="530"/>
      <c r="JZ19" s="530"/>
      <c r="KA19" s="530"/>
      <c r="KB19" s="530"/>
      <c r="KC19" s="530"/>
      <c r="KD19" s="530"/>
      <c r="KE19" s="530"/>
      <c r="KF19" s="530"/>
      <c r="KG19" s="530"/>
      <c r="KH19" s="530"/>
      <c r="KI19" s="530"/>
      <c r="KJ19" s="530"/>
      <c r="KK19" s="530"/>
      <c r="KL19" s="530"/>
      <c r="KM19" s="530"/>
      <c r="KN19" s="530"/>
      <c r="KO19" s="530"/>
      <c r="KP19" s="530"/>
      <c r="KQ19" s="530"/>
      <c r="KR19" s="530"/>
      <c r="KS19" s="530"/>
      <c r="KT19" s="530"/>
      <c r="KU19" s="530"/>
      <c r="KV19" s="530"/>
      <c r="KW19" s="530"/>
      <c r="KX19" s="530"/>
      <c r="KY19" s="530"/>
      <c r="KZ19" s="530"/>
      <c r="LA19" s="530"/>
      <c r="LB19" s="530"/>
      <c r="LC19" s="530"/>
      <c r="LD19" s="530"/>
      <c r="LE19" s="530"/>
      <c r="LF19" s="530"/>
      <c r="LG19" s="530"/>
      <c r="LH19" s="530"/>
      <c r="LI19" s="530"/>
      <c r="LJ19" s="530"/>
      <c r="LK19" s="530"/>
      <c r="LL19" s="530"/>
      <c r="LM19" s="530"/>
      <c r="LN19" s="530"/>
      <c r="LO19" s="530"/>
      <c r="LP19" s="530"/>
      <c r="LQ19" s="530"/>
      <c r="LR19" s="530"/>
      <c r="LS19" s="530"/>
      <c r="LT19" s="530"/>
      <c r="LU19" s="530"/>
      <c r="LV19" s="530"/>
      <c r="LW19" s="530"/>
      <c r="LX19" s="530"/>
      <c r="LY19" s="530"/>
      <c r="LZ19" s="530"/>
      <c r="MA19" s="530"/>
      <c r="MB19" s="530"/>
      <c r="MC19" s="530"/>
      <c r="MD19" s="530"/>
      <c r="ME19" s="530"/>
      <c r="MF19" s="530"/>
      <c r="MG19" s="530"/>
      <c r="MH19" s="530"/>
      <c r="MI19" s="530"/>
      <c r="MJ19" s="530"/>
      <c r="MK19" s="530"/>
      <c r="ML19" s="530"/>
      <c r="MM19" s="530"/>
      <c r="MN19" s="530"/>
      <c r="MO19" s="530"/>
      <c r="MP19" s="530"/>
      <c r="MQ19" s="530"/>
      <c r="MR19" s="530"/>
      <c r="MS19" s="530"/>
      <c r="MT19" s="530"/>
      <c r="MU19" s="530"/>
      <c r="MV19" s="530"/>
      <c r="MW19" s="530"/>
      <c r="MX19" s="530"/>
      <c r="MY19" s="530"/>
      <c r="MZ19" s="530"/>
      <c r="NA19" s="530"/>
      <c r="NB19" s="530"/>
      <c r="NC19" s="530"/>
      <c r="ND19" s="530"/>
      <c r="NE19" s="530"/>
      <c r="NF19" s="530"/>
      <c r="NG19" s="530"/>
      <c r="NH19" s="530"/>
      <c r="NI19" s="530"/>
      <c r="NJ19" s="530"/>
      <c r="NK19" s="530"/>
      <c r="NL19" s="530"/>
      <c r="NM19" s="530"/>
      <c r="NN19" s="530"/>
      <c r="NO19" s="530"/>
      <c r="NP19" s="530"/>
      <c r="NQ19" s="530"/>
      <c r="NR19" s="530"/>
      <c r="NS19" s="530"/>
      <c r="NT19" s="530"/>
      <c r="NU19" s="530"/>
      <c r="NV19" s="530"/>
      <c r="NW19" s="530"/>
      <c r="NX19" s="530"/>
      <c r="NY19" s="530"/>
      <c r="NZ19" s="530"/>
      <c r="OA19" s="530"/>
      <c r="OB19" s="530"/>
      <c r="OC19" s="530"/>
      <c r="OD19" s="530"/>
      <c r="OE19" s="530"/>
      <c r="OF19" s="530"/>
      <c r="OG19" s="530"/>
      <c r="OH19" s="530"/>
      <c r="OI19" s="530"/>
      <c r="OJ19" s="530"/>
      <c r="OK19" s="530"/>
      <c r="OL19" s="530"/>
      <c r="OM19" s="530"/>
      <c r="ON19" s="530"/>
      <c r="OO19" s="530"/>
      <c r="OP19" s="530"/>
      <c r="OQ19" s="530"/>
      <c r="OR19" s="530"/>
      <c r="OS19" s="530"/>
      <c r="OT19" s="530"/>
      <c r="OU19" s="530"/>
      <c r="OV19" s="530"/>
      <c r="OW19" s="530"/>
      <c r="OX19" s="530"/>
      <c r="OY19" s="530"/>
      <c r="OZ19" s="530"/>
      <c r="PA19" s="530"/>
      <c r="PB19" s="530"/>
      <c r="PC19" s="530"/>
      <c r="PD19" s="530"/>
      <c r="PE19" s="530"/>
      <c r="PF19" s="530"/>
      <c r="PG19" s="530"/>
      <c r="PH19" s="530"/>
      <c r="PI19" s="530"/>
      <c r="PJ19" s="530"/>
      <c r="PK19" s="530"/>
      <c r="PL19" s="530"/>
      <c r="PM19" s="530"/>
      <c r="PN19" s="530"/>
      <c r="PO19" s="530"/>
      <c r="PP19" s="530"/>
      <c r="PQ19" s="530"/>
      <c r="PR19" s="530"/>
      <c r="PS19" s="530"/>
      <c r="PT19" s="530"/>
      <c r="PU19" s="530"/>
      <c r="PV19" s="530"/>
      <c r="PW19" s="530"/>
      <c r="PX19" s="530"/>
      <c r="PY19" s="530"/>
      <c r="PZ19" s="530"/>
      <c r="QA19" s="530"/>
      <c r="QB19" s="530"/>
      <c r="QC19" s="530"/>
      <c r="QD19" s="530"/>
      <c r="QE19" s="530"/>
      <c r="QF19" s="530"/>
      <c r="QG19" s="530"/>
      <c r="QH19" s="530"/>
      <c r="QI19" s="530"/>
      <c r="QJ19" s="530"/>
      <c r="QK19" s="530"/>
      <c r="QL19" s="530"/>
      <c r="QM19" s="530"/>
      <c r="QN19" s="530"/>
      <c r="QO19" s="530"/>
      <c r="QP19" s="530"/>
      <c r="QQ19" s="530"/>
      <c r="QR19" s="530"/>
      <c r="QS19" s="530"/>
      <c r="QT19" s="530"/>
      <c r="QU19" s="530"/>
      <c r="QV19" s="530"/>
      <c r="QW19" s="530"/>
      <c r="QX19" s="530"/>
      <c r="QY19" s="530"/>
      <c r="QZ19" s="530"/>
      <c r="RA19" s="530"/>
      <c r="RB19" s="530"/>
      <c r="RC19" s="530"/>
      <c r="RD19" s="530"/>
      <c r="RE19" s="530"/>
      <c r="RF19" s="530"/>
      <c r="RG19" s="530"/>
      <c r="RH19" s="530"/>
      <c r="RI19" s="530"/>
      <c r="RJ19" s="530"/>
      <c r="RK19" s="530"/>
      <c r="RL19" s="530"/>
      <c r="RM19" s="530"/>
      <c r="RN19" s="530"/>
      <c r="RO19" s="530"/>
      <c r="RP19" s="530"/>
      <c r="RQ19" s="530"/>
      <c r="RR19" s="530"/>
      <c r="RS19" s="530"/>
      <c r="RT19" s="530"/>
      <c r="RU19" s="530"/>
      <c r="RV19" s="530"/>
      <c r="RW19" s="530"/>
      <c r="RX19" s="530"/>
    </row>
    <row r="20" spans="1:492" s="531" customFormat="1" ht="20.149999999999999" customHeight="1">
      <c r="A20" s="548" t="s">
        <v>115</v>
      </c>
      <c r="B20" s="573" t="s">
        <v>116</v>
      </c>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59">
        <v>135</v>
      </c>
      <c r="AN20" s="529">
        <v>151.19999999999999</v>
      </c>
      <c r="AO20" s="529">
        <v>94.300000000000011</v>
      </c>
      <c r="AP20" s="529">
        <v>172.29999999999995</v>
      </c>
      <c r="AQ20" s="560">
        <f>SUM(AM20:AP20)</f>
        <v>552.79999999999995</v>
      </c>
      <c r="AR20" s="529"/>
      <c r="AS20" s="529"/>
      <c r="AT20" s="529"/>
      <c r="AU20" s="529"/>
      <c r="AV20" s="524"/>
      <c r="AW20" s="529">
        <v>145.69999999999999</v>
      </c>
      <c r="AX20" s="529">
        <v>161.60000000000002</v>
      </c>
      <c r="AY20" s="529">
        <v>94.899999999999977</v>
      </c>
      <c r="AZ20" s="529">
        <v>194.7</v>
      </c>
      <c r="BA20" s="535">
        <f>SUM(AW20:AZ20)</f>
        <v>596.9</v>
      </c>
      <c r="BB20" s="559">
        <v>147.1</v>
      </c>
      <c r="BC20" s="529">
        <v>118.6</v>
      </c>
      <c r="BD20" s="529">
        <v>135.10000000000002</v>
      </c>
      <c r="BE20" s="529">
        <v>201.3</v>
      </c>
      <c r="BF20" s="560">
        <f>SUM(BB20:BE20)</f>
        <v>602.1</v>
      </c>
      <c r="BG20" s="529">
        <v>146.1</v>
      </c>
      <c r="BH20" s="529">
        <v>189.1</v>
      </c>
      <c r="BI20" s="529">
        <v>117.9</v>
      </c>
      <c r="BJ20" s="529">
        <f>629.3-SUM(BG20:BI20)</f>
        <v>176.19999999999993</v>
      </c>
      <c r="BK20" s="560">
        <f>SUM(BG20:BJ20)</f>
        <v>629.29999999999995</v>
      </c>
      <c r="BL20" s="529">
        <v>95.5</v>
      </c>
      <c r="BM20" s="523">
        <f>237.9-BL20</f>
        <v>142.4</v>
      </c>
      <c r="BN20" s="529">
        <f>314.7-BM20-BL20</f>
        <v>76.799999999999983</v>
      </c>
      <c r="BO20" s="529">
        <f>504.9-BN20-BM20-BL20</f>
        <v>190.20000000000005</v>
      </c>
      <c r="BP20" s="560">
        <f>SUM(BL20:BO20)</f>
        <v>504.90000000000003</v>
      </c>
      <c r="BQ20" s="529">
        <v>92.5</v>
      </c>
      <c r="BR20" s="523"/>
      <c r="BS20" s="529"/>
      <c r="BT20" s="529"/>
      <c r="BU20" s="560">
        <f>SUM(BQ20:BT20)</f>
        <v>92.5</v>
      </c>
      <c r="BV20" s="530"/>
      <c r="BW20" s="529"/>
      <c r="BX20" s="530"/>
      <c r="BY20" s="530"/>
      <c r="BZ20" s="530"/>
      <c r="CA20" s="530"/>
      <c r="CB20" s="530"/>
      <c r="CC20" s="530"/>
      <c r="CD20" s="530"/>
      <c r="CE20" s="530"/>
      <c r="CF20" s="530"/>
      <c r="CG20" s="530"/>
      <c r="CH20" s="530"/>
      <c r="CI20" s="530"/>
      <c r="CJ20" s="530"/>
      <c r="CK20" s="530"/>
      <c r="CL20" s="530"/>
      <c r="CM20" s="530"/>
      <c r="CN20" s="530"/>
      <c r="CO20" s="530"/>
      <c r="CP20" s="530"/>
      <c r="CQ20" s="530"/>
      <c r="CR20" s="530"/>
      <c r="CS20" s="530"/>
      <c r="CT20" s="530"/>
      <c r="CU20" s="530"/>
      <c r="CV20" s="530"/>
      <c r="CW20" s="530"/>
      <c r="CX20" s="530"/>
      <c r="CY20" s="530"/>
      <c r="CZ20" s="530"/>
      <c r="DA20" s="530"/>
      <c r="DB20" s="530"/>
      <c r="DC20" s="530"/>
      <c r="DD20" s="530"/>
      <c r="DE20" s="530"/>
      <c r="DF20" s="530"/>
      <c r="DG20" s="530"/>
      <c r="DH20" s="530"/>
      <c r="DI20" s="530"/>
      <c r="DJ20" s="530"/>
      <c r="DK20" s="530"/>
      <c r="DL20" s="530"/>
      <c r="DM20" s="530"/>
      <c r="DN20" s="530"/>
      <c r="DO20" s="530"/>
      <c r="DP20" s="530"/>
      <c r="DQ20" s="530"/>
      <c r="DR20" s="530"/>
      <c r="DS20" s="530"/>
      <c r="DT20" s="530"/>
      <c r="DU20" s="530"/>
      <c r="DV20" s="530"/>
      <c r="DW20" s="530"/>
      <c r="DX20" s="530"/>
      <c r="DY20" s="530"/>
      <c r="DZ20" s="530"/>
      <c r="EA20" s="530"/>
      <c r="EB20" s="530"/>
      <c r="EC20" s="530"/>
      <c r="ED20" s="530"/>
      <c r="EE20" s="530"/>
      <c r="EF20" s="530"/>
      <c r="EG20" s="530"/>
      <c r="EH20" s="530"/>
      <c r="EI20" s="530"/>
      <c r="EJ20" s="530"/>
      <c r="EK20" s="530"/>
      <c r="EL20" s="530"/>
      <c r="EM20" s="530"/>
      <c r="EN20" s="530"/>
      <c r="EO20" s="530"/>
      <c r="EP20" s="530"/>
      <c r="EQ20" s="530"/>
      <c r="ER20" s="530"/>
      <c r="ES20" s="530"/>
      <c r="ET20" s="530"/>
      <c r="EU20" s="530"/>
      <c r="EV20" s="530"/>
      <c r="EW20" s="530"/>
      <c r="EX20" s="530"/>
      <c r="EY20" s="530"/>
      <c r="EZ20" s="530"/>
      <c r="FA20" s="530"/>
      <c r="FB20" s="530"/>
      <c r="FC20" s="530"/>
      <c r="FD20" s="530"/>
      <c r="FE20" s="530"/>
      <c r="FF20" s="530"/>
      <c r="FG20" s="530"/>
      <c r="FH20" s="530"/>
      <c r="FI20" s="530"/>
      <c r="FJ20" s="530"/>
      <c r="FK20" s="530"/>
      <c r="FL20" s="530"/>
      <c r="FM20" s="530"/>
      <c r="FN20" s="530"/>
      <c r="FO20" s="530"/>
      <c r="FP20" s="530"/>
      <c r="FQ20" s="530"/>
      <c r="FR20" s="530"/>
      <c r="FS20" s="530"/>
      <c r="FT20" s="530"/>
      <c r="FU20" s="530"/>
      <c r="FV20" s="530"/>
      <c r="FW20" s="530"/>
      <c r="FX20" s="530"/>
      <c r="FY20" s="530"/>
      <c r="FZ20" s="530"/>
      <c r="GA20" s="530"/>
      <c r="GB20" s="530"/>
      <c r="GC20" s="530"/>
      <c r="GD20" s="530"/>
      <c r="GE20" s="530"/>
      <c r="GF20" s="530"/>
      <c r="GG20" s="530"/>
      <c r="GH20" s="530"/>
      <c r="GI20" s="530"/>
      <c r="GJ20" s="530"/>
      <c r="GK20" s="530"/>
      <c r="GL20" s="530"/>
      <c r="GM20" s="530"/>
      <c r="GN20" s="530"/>
      <c r="GO20" s="530"/>
      <c r="GP20" s="530"/>
      <c r="GQ20" s="530"/>
      <c r="GR20" s="530"/>
      <c r="GS20" s="530"/>
      <c r="GT20" s="530"/>
      <c r="GU20" s="530"/>
      <c r="GV20" s="530"/>
      <c r="GW20" s="530"/>
      <c r="GX20" s="530"/>
      <c r="GY20" s="530"/>
      <c r="GZ20" s="530"/>
      <c r="HA20" s="530"/>
      <c r="HB20" s="530"/>
      <c r="HC20" s="530"/>
      <c r="HD20" s="530"/>
      <c r="HE20" s="530"/>
      <c r="HF20" s="530"/>
      <c r="HG20" s="530"/>
      <c r="HH20" s="530"/>
      <c r="HI20" s="530"/>
      <c r="HJ20" s="530"/>
      <c r="HK20" s="530"/>
      <c r="HL20" s="530"/>
      <c r="HM20" s="530"/>
      <c r="HN20" s="530"/>
      <c r="HO20" s="530"/>
      <c r="HP20" s="530"/>
      <c r="HQ20" s="530"/>
      <c r="HR20" s="530"/>
      <c r="HS20" s="530"/>
      <c r="HT20" s="530"/>
      <c r="HU20" s="530"/>
      <c r="HV20" s="530"/>
      <c r="HW20" s="530"/>
      <c r="HX20" s="530"/>
      <c r="HY20" s="530"/>
      <c r="HZ20" s="530"/>
      <c r="IA20" s="530"/>
      <c r="IB20" s="530"/>
      <c r="IC20" s="530"/>
      <c r="ID20" s="530"/>
      <c r="IE20" s="530"/>
      <c r="IF20" s="530"/>
      <c r="IG20" s="530"/>
      <c r="IH20" s="530"/>
      <c r="II20" s="530"/>
      <c r="IJ20" s="530"/>
      <c r="IK20" s="530"/>
      <c r="IL20" s="530"/>
      <c r="IM20" s="530"/>
      <c r="IN20" s="530"/>
      <c r="IO20" s="530"/>
      <c r="IP20" s="530"/>
      <c r="IQ20" s="530"/>
      <c r="IR20" s="530"/>
      <c r="IS20" s="530"/>
      <c r="IT20" s="530"/>
      <c r="IU20" s="530"/>
      <c r="IV20" s="530"/>
      <c r="IW20" s="530"/>
      <c r="IX20" s="530"/>
      <c r="IY20" s="530"/>
      <c r="IZ20" s="530"/>
      <c r="JA20" s="530"/>
      <c r="JB20" s="530"/>
      <c r="JC20" s="530"/>
      <c r="JD20" s="530"/>
      <c r="JE20" s="530"/>
      <c r="JF20" s="530"/>
      <c r="JG20" s="530"/>
      <c r="JH20" s="530"/>
      <c r="JI20" s="530"/>
      <c r="JJ20" s="530"/>
      <c r="JK20" s="530"/>
      <c r="JL20" s="530"/>
      <c r="JM20" s="530"/>
      <c r="JN20" s="530"/>
      <c r="JO20" s="530"/>
      <c r="JP20" s="530"/>
      <c r="JQ20" s="530"/>
      <c r="JR20" s="530"/>
      <c r="JS20" s="530"/>
      <c r="JT20" s="530"/>
      <c r="JU20" s="530"/>
      <c r="JV20" s="530"/>
      <c r="JW20" s="530"/>
      <c r="JX20" s="530"/>
      <c r="JY20" s="530"/>
      <c r="JZ20" s="530"/>
      <c r="KA20" s="530"/>
      <c r="KB20" s="530"/>
      <c r="KC20" s="530"/>
      <c r="KD20" s="530"/>
      <c r="KE20" s="530"/>
      <c r="KF20" s="530"/>
      <c r="KG20" s="530"/>
      <c r="KH20" s="530"/>
      <c r="KI20" s="530"/>
      <c r="KJ20" s="530"/>
      <c r="KK20" s="530"/>
      <c r="KL20" s="530"/>
      <c r="KM20" s="530"/>
      <c r="KN20" s="530"/>
      <c r="KO20" s="530"/>
      <c r="KP20" s="530"/>
      <c r="KQ20" s="530"/>
      <c r="KR20" s="530"/>
      <c r="KS20" s="530"/>
      <c r="KT20" s="530"/>
      <c r="KU20" s="530"/>
      <c r="KV20" s="530"/>
      <c r="KW20" s="530"/>
      <c r="KX20" s="530"/>
      <c r="KY20" s="530"/>
      <c r="KZ20" s="530"/>
      <c r="LA20" s="530"/>
      <c r="LB20" s="530"/>
      <c r="LC20" s="530"/>
      <c r="LD20" s="530"/>
      <c r="LE20" s="530"/>
      <c r="LF20" s="530"/>
      <c r="LG20" s="530"/>
      <c r="LH20" s="530"/>
      <c r="LI20" s="530"/>
      <c r="LJ20" s="530"/>
      <c r="LK20" s="530"/>
      <c r="LL20" s="530"/>
      <c r="LM20" s="530"/>
      <c r="LN20" s="530"/>
      <c r="LO20" s="530"/>
      <c r="LP20" s="530"/>
      <c r="LQ20" s="530"/>
      <c r="LR20" s="530"/>
      <c r="LS20" s="530"/>
      <c r="LT20" s="530"/>
      <c r="LU20" s="530"/>
      <c r="LV20" s="530"/>
      <c r="LW20" s="530"/>
      <c r="LX20" s="530"/>
      <c r="LY20" s="530"/>
      <c r="LZ20" s="530"/>
      <c r="MA20" s="530"/>
      <c r="MB20" s="530"/>
      <c r="MC20" s="530"/>
      <c r="MD20" s="530"/>
      <c r="ME20" s="530"/>
      <c r="MF20" s="530"/>
      <c r="MG20" s="530"/>
      <c r="MH20" s="530"/>
      <c r="MI20" s="530"/>
      <c r="MJ20" s="530"/>
      <c r="MK20" s="530"/>
      <c r="ML20" s="530"/>
      <c r="MM20" s="530"/>
      <c r="MN20" s="530"/>
      <c r="MO20" s="530"/>
      <c r="MP20" s="530"/>
      <c r="MQ20" s="530"/>
      <c r="MR20" s="530"/>
      <c r="MS20" s="530"/>
      <c r="MT20" s="530"/>
      <c r="MU20" s="530"/>
      <c r="MV20" s="530"/>
      <c r="MW20" s="530"/>
      <c r="MX20" s="530"/>
      <c r="MY20" s="530"/>
      <c r="MZ20" s="530"/>
      <c r="NA20" s="530"/>
      <c r="NB20" s="530"/>
      <c r="NC20" s="530"/>
      <c r="ND20" s="530"/>
      <c r="NE20" s="530"/>
      <c r="NF20" s="530"/>
      <c r="NG20" s="530"/>
      <c r="NH20" s="530"/>
      <c r="NI20" s="530"/>
      <c r="NJ20" s="530"/>
      <c r="NK20" s="530"/>
      <c r="NL20" s="530"/>
      <c r="NM20" s="530"/>
      <c r="NN20" s="530"/>
      <c r="NO20" s="530"/>
      <c r="NP20" s="530"/>
      <c r="NQ20" s="530"/>
      <c r="NR20" s="530"/>
      <c r="NS20" s="530"/>
      <c r="NT20" s="530"/>
      <c r="NU20" s="530"/>
      <c r="NV20" s="530"/>
      <c r="NW20" s="530"/>
      <c r="NX20" s="530"/>
      <c r="NY20" s="530"/>
      <c r="NZ20" s="530"/>
      <c r="OA20" s="530"/>
      <c r="OB20" s="530"/>
      <c r="OC20" s="530"/>
      <c r="OD20" s="530"/>
      <c r="OE20" s="530"/>
      <c r="OF20" s="530"/>
      <c r="OG20" s="530"/>
      <c r="OH20" s="530"/>
      <c r="OI20" s="530"/>
      <c r="OJ20" s="530"/>
      <c r="OK20" s="530"/>
      <c r="OL20" s="530"/>
      <c r="OM20" s="530"/>
      <c r="ON20" s="530"/>
      <c r="OO20" s="530"/>
      <c r="OP20" s="530"/>
      <c r="OQ20" s="530"/>
      <c r="OR20" s="530"/>
      <c r="OS20" s="530"/>
      <c r="OT20" s="530"/>
      <c r="OU20" s="530"/>
      <c r="OV20" s="530"/>
      <c r="OW20" s="530"/>
      <c r="OX20" s="530"/>
      <c r="OY20" s="530"/>
      <c r="OZ20" s="530"/>
      <c r="PA20" s="530"/>
      <c r="PB20" s="530"/>
      <c r="PC20" s="530"/>
      <c r="PD20" s="530"/>
      <c r="PE20" s="530"/>
      <c r="PF20" s="530"/>
      <c r="PG20" s="530"/>
      <c r="PH20" s="530"/>
      <c r="PI20" s="530"/>
      <c r="PJ20" s="530"/>
      <c r="PK20" s="530"/>
      <c r="PL20" s="530"/>
      <c r="PM20" s="530"/>
      <c r="PN20" s="530"/>
      <c r="PO20" s="530"/>
      <c r="PP20" s="530"/>
      <c r="PQ20" s="530"/>
      <c r="PR20" s="530"/>
      <c r="PS20" s="530"/>
      <c r="PT20" s="530"/>
      <c r="PU20" s="530"/>
      <c r="PV20" s="530"/>
      <c r="PW20" s="530"/>
      <c r="PX20" s="530"/>
      <c r="PY20" s="530"/>
      <c r="PZ20" s="530"/>
      <c r="QA20" s="530"/>
      <c r="QB20" s="530"/>
      <c r="QC20" s="530"/>
      <c r="QD20" s="530"/>
      <c r="QE20" s="530"/>
      <c r="QF20" s="530"/>
      <c r="QG20" s="530"/>
      <c r="QH20" s="530"/>
      <c r="QI20" s="530"/>
      <c r="QJ20" s="530"/>
      <c r="QK20" s="530"/>
      <c r="QL20" s="530"/>
      <c r="QM20" s="530"/>
      <c r="QN20" s="530"/>
      <c r="QO20" s="530"/>
      <c r="QP20" s="530"/>
      <c r="QQ20" s="530"/>
      <c r="QR20" s="530"/>
      <c r="QS20" s="530"/>
      <c r="QT20" s="530"/>
      <c r="QU20" s="530"/>
      <c r="QV20" s="530"/>
      <c r="QW20" s="530"/>
      <c r="QX20" s="530"/>
      <c r="QY20" s="530"/>
      <c r="QZ20" s="530"/>
      <c r="RA20" s="530"/>
      <c r="RB20" s="530"/>
      <c r="RC20" s="530"/>
      <c r="RD20" s="530"/>
      <c r="RE20" s="530"/>
      <c r="RF20" s="530"/>
      <c r="RG20" s="530"/>
      <c r="RH20" s="530"/>
      <c r="RI20" s="530"/>
      <c r="RJ20" s="530"/>
      <c r="RK20" s="530"/>
      <c r="RL20" s="530"/>
      <c r="RM20" s="530"/>
      <c r="RN20" s="530"/>
      <c r="RO20" s="530"/>
      <c r="RP20" s="530"/>
      <c r="RQ20" s="530"/>
      <c r="RR20" s="530"/>
      <c r="RS20" s="530"/>
      <c r="RT20" s="530"/>
      <c r="RU20" s="530"/>
      <c r="RV20" s="530"/>
      <c r="RW20" s="530"/>
      <c r="RX20" s="530"/>
    </row>
    <row r="21" spans="1:492" s="531" customFormat="1" ht="20.149999999999999" customHeight="1">
      <c r="A21" s="548" t="s">
        <v>123</v>
      </c>
      <c r="B21" s="573" t="s">
        <v>118</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59"/>
      <c r="AN21" s="529"/>
      <c r="AO21" s="529"/>
      <c r="AP21" s="529"/>
      <c r="AQ21" s="560"/>
      <c r="AR21" s="529"/>
      <c r="AS21" s="529"/>
      <c r="AT21" s="529"/>
      <c r="AU21" s="529"/>
      <c r="AV21" s="524"/>
      <c r="AW21" s="529"/>
      <c r="AX21" s="529"/>
      <c r="AY21" s="529"/>
      <c r="AZ21" s="529"/>
      <c r="BA21" s="535"/>
      <c r="BB21" s="559"/>
      <c r="BC21" s="529"/>
      <c r="BD21" s="529"/>
      <c r="BE21" s="529"/>
      <c r="BF21" s="560"/>
      <c r="BG21" s="529"/>
      <c r="BH21" s="529"/>
      <c r="BI21" s="529"/>
      <c r="BJ21" s="529"/>
      <c r="BK21" s="560"/>
      <c r="BL21" s="529"/>
      <c r="BM21" s="523">
        <v>3.7</v>
      </c>
      <c r="BN21" s="529">
        <f>14-BM21-BL21</f>
        <v>10.3</v>
      </c>
      <c r="BO21" s="529">
        <f>57-BN21-BM21</f>
        <v>43</v>
      </c>
      <c r="BP21" s="560">
        <f>SUM(BL21:BO21)</f>
        <v>57</v>
      </c>
      <c r="BQ21" s="529">
        <v>7</v>
      </c>
      <c r="BR21" s="523"/>
      <c r="BS21" s="529"/>
      <c r="BT21" s="529"/>
      <c r="BU21" s="560">
        <f>SUM(BQ21:BT21)</f>
        <v>7</v>
      </c>
      <c r="BV21" s="530"/>
      <c r="BW21" s="529"/>
      <c r="BX21" s="530"/>
      <c r="BY21" s="530"/>
      <c r="BZ21" s="530"/>
      <c r="CA21" s="530"/>
      <c r="CB21" s="530"/>
      <c r="CC21" s="530"/>
      <c r="CD21" s="530"/>
      <c r="CE21" s="530"/>
      <c r="CF21" s="530"/>
      <c r="CG21" s="530"/>
      <c r="CH21" s="530"/>
      <c r="CI21" s="530"/>
      <c r="CJ21" s="530"/>
      <c r="CK21" s="530"/>
      <c r="CL21" s="530"/>
      <c r="CM21" s="530"/>
      <c r="CN21" s="530"/>
      <c r="CO21" s="530"/>
      <c r="CP21" s="530"/>
      <c r="CQ21" s="530"/>
      <c r="CR21" s="530"/>
      <c r="CS21" s="530"/>
      <c r="CT21" s="530"/>
      <c r="CU21" s="530"/>
      <c r="CV21" s="530"/>
      <c r="CW21" s="530"/>
      <c r="CX21" s="530"/>
      <c r="CY21" s="530"/>
      <c r="CZ21" s="530"/>
      <c r="DA21" s="530"/>
      <c r="DB21" s="530"/>
      <c r="DC21" s="530"/>
      <c r="DD21" s="530"/>
      <c r="DE21" s="530"/>
      <c r="DF21" s="530"/>
      <c r="DG21" s="530"/>
      <c r="DH21" s="530"/>
      <c r="DI21" s="530"/>
      <c r="DJ21" s="530"/>
      <c r="DK21" s="530"/>
      <c r="DL21" s="530"/>
      <c r="DM21" s="530"/>
      <c r="DN21" s="530"/>
      <c r="DO21" s="530"/>
      <c r="DP21" s="530"/>
      <c r="DQ21" s="530"/>
      <c r="DR21" s="530"/>
      <c r="DS21" s="530"/>
      <c r="DT21" s="530"/>
      <c r="DU21" s="530"/>
      <c r="DV21" s="530"/>
      <c r="DW21" s="530"/>
      <c r="DX21" s="530"/>
      <c r="DY21" s="530"/>
      <c r="DZ21" s="530"/>
      <c r="EA21" s="530"/>
      <c r="EB21" s="530"/>
      <c r="EC21" s="530"/>
      <c r="ED21" s="530"/>
      <c r="EE21" s="530"/>
      <c r="EF21" s="530"/>
      <c r="EG21" s="530"/>
      <c r="EH21" s="530"/>
      <c r="EI21" s="530"/>
      <c r="EJ21" s="530"/>
      <c r="EK21" s="530"/>
      <c r="EL21" s="530"/>
      <c r="EM21" s="530"/>
      <c r="EN21" s="530"/>
      <c r="EO21" s="530"/>
      <c r="EP21" s="530"/>
      <c r="EQ21" s="530"/>
      <c r="ER21" s="530"/>
      <c r="ES21" s="530"/>
      <c r="ET21" s="530"/>
      <c r="EU21" s="530"/>
      <c r="EV21" s="530"/>
      <c r="EW21" s="530"/>
      <c r="EX21" s="530"/>
      <c r="EY21" s="530"/>
      <c r="EZ21" s="530"/>
      <c r="FA21" s="530"/>
      <c r="FB21" s="530"/>
      <c r="FC21" s="530"/>
      <c r="FD21" s="530"/>
      <c r="FE21" s="530"/>
      <c r="FF21" s="530"/>
      <c r="FG21" s="530"/>
      <c r="FH21" s="530"/>
      <c r="FI21" s="530"/>
      <c r="FJ21" s="530"/>
      <c r="FK21" s="530"/>
      <c r="FL21" s="530"/>
      <c r="FM21" s="530"/>
      <c r="FN21" s="530"/>
      <c r="FO21" s="530"/>
      <c r="FP21" s="530"/>
      <c r="FQ21" s="530"/>
      <c r="FR21" s="530"/>
      <c r="FS21" s="530"/>
      <c r="FT21" s="530"/>
      <c r="FU21" s="530"/>
      <c r="FV21" s="530"/>
      <c r="FW21" s="530"/>
      <c r="FX21" s="530"/>
      <c r="FY21" s="530"/>
      <c r="FZ21" s="530"/>
      <c r="GA21" s="530"/>
      <c r="GB21" s="530"/>
      <c r="GC21" s="530"/>
      <c r="GD21" s="530"/>
      <c r="GE21" s="530"/>
      <c r="GF21" s="530"/>
      <c r="GG21" s="530"/>
      <c r="GH21" s="530"/>
      <c r="GI21" s="530"/>
      <c r="GJ21" s="530"/>
      <c r="GK21" s="530"/>
      <c r="GL21" s="530"/>
      <c r="GM21" s="530"/>
      <c r="GN21" s="530"/>
      <c r="GO21" s="530"/>
      <c r="GP21" s="530"/>
      <c r="GQ21" s="530"/>
      <c r="GR21" s="530"/>
      <c r="GS21" s="530"/>
      <c r="GT21" s="530"/>
      <c r="GU21" s="530"/>
      <c r="GV21" s="530"/>
      <c r="GW21" s="530"/>
      <c r="GX21" s="530"/>
      <c r="GY21" s="530"/>
      <c r="GZ21" s="530"/>
      <c r="HA21" s="530"/>
      <c r="HB21" s="530"/>
      <c r="HC21" s="530"/>
      <c r="HD21" s="530"/>
      <c r="HE21" s="530"/>
      <c r="HF21" s="530"/>
      <c r="HG21" s="530"/>
      <c r="HH21" s="530"/>
      <c r="HI21" s="530"/>
      <c r="HJ21" s="530"/>
      <c r="HK21" s="530"/>
      <c r="HL21" s="530"/>
      <c r="HM21" s="530"/>
      <c r="HN21" s="530"/>
      <c r="HO21" s="530"/>
      <c r="HP21" s="530"/>
      <c r="HQ21" s="530"/>
      <c r="HR21" s="530"/>
      <c r="HS21" s="530"/>
      <c r="HT21" s="530"/>
      <c r="HU21" s="530"/>
      <c r="HV21" s="530"/>
      <c r="HW21" s="530"/>
      <c r="HX21" s="530"/>
      <c r="HY21" s="530"/>
      <c r="HZ21" s="530"/>
      <c r="IA21" s="530"/>
      <c r="IB21" s="530"/>
      <c r="IC21" s="530"/>
      <c r="ID21" s="530"/>
      <c r="IE21" s="530"/>
      <c r="IF21" s="530"/>
      <c r="IG21" s="530"/>
      <c r="IH21" s="530"/>
      <c r="II21" s="530"/>
      <c r="IJ21" s="530"/>
      <c r="IK21" s="530"/>
      <c r="IL21" s="530"/>
      <c r="IM21" s="530"/>
      <c r="IN21" s="530"/>
      <c r="IO21" s="530"/>
      <c r="IP21" s="530"/>
      <c r="IQ21" s="530"/>
      <c r="IR21" s="530"/>
      <c r="IS21" s="530"/>
      <c r="IT21" s="530"/>
      <c r="IU21" s="530"/>
      <c r="IV21" s="530"/>
      <c r="IW21" s="530"/>
      <c r="IX21" s="530"/>
      <c r="IY21" s="530"/>
      <c r="IZ21" s="530"/>
      <c r="JA21" s="530"/>
      <c r="JB21" s="530"/>
      <c r="JC21" s="530"/>
      <c r="JD21" s="530"/>
      <c r="JE21" s="530"/>
      <c r="JF21" s="530"/>
      <c r="JG21" s="530"/>
      <c r="JH21" s="530"/>
      <c r="JI21" s="530"/>
      <c r="JJ21" s="530"/>
      <c r="JK21" s="530"/>
      <c r="JL21" s="530"/>
      <c r="JM21" s="530"/>
      <c r="JN21" s="530"/>
      <c r="JO21" s="530"/>
      <c r="JP21" s="530"/>
      <c r="JQ21" s="530"/>
      <c r="JR21" s="530"/>
      <c r="JS21" s="530"/>
      <c r="JT21" s="530"/>
      <c r="JU21" s="530"/>
      <c r="JV21" s="530"/>
      <c r="JW21" s="530"/>
      <c r="JX21" s="530"/>
      <c r="JY21" s="530"/>
      <c r="JZ21" s="530"/>
      <c r="KA21" s="530"/>
      <c r="KB21" s="530"/>
      <c r="KC21" s="530"/>
      <c r="KD21" s="530"/>
      <c r="KE21" s="530"/>
      <c r="KF21" s="530"/>
      <c r="KG21" s="530"/>
      <c r="KH21" s="530"/>
      <c r="KI21" s="530"/>
      <c r="KJ21" s="530"/>
      <c r="KK21" s="530"/>
      <c r="KL21" s="530"/>
      <c r="KM21" s="530"/>
      <c r="KN21" s="530"/>
      <c r="KO21" s="530"/>
      <c r="KP21" s="530"/>
      <c r="KQ21" s="530"/>
      <c r="KR21" s="530"/>
      <c r="KS21" s="530"/>
      <c r="KT21" s="530"/>
      <c r="KU21" s="530"/>
      <c r="KV21" s="530"/>
      <c r="KW21" s="530"/>
      <c r="KX21" s="530"/>
      <c r="KY21" s="530"/>
      <c r="KZ21" s="530"/>
      <c r="LA21" s="530"/>
      <c r="LB21" s="530"/>
      <c r="LC21" s="530"/>
      <c r="LD21" s="530"/>
      <c r="LE21" s="530"/>
      <c r="LF21" s="530"/>
      <c r="LG21" s="530"/>
      <c r="LH21" s="530"/>
      <c r="LI21" s="530"/>
      <c r="LJ21" s="530"/>
      <c r="LK21" s="530"/>
      <c r="LL21" s="530"/>
      <c r="LM21" s="530"/>
      <c r="LN21" s="530"/>
      <c r="LO21" s="530"/>
      <c r="LP21" s="530"/>
      <c r="LQ21" s="530"/>
      <c r="LR21" s="530"/>
      <c r="LS21" s="530"/>
      <c r="LT21" s="530"/>
      <c r="LU21" s="530"/>
      <c r="LV21" s="530"/>
      <c r="LW21" s="530"/>
      <c r="LX21" s="530"/>
      <c r="LY21" s="530"/>
      <c r="LZ21" s="530"/>
      <c r="MA21" s="530"/>
      <c r="MB21" s="530"/>
      <c r="MC21" s="530"/>
      <c r="MD21" s="530"/>
      <c r="ME21" s="530"/>
      <c r="MF21" s="530"/>
      <c r="MG21" s="530"/>
      <c r="MH21" s="530"/>
      <c r="MI21" s="530"/>
      <c r="MJ21" s="530"/>
      <c r="MK21" s="530"/>
      <c r="ML21" s="530"/>
      <c r="MM21" s="530"/>
      <c r="MN21" s="530"/>
      <c r="MO21" s="530"/>
      <c r="MP21" s="530"/>
      <c r="MQ21" s="530"/>
      <c r="MR21" s="530"/>
      <c r="MS21" s="530"/>
      <c r="MT21" s="530"/>
      <c r="MU21" s="530"/>
      <c r="MV21" s="530"/>
      <c r="MW21" s="530"/>
      <c r="MX21" s="530"/>
      <c r="MY21" s="530"/>
      <c r="MZ21" s="530"/>
      <c r="NA21" s="530"/>
      <c r="NB21" s="530"/>
      <c r="NC21" s="530"/>
      <c r="ND21" s="530"/>
      <c r="NE21" s="530"/>
      <c r="NF21" s="530"/>
      <c r="NG21" s="530"/>
      <c r="NH21" s="530"/>
      <c r="NI21" s="530"/>
      <c r="NJ21" s="530"/>
      <c r="NK21" s="530"/>
      <c r="NL21" s="530"/>
      <c r="NM21" s="530"/>
      <c r="NN21" s="530"/>
      <c r="NO21" s="530"/>
      <c r="NP21" s="530"/>
      <c r="NQ21" s="530"/>
      <c r="NR21" s="530"/>
      <c r="NS21" s="530"/>
      <c r="NT21" s="530"/>
      <c r="NU21" s="530"/>
      <c r="NV21" s="530"/>
      <c r="NW21" s="530"/>
      <c r="NX21" s="530"/>
      <c r="NY21" s="530"/>
      <c r="NZ21" s="530"/>
      <c r="OA21" s="530"/>
      <c r="OB21" s="530"/>
      <c r="OC21" s="530"/>
      <c r="OD21" s="530"/>
      <c r="OE21" s="530"/>
      <c r="OF21" s="530"/>
      <c r="OG21" s="530"/>
      <c r="OH21" s="530"/>
      <c r="OI21" s="530"/>
      <c r="OJ21" s="530"/>
      <c r="OK21" s="530"/>
      <c r="OL21" s="530"/>
      <c r="OM21" s="530"/>
      <c r="ON21" s="530"/>
      <c r="OO21" s="530"/>
      <c r="OP21" s="530"/>
      <c r="OQ21" s="530"/>
      <c r="OR21" s="530"/>
      <c r="OS21" s="530"/>
      <c r="OT21" s="530"/>
      <c r="OU21" s="530"/>
      <c r="OV21" s="530"/>
      <c r="OW21" s="530"/>
      <c r="OX21" s="530"/>
      <c r="OY21" s="530"/>
      <c r="OZ21" s="530"/>
      <c r="PA21" s="530"/>
      <c r="PB21" s="530"/>
      <c r="PC21" s="530"/>
      <c r="PD21" s="530"/>
      <c r="PE21" s="530"/>
      <c r="PF21" s="530"/>
      <c r="PG21" s="530"/>
      <c r="PH21" s="530"/>
      <c r="PI21" s="530"/>
      <c r="PJ21" s="530"/>
      <c r="PK21" s="530"/>
      <c r="PL21" s="530"/>
      <c r="PM21" s="530"/>
      <c r="PN21" s="530"/>
      <c r="PO21" s="530"/>
      <c r="PP21" s="530"/>
      <c r="PQ21" s="530"/>
      <c r="PR21" s="530"/>
      <c r="PS21" s="530"/>
      <c r="PT21" s="530"/>
      <c r="PU21" s="530"/>
      <c r="PV21" s="530"/>
      <c r="PW21" s="530"/>
      <c r="PX21" s="530"/>
      <c r="PY21" s="530"/>
      <c r="PZ21" s="530"/>
      <c r="QA21" s="530"/>
      <c r="QB21" s="530"/>
      <c r="QC21" s="530"/>
      <c r="QD21" s="530"/>
      <c r="QE21" s="530"/>
      <c r="QF21" s="530"/>
      <c r="QG21" s="530"/>
      <c r="QH21" s="530"/>
      <c r="QI21" s="530"/>
      <c r="QJ21" s="530"/>
      <c r="QK21" s="530"/>
      <c r="QL21" s="530"/>
      <c r="QM21" s="530"/>
      <c r="QN21" s="530"/>
      <c r="QO21" s="530"/>
      <c r="QP21" s="530"/>
      <c r="QQ21" s="530"/>
      <c r="QR21" s="530"/>
      <c r="QS21" s="530"/>
      <c r="QT21" s="530"/>
      <c r="QU21" s="530"/>
      <c r="QV21" s="530"/>
      <c r="QW21" s="530"/>
      <c r="QX21" s="530"/>
      <c r="QY21" s="530"/>
      <c r="QZ21" s="530"/>
      <c r="RA21" s="530"/>
      <c r="RB21" s="530"/>
      <c r="RC21" s="530"/>
      <c r="RD21" s="530"/>
      <c r="RE21" s="530"/>
      <c r="RF21" s="530"/>
      <c r="RG21" s="530"/>
      <c r="RH21" s="530"/>
      <c r="RI21" s="530"/>
      <c r="RJ21" s="530"/>
      <c r="RK21" s="530"/>
      <c r="RL21" s="530"/>
      <c r="RM21" s="530"/>
      <c r="RN21" s="530"/>
      <c r="RO21" s="530"/>
      <c r="RP21" s="530"/>
      <c r="RQ21" s="530"/>
      <c r="RR21" s="530"/>
      <c r="RS21" s="530"/>
      <c r="RT21" s="530"/>
      <c r="RU21" s="530"/>
      <c r="RV21" s="530"/>
      <c r="RW21" s="530"/>
      <c r="RX21" s="530"/>
    </row>
    <row r="22" spans="1:492" s="531" customFormat="1" ht="20.149999999999999" customHeight="1" thickBot="1">
      <c r="A22" s="548" t="s">
        <v>119</v>
      </c>
      <c r="B22" s="573" t="s">
        <v>120</v>
      </c>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59"/>
      <c r="AN22" s="529"/>
      <c r="AO22" s="529"/>
      <c r="AP22" s="529"/>
      <c r="AQ22" s="560"/>
      <c r="AR22" s="529"/>
      <c r="AS22" s="529"/>
      <c r="AT22" s="529"/>
      <c r="AU22" s="529"/>
      <c r="AV22" s="524"/>
      <c r="AW22" s="529"/>
      <c r="AX22" s="529"/>
      <c r="AY22" s="529"/>
      <c r="AZ22" s="529"/>
      <c r="BA22" s="535"/>
      <c r="BB22" s="559"/>
      <c r="BC22" s="529"/>
      <c r="BD22" s="529"/>
      <c r="BE22" s="529"/>
      <c r="BF22" s="560"/>
      <c r="BG22" s="529"/>
      <c r="BH22" s="529"/>
      <c r="BI22" s="529"/>
      <c r="BJ22" s="529"/>
      <c r="BK22" s="560"/>
      <c r="BL22" s="529"/>
      <c r="BM22" s="760">
        <v>-2.2000000000000002</v>
      </c>
      <c r="BN22" s="760">
        <f>-7.9-BM22-BL22</f>
        <v>-5.7</v>
      </c>
      <c r="BO22" s="529">
        <f>-5.1-BN22-BM22</f>
        <v>2.8000000000000007</v>
      </c>
      <c r="BP22" s="579">
        <f>SUM(BL22:BO22)</f>
        <v>-5.0999999999999996</v>
      </c>
      <c r="BQ22" s="760">
        <v>-1.5</v>
      </c>
      <c r="BR22" s="760"/>
      <c r="BS22" s="760"/>
      <c r="BT22" s="529"/>
      <c r="BU22" s="579">
        <f>SUM(BQ22:BT22)</f>
        <v>-1.5</v>
      </c>
      <c r="BV22" s="530"/>
      <c r="BW22" s="529"/>
      <c r="BX22" s="530"/>
      <c r="BY22" s="530"/>
      <c r="BZ22" s="530"/>
      <c r="CA22" s="530"/>
      <c r="CB22" s="530"/>
      <c r="CC22" s="530"/>
      <c r="CD22" s="530"/>
      <c r="CE22" s="530"/>
      <c r="CF22" s="530"/>
      <c r="CG22" s="530"/>
      <c r="CH22" s="530"/>
      <c r="CI22" s="530"/>
      <c r="CJ22" s="530"/>
      <c r="CK22" s="530"/>
      <c r="CL22" s="530"/>
      <c r="CM22" s="530"/>
      <c r="CN22" s="530"/>
      <c r="CO22" s="530"/>
      <c r="CP22" s="530"/>
      <c r="CQ22" s="530"/>
      <c r="CR22" s="530"/>
      <c r="CS22" s="530"/>
      <c r="CT22" s="530"/>
      <c r="CU22" s="530"/>
      <c r="CV22" s="530"/>
      <c r="CW22" s="530"/>
      <c r="CX22" s="530"/>
      <c r="CY22" s="530"/>
      <c r="CZ22" s="530"/>
      <c r="DA22" s="530"/>
      <c r="DB22" s="530"/>
      <c r="DC22" s="530"/>
      <c r="DD22" s="530"/>
      <c r="DE22" s="530"/>
      <c r="DF22" s="530"/>
      <c r="DG22" s="530"/>
      <c r="DH22" s="530"/>
      <c r="DI22" s="530"/>
      <c r="DJ22" s="530"/>
      <c r="DK22" s="530"/>
      <c r="DL22" s="530"/>
      <c r="DM22" s="530"/>
      <c r="DN22" s="530"/>
      <c r="DO22" s="530"/>
      <c r="DP22" s="530"/>
      <c r="DQ22" s="530"/>
      <c r="DR22" s="530"/>
      <c r="DS22" s="530"/>
      <c r="DT22" s="530"/>
      <c r="DU22" s="530"/>
      <c r="DV22" s="530"/>
      <c r="DW22" s="530"/>
      <c r="DX22" s="530"/>
      <c r="DY22" s="530"/>
      <c r="DZ22" s="530"/>
      <c r="EA22" s="530"/>
      <c r="EB22" s="530"/>
      <c r="EC22" s="530"/>
      <c r="ED22" s="530"/>
      <c r="EE22" s="530"/>
      <c r="EF22" s="530"/>
      <c r="EG22" s="530"/>
      <c r="EH22" s="530"/>
      <c r="EI22" s="530"/>
      <c r="EJ22" s="530"/>
      <c r="EK22" s="530"/>
      <c r="EL22" s="530"/>
      <c r="EM22" s="530"/>
      <c r="EN22" s="530"/>
      <c r="EO22" s="530"/>
      <c r="EP22" s="530"/>
      <c r="EQ22" s="530"/>
      <c r="ER22" s="530"/>
      <c r="ES22" s="530"/>
      <c r="ET22" s="530"/>
      <c r="EU22" s="530"/>
      <c r="EV22" s="530"/>
      <c r="EW22" s="530"/>
      <c r="EX22" s="530"/>
      <c r="EY22" s="530"/>
      <c r="EZ22" s="530"/>
      <c r="FA22" s="530"/>
      <c r="FB22" s="530"/>
      <c r="FC22" s="530"/>
      <c r="FD22" s="530"/>
      <c r="FE22" s="530"/>
      <c r="FF22" s="530"/>
      <c r="FG22" s="530"/>
      <c r="FH22" s="530"/>
      <c r="FI22" s="530"/>
      <c r="FJ22" s="530"/>
      <c r="FK22" s="530"/>
      <c r="FL22" s="530"/>
      <c r="FM22" s="530"/>
      <c r="FN22" s="530"/>
      <c r="FO22" s="530"/>
      <c r="FP22" s="530"/>
      <c r="FQ22" s="530"/>
      <c r="FR22" s="530"/>
      <c r="FS22" s="530"/>
      <c r="FT22" s="530"/>
      <c r="FU22" s="530"/>
      <c r="FV22" s="530"/>
      <c r="FW22" s="530"/>
      <c r="FX22" s="530"/>
      <c r="FY22" s="530"/>
      <c r="FZ22" s="530"/>
      <c r="GA22" s="530"/>
      <c r="GB22" s="530"/>
      <c r="GC22" s="530"/>
      <c r="GD22" s="530"/>
      <c r="GE22" s="530"/>
      <c r="GF22" s="530"/>
      <c r="GG22" s="530"/>
      <c r="GH22" s="530"/>
      <c r="GI22" s="530"/>
      <c r="GJ22" s="530"/>
      <c r="GK22" s="530"/>
      <c r="GL22" s="530"/>
      <c r="GM22" s="530"/>
      <c r="GN22" s="530"/>
      <c r="GO22" s="530"/>
      <c r="GP22" s="530"/>
      <c r="GQ22" s="530"/>
      <c r="GR22" s="530"/>
      <c r="GS22" s="530"/>
      <c r="GT22" s="530"/>
      <c r="GU22" s="530"/>
      <c r="GV22" s="530"/>
      <c r="GW22" s="530"/>
      <c r="GX22" s="530"/>
      <c r="GY22" s="530"/>
      <c r="GZ22" s="530"/>
      <c r="HA22" s="530"/>
      <c r="HB22" s="530"/>
      <c r="HC22" s="530"/>
      <c r="HD22" s="530"/>
      <c r="HE22" s="530"/>
      <c r="HF22" s="530"/>
      <c r="HG22" s="530"/>
      <c r="HH22" s="530"/>
      <c r="HI22" s="530"/>
      <c r="HJ22" s="530"/>
      <c r="HK22" s="530"/>
      <c r="HL22" s="530"/>
      <c r="HM22" s="530"/>
      <c r="HN22" s="530"/>
      <c r="HO22" s="530"/>
      <c r="HP22" s="530"/>
      <c r="HQ22" s="530"/>
      <c r="HR22" s="530"/>
      <c r="HS22" s="530"/>
      <c r="HT22" s="530"/>
      <c r="HU22" s="530"/>
      <c r="HV22" s="530"/>
      <c r="HW22" s="530"/>
      <c r="HX22" s="530"/>
      <c r="HY22" s="530"/>
      <c r="HZ22" s="530"/>
      <c r="IA22" s="530"/>
      <c r="IB22" s="530"/>
      <c r="IC22" s="530"/>
      <c r="ID22" s="530"/>
      <c r="IE22" s="530"/>
      <c r="IF22" s="530"/>
      <c r="IG22" s="530"/>
      <c r="IH22" s="530"/>
      <c r="II22" s="530"/>
      <c r="IJ22" s="530"/>
      <c r="IK22" s="530"/>
      <c r="IL22" s="530"/>
      <c r="IM22" s="530"/>
      <c r="IN22" s="530"/>
      <c r="IO22" s="530"/>
      <c r="IP22" s="530"/>
      <c r="IQ22" s="530"/>
      <c r="IR22" s="530"/>
      <c r="IS22" s="530"/>
      <c r="IT22" s="530"/>
      <c r="IU22" s="530"/>
      <c r="IV22" s="530"/>
      <c r="IW22" s="530"/>
      <c r="IX22" s="530"/>
      <c r="IY22" s="530"/>
      <c r="IZ22" s="530"/>
      <c r="JA22" s="530"/>
      <c r="JB22" s="530"/>
      <c r="JC22" s="530"/>
      <c r="JD22" s="530"/>
      <c r="JE22" s="530"/>
      <c r="JF22" s="530"/>
      <c r="JG22" s="530"/>
      <c r="JH22" s="530"/>
      <c r="JI22" s="530"/>
      <c r="JJ22" s="530"/>
      <c r="JK22" s="530"/>
      <c r="JL22" s="530"/>
      <c r="JM22" s="530"/>
      <c r="JN22" s="530"/>
      <c r="JO22" s="530"/>
      <c r="JP22" s="530"/>
      <c r="JQ22" s="530"/>
      <c r="JR22" s="530"/>
      <c r="JS22" s="530"/>
      <c r="JT22" s="530"/>
      <c r="JU22" s="530"/>
      <c r="JV22" s="530"/>
      <c r="JW22" s="530"/>
      <c r="JX22" s="530"/>
      <c r="JY22" s="530"/>
      <c r="JZ22" s="530"/>
      <c r="KA22" s="530"/>
      <c r="KB22" s="530"/>
      <c r="KC22" s="530"/>
      <c r="KD22" s="530"/>
      <c r="KE22" s="530"/>
      <c r="KF22" s="530"/>
      <c r="KG22" s="530"/>
      <c r="KH22" s="530"/>
      <c r="KI22" s="530"/>
      <c r="KJ22" s="530"/>
      <c r="KK22" s="530"/>
      <c r="KL22" s="530"/>
      <c r="KM22" s="530"/>
      <c r="KN22" s="530"/>
      <c r="KO22" s="530"/>
      <c r="KP22" s="530"/>
      <c r="KQ22" s="530"/>
      <c r="KR22" s="530"/>
      <c r="KS22" s="530"/>
      <c r="KT22" s="530"/>
      <c r="KU22" s="530"/>
      <c r="KV22" s="530"/>
      <c r="KW22" s="530"/>
      <c r="KX22" s="530"/>
      <c r="KY22" s="530"/>
      <c r="KZ22" s="530"/>
      <c r="LA22" s="530"/>
      <c r="LB22" s="530"/>
      <c r="LC22" s="530"/>
      <c r="LD22" s="530"/>
      <c r="LE22" s="530"/>
      <c r="LF22" s="530"/>
      <c r="LG22" s="530"/>
      <c r="LH22" s="530"/>
      <c r="LI22" s="530"/>
      <c r="LJ22" s="530"/>
      <c r="LK22" s="530"/>
      <c r="LL22" s="530"/>
      <c r="LM22" s="530"/>
      <c r="LN22" s="530"/>
      <c r="LO22" s="530"/>
      <c r="LP22" s="530"/>
      <c r="LQ22" s="530"/>
      <c r="LR22" s="530"/>
      <c r="LS22" s="530"/>
      <c r="LT22" s="530"/>
      <c r="LU22" s="530"/>
      <c r="LV22" s="530"/>
      <c r="LW22" s="530"/>
      <c r="LX22" s="530"/>
      <c r="LY22" s="530"/>
      <c r="LZ22" s="530"/>
      <c r="MA22" s="530"/>
      <c r="MB22" s="530"/>
      <c r="MC22" s="530"/>
      <c r="MD22" s="530"/>
      <c r="ME22" s="530"/>
      <c r="MF22" s="530"/>
      <c r="MG22" s="530"/>
      <c r="MH22" s="530"/>
      <c r="MI22" s="530"/>
      <c r="MJ22" s="530"/>
      <c r="MK22" s="530"/>
      <c r="ML22" s="530"/>
      <c r="MM22" s="530"/>
      <c r="MN22" s="530"/>
      <c r="MO22" s="530"/>
      <c r="MP22" s="530"/>
      <c r="MQ22" s="530"/>
      <c r="MR22" s="530"/>
      <c r="MS22" s="530"/>
      <c r="MT22" s="530"/>
      <c r="MU22" s="530"/>
      <c r="MV22" s="530"/>
      <c r="MW22" s="530"/>
      <c r="MX22" s="530"/>
      <c r="MY22" s="530"/>
      <c r="MZ22" s="530"/>
      <c r="NA22" s="530"/>
      <c r="NB22" s="530"/>
      <c r="NC22" s="530"/>
      <c r="ND22" s="530"/>
      <c r="NE22" s="530"/>
      <c r="NF22" s="530"/>
      <c r="NG22" s="530"/>
      <c r="NH22" s="530"/>
      <c r="NI22" s="530"/>
      <c r="NJ22" s="530"/>
      <c r="NK22" s="530"/>
      <c r="NL22" s="530"/>
      <c r="NM22" s="530"/>
      <c r="NN22" s="530"/>
      <c r="NO22" s="530"/>
      <c r="NP22" s="530"/>
      <c r="NQ22" s="530"/>
      <c r="NR22" s="530"/>
      <c r="NS22" s="530"/>
      <c r="NT22" s="530"/>
      <c r="NU22" s="530"/>
      <c r="NV22" s="530"/>
      <c r="NW22" s="530"/>
      <c r="NX22" s="530"/>
      <c r="NY22" s="530"/>
      <c r="NZ22" s="530"/>
      <c r="OA22" s="530"/>
      <c r="OB22" s="530"/>
      <c r="OC22" s="530"/>
      <c r="OD22" s="530"/>
      <c r="OE22" s="530"/>
      <c r="OF22" s="530"/>
      <c r="OG22" s="530"/>
      <c r="OH22" s="530"/>
      <c r="OI22" s="530"/>
      <c r="OJ22" s="530"/>
      <c r="OK22" s="530"/>
      <c r="OL22" s="530"/>
      <c r="OM22" s="530"/>
      <c r="ON22" s="530"/>
      <c r="OO22" s="530"/>
      <c r="OP22" s="530"/>
      <c r="OQ22" s="530"/>
      <c r="OR22" s="530"/>
      <c r="OS22" s="530"/>
      <c r="OT22" s="530"/>
      <c r="OU22" s="530"/>
      <c r="OV22" s="530"/>
      <c r="OW22" s="530"/>
      <c r="OX22" s="530"/>
      <c r="OY22" s="530"/>
      <c r="OZ22" s="530"/>
      <c r="PA22" s="530"/>
      <c r="PB22" s="530"/>
      <c r="PC22" s="530"/>
      <c r="PD22" s="530"/>
      <c r="PE22" s="530"/>
      <c r="PF22" s="530"/>
      <c r="PG22" s="530"/>
      <c r="PH22" s="530"/>
      <c r="PI22" s="530"/>
      <c r="PJ22" s="530"/>
      <c r="PK22" s="530"/>
      <c r="PL22" s="530"/>
      <c r="PM22" s="530"/>
      <c r="PN22" s="530"/>
      <c r="PO22" s="530"/>
      <c r="PP22" s="530"/>
      <c r="PQ22" s="530"/>
      <c r="PR22" s="530"/>
      <c r="PS22" s="530"/>
      <c r="PT22" s="530"/>
      <c r="PU22" s="530"/>
      <c r="PV22" s="530"/>
      <c r="PW22" s="530"/>
      <c r="PX22" s="530"/>
      <c r="PY22" s="530"/>
      <c r="PZ22" s="530"/>
      <c r="QA22" s="530"/>
      <c r="QB22" s="530"/>
      <c r="QC22" s="530"/>
      <c r="QD22" s="530"/>
      <c r="QE22" s="530"/>
      <c r="QF22" s="530"/>
      <c r="QG22" s="530"/>
      <c r="QH22" s="530"/>
      <c r="QI22" s="530"/>
      <c r="QJ22" s="530"/>
      <c r="QK22" s="530"/>
      <c r="QL22" s="530"/>
      <c r="QM22" s="530"/>
      <c r="QN22" s="530"/>
      <c r="QO22" s="530"/>
      <c r="QP22" s="530"/>
      <c r="QQ22" s="530"/>
      <c r="QR22" s="530"/>
      <c r="QS22" s="530"/>
      <c r="QT22" s="530"/>
      <c r="QU22" s="530"/>
      <c r="QV22" s="530"/>
      <c r="QW22" s="530"/>
      <c r="QX22" s="530"/>
      <c r="QY22" s="530"/>
      <c r="QZ22" s="530"/>
      <c r="RA22" s="530"/>
      <c r="RB22" s="530"/>
      <c r="RC22" s="530"/>
      <c r="RD22" s="530"/>
      <c r="RE22" s="530"/>
      <c r="RF22" s="530"/>
      <c r="RG22" s="530"/>
      <c r="RH22" s="530"/>
      <c r="RI22" s="530"/>
      <c r="RJ22" s="530"/>
      <c r="RK22" s="530"/>
      <c r="RL22" s="530"/>
      <c r="RM22" s="530"/>
      <c r="RN22" s="530"/>
      <c r="RO22" s="530"/>
      <c r="RP22" s="530"/>
      <c r="RQ22" s="530"/>
      <c r="RR22" s="530"/>
      <c r="RS22" s="530"/>
      <c r="RT22" s="530"/>
      <c r="RU22" s="530"/>
      <c r="RV22" s="530"/>
      <c r="RW22" s="530"/>
      <c r="RX22" s="530"/>
    </row>
    <row r="23" spans="1:492" s="65" customFormat="1" ht="20.25" customHeight="1" thickBot="1">
      <c r="A23" s="549" t="s">
        <v>129</v>
      </c>
      <c r="B23" s="574" t="s">
        <v>130</v>
      </c>
      <c r="C23" s="427"/>
      <c r="D23" s="427"/>
      <c r="E23" s="427"/>
      <c r="F23" s="427"/>
      <c r="G23" s="427"/>
      <c r="H23" s="427"/>
      <c r="I23" s="427"/>
      <c r="J23" s="427"/>
      <c r="K23" s="427"/>
      <c r="L23" s="427"/>
      <c r="M23" s="427"/>
      <c r="N23" s="427"/>
      <c r="O23" s="427"/>
      <c r="P23" s="427"/>
      <c r="Q23" s="427"/>
      <c r="R23" s="427"/>
      <c r="S23" s="427"/>
      <c r="T23" s="427"/>
      <c r="U23" s="427"/>
      <c r="V23" s="427"/>
      <c r="W23" s="427"/>
      <c r="X23" s="427"/>
      <c r="Y23" s="427"/>
      <c r="Z23" s="427"/>
      <c r="AA23" s="427"/>
      <c r="AB23" s="427"/>
      <c r="AC23" s="427"/>
      <c r="AD23" s="427"/>
      <c r="AE23" s="427"/>
      <c r="AF23" s="427"/>
      <c r="AG23" s="427"/>
      <c r="AH23" s="427"/>
      <c r="AI23" s="427"/>
      <c r="AJ23" s="427"/>
      <c r="AK23" s="427"/>
      <c r="AL23" s="427"/>
      <c r="AM23" s="562">
        <f>SUM(AM24:AM25)</f>
        <v>435.5</v>
      </c>
      <c r="AN23" s="428">
        <f t="shared" ref="AN23:BF23" si="24">SUM(AN24:AN25)</f>
        <v>475.59999999999997</v>
      </c>
      <c r="AO23" s="428">
        <f t="shared" si="24"/>
        <v>396.5</v>
      </c>
      <c r="AP23" s="428">
        <f t="shared" si="24"/>
        <v>419.40000000000015</v>
      </c>
      <c r="AQ23" s="563">
        <f t="shared" si="24"/>
        <v>1727</v>
      </c>
      <c r="AR23" s="428">
        <f t="shared" si="24"/>
        <v>0</v>
      </c>
      <c r="AS23" s="428">
        <f t="shared" si="24"/>
        <v>0</v>
      </c>
      <c r="AT23" s="428">
        <f t="shared" si="24"/>
        <v>0</v>
      </c>
      <c r="AU23" s="428">
        <f t="shared" si="24"/>
        <v>0</v>
      </c>
      <c r="AV23" s="429">
        <f t="shared" si="24"/>
        <v>0</v>
      </c>
      <c r="AW23" s="428">
        <f t="shared" si="24"/>
        <v>491.2</v>
      </c>
      <c r="AX23" s="428">
        <f t="shared" si="24"/>
        <v>522.5</v>
      </c>
      <c r="AY23" s="428">
        <f t="shared" si="24"/>
        <v>459.00000000000006</v>
      </c>
      <c r="AZ23" s="428">
        <f t="shared" si="24"/>
        <v>494.30000000000013</v>
      </c>
      <c r="BA23" s="554">
        <f t="shared" si="24"/>
        <v>1967</v>
      </c>
      <c r="BB23" s="562">
        <f t="shared" si="24"/>
        <v>462.2</v>
      </c>
      <c r="BC23" s="428">
        <f t="shared" si="24"/>
        <v>394.1</v>
      </c>
      <c r="BD23" s="428">
        <f t="shared" si="24"/>
        <v>505.9</v>
      </c>
      <c r="BE23" s="428">
        <f t="shared" si="24"/>
        <v>524</v>
      </c>
      <c r="BF23" s="563">
        <f t="shared" si="24"/>
        <v>1886.2</v>
      </c>
      <c r="BG23" s="428">
        <f t="shared" ref="BG23:BK23" si="25">SUM(BG24:BG25)</f>
        <v>561.5</v>
      </c>
      <c r="BH23" s="428">
        <f t="shared" si="25"/>
        <v>683.7</v>
      </c>
      <c r="BI23" s="428">
        <f t="shared" si="25"/>
        <v>4131.4000000000005</v>
      </c>
      <c r="BJ23" s="428">
        <f t="shared" si="25"/>
        <v>419.80000000000018</v>
      </c>
      <c r="BK23" s="563">
        <f t="shared" si="25"/>
        <v>5796.4000000000005</v>
      </c>
      <c r="BL23" s="428">
        <f>SUM(BL24:BL26)</f>
        <v>320.3</v>
      </c>
      <c r="BM23" s="761">
        <f>SUM(BM24:BM27)</f>
        <v>425.8</v>
      </c>
      <c r="BN23" s="428">
        <f>SUM(BN24:BN27)</f>
        <v>500.90000000000003</v>
      </c>
      <c r="BO23" s="428">
        <f>SUM(BO24:BO27)</f>
        <v>395.19999999999993</v>
      </c>
      <c r="BP23" s="563">
        <f>SUM(BP24:BP27)</f>
        <v>1642.2</v>
      </c>
      <c r="BQ23" s="428">
        <f>SUM(BQ24:BQ27)</f>
        <v>298.7</v>
      </c>
      <c r="BR23" s="428">
        <f t="shared" ref="BR23:BT23" si="26">SUM(BR24:BR27)</f>
        <v>0</v>
      </c>
      <c r="BS23" s="428">
        <f t="shared" si="26"/>
        <v>0</v>
      </c>
      <c r="BT23" s="428">
        <f t="shared" si="26"/>
        <v>0</v>
      </c>
      <c r="BU23" s="563">
        <f>SUM(BU24:BU27)</f>
        <v>298.7</v>
      </c>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c r="IY23" s="11"/>
      <c r="IZ23" s="11"/>
      <c r="JA23" s="11"/>
      <c r="JB23" s="11"/>
      <c r="JC23" s="11"/>
      <c r="JD23" s="11"/>
      <c r="JE23" s="11"/>
      <c r="JF23" s="11"/>
      <c r="JG23" s="11"/>
      <c r="JH23" s="11"/>
      <c r="JI23" s="11"/>
      <c r="JJ23" s="11"/>
      <c r="JK23" s="11"/>
      <c r="JL23" s="11"/>
      <c r="JM23" s="11"/>
      <c r="JN23" s="11"/>
      <c r="JO23" s="11"/>
      <c r="JP23" s="11"/>
      <c r="JQ23" s="11"/>
      <c r="JR23" s="11"/>
      <c r="JS23" s="11"/>
      <c r="JT23" s="11"/>
      <c r="JU23" s="11"/>
      <c r="JV23" s="11"/>
      <c r="JW23" s="11"/>
      <c r="JX23" s="11"/>
      <c r="JY23" s="11"/>
      <c r="JZ23" s="11"/>
      <c r="KA23" s="11"/>
      <c r="KB23" s="11"/>
      <c r="KC23" s="11"/>
      <c r="KD23" s="11"/>
      <c r="KE23" s="11"/>
      <c r="KF23" s="11"/>
      <c r="KG23" s="11"/>
      <c r="KH23" s="11"/>
      <c r="KI23" s="11"/>
      <c r="KJ23" s="11"/>
      <c r="KK23" s="11"/>
      <c r="KL23" s="11"/>
      <c r="KM23" s="11"/>
      <c r="KN23" s="11"/>
      <c r="KO23" s="11"/>
      <c r="KP23" s="11"/>
      <c r="KQ23" s="11"/>
      <c r="KR23" s="11"/>
      <c r="KS23" s="11"/>
      <c r="KT23" s="11"/>
      <c r="KU23" s="11"/>
      <c r="KV23" s="11"/>
      <c r="KW23" s="11"/>
      <c r="KX23" s="11"/>
      <c r="KY23" s="11"/>
      <c r="KZ23" s="11"/>
      <c r="LA23" s="11"/>
      <c r="LB23" s="11"/>
      <c r="LC23" s="11"/>
      <c r="LD23" s="11"/>
      <c r="LE23" s="11"/>
      <c r="LF23" s="11"/>
      <c r="LG23" s="11"/>
      <c r="LH23" s="11"/>
      <c r="LI23" s="11"/>
      <c r="LJ23" s="11"/>
      <c r="LK23" s="11"/>
      <c r="LL23" s="11"/>
      <c r="LM23" s="11"/>
      <c r="LN23" s="11"/>
      <c r="LO23" s="11"/>
      <c r="LP23" s="11"/>
      <c r="LQ23" s="11"/>
      <c r="LR23" s="11"/>
      <c r="LS23" s="11"/>
      <c r="LT23" s="11"/>
      <c r="LU23" s="11"/>
      <c r="LV23" s="11"/>
      <c r="LW23" s="11"/>
      <c r="LX23" s="11"/>
      <c r="LY23" s="11"/>
      <c r="LZ23" s="11"/>
      <c r="MA23" s="11"/>
      <c r="MB23" s="11"/>
      <c r="MC23" s="11"/>
      <c r="MD23" s="11"/>
      <c r="ME23" s="11"/>
      <c r="MF23" s="11"/>
      <c r="MG23" s="11"/>
      <c r="MH23" s="11"/>
      <c r="MI23" s="11"/>
      <c r="MJ23" s="11"/>
      <c r="MK23" s="11"/>
      <c r="ML23" s="11"/>
      <c r="MM23" s="11"/>
      <c r="MN23" s="11"/>
      <c r="MO23" s="11"/>
      <c r="MP23" s="11"/>
      <c r="MQ23" s="11"/>
      <c r="MR23" s="11"/>
      <c r="MS23" s="11"/>
      <c r="MT23" s="11"/>
      <c r="MU23" s="11"/>
      <c r="MV23" s="11"/>
      <c r="MW23" s="11"/>
      <c r="MX23" s="11"/>
      <c r="MY23" s="11"/>
      <c r="MZ23" s="11"/>
      <c r="NA23" s="11"/>
      <c r="NB23" s="11"/>
      <c r="NC23" s="11"/>
      <c r="ND23" s="11"/>
      <c r="NE23" s="11"/>
      <c r="NF23" s="11"/>
      <c r="NG23" s="11"/>
      <c r="NH23" s="11"/>
      <c r="NI23" s="11"/>
      <c r="NJ23" s="11"/>
      <c r="NK23" s="11"/>
      <c r="NL23" s="11"/>
      <c r="NM23" s="11"/>
      <c r="NN23" s="11"/>
      <c r="NO23" s="11"/>
      <c r="NP23" s="11"/>
      <c r="NQ23" s="11"/>
      <c r="NR23" s="11"/>
      <c r="NS23" s="11"/>
      <c r="NT23" s="11"/>
      <c r="NU23" s="11"/>
      <c r="NV23" s="11"/>
      <c r="NW23" s="11"/>
      <c r="NX23" s="11"/>
      <c r="NY23" s="11"/>
      <c r="NZ23" s="11"/>
      <c r="OA23" s="11"/>
      <c r="OB23" s="11"/>
      <c r="OC23" s="11"/>
      <c r="OD23" s="11"/>
      <c r="OE23" s="11"/>
      <c r="OF23" s="11"/>
      <c r="OG23" s="11"/>
      <c r="OH23" s="11"/>
      <c r="OI23" s="11"/>
      <c r="OJ23" s="11"/>
      <c r="OK23" s="11"/>
      <c r="OL23" s="11"/>
      <c r="OM23" s="11"/>
      <c r="ON23" s="11"/>
      <c r="OO23" s="11"/>
      <c r="OP23" s="11"/>
      <c r="OQ23" s="11"/>
      <c r="OR23" s="11"/>
      <c r="OS23" s="11"/>
      <c r="OT23" s="11"/>
      <c r="OU23" s="11"/>
      <c r="OV23" s="11"/>
      <c r="OW23" s="11"/>
      <c r="OX23" s="11"/>
      <c r="OY23" s="11"/>
      <c r="OZ23" s="11"/>
      <c r="PA23" s="11"/>
      <c r="PB23" s="11"/>
      <c r="PC23" s="11"/>
      <c r="PD23" s="11"/>
      <c r="PE23" s="11"/>
      <c r="PF23" s="11"/>
      <c r="PG23" s="11"/>
      <c r="PH23" s="11"/>
      <c r="PI23" s="11"/>
      <c r="PJ23" s="11"/>
      <c r="PK23" s="11"/>
      <c r="PL23" s="11"/>
      <c r="PM23" s="11"/>
      <c r="PN23" s="11"/>
      <c r="PO23" s="11"/>
      <c r="PP23" s="11"/>
      <c r="PQ23" s="11"/>
      <c r="PR23" s="11"/>
      <c r="PS23" s="11"/>
      <c r="PT23" s="11"/>
      <c r="PU23" s="11"/>
      <c r="PV23" s="11"/>
      <c r="PW23" s="11"/>
      <c r="PX23" s="11"/>
      <c r="PY23" s="11"/>
      <c r="PZ23" s="11"/>
      <c r="QA23" s="11"/>
      <c r="QB23" s="11"/>
      <c r="QC23" s="11"/>
      <c r="QD23" s="11"/>
      <c r="QE23" s="11"/>
      <c r="QF23" s="11"/>
      <c r="QG23" s="11"/>
      <c r="QH23" s="11"/>
      <c r="QI23" s="11"/>
      <c r="QJ23" s="11"/>
      <c r="QK23" s="11"/>
      <c r="QL23" s="11"/>
      <c r="QM23" s="11"/>
      <c r="QN23" s="11"/>
      <c r="QO23" s="11"/>
      <c r="QP23" s="11"/>
      <c r="QQ23" s="11"/>
      <c r="QR23" s="11"/>
      <c r="QS23" s="11"/>
      <c r="QT23" s="11"/>
      <c r="QU23" s="11"/>
      <c r="QV23" s="11"/>
      <c r="QW23" s="11"/>
      <c r="QX23" s="11"/>
      <c r="QY23" s="11"/>
      <c r="QZ23" s="11"/>
      <c r="RA23" s="11"/>
      <c r="RB23" s="11"/>
      <c r="RC23" s="11"/>
      <c r="RD23" s="11"/>
      <c r="RE23" s="11"/>
      <c r="RF23" s="11"/>
      <c r="RG23" s="11"/>
      <c r="RH23" s="11"/>
      <c r="RI23" s="11"/>
      <c r="RJ23" s="11"/>
      <c r="RK23" s="11"/>
      <c r="RL23" s="11"/>
      <c r="RM23" s="11"/>
      <c r="RN23" s="11"/>
      <c r="RO23" s="11"/>
      <c r="RP23" s="11"/>
      <c r="RQ23" s="11"/>
      <c r="RR23" s="11"/>
      <c r="RS23" s="11"/>
      <c r="RT23" s="11"/>
      <c r="RU23" s="11"/>
      <c r="RV23" s="11"/>
      <c r="RW23" s="11"/>
      <c r="RX23" s="11"/>
    </row>
    <row r="24" spans="1:492" s="531" customFormat="1" ht="20.149999999999999" customHeight="1">
      <c r="A24" s="548" t="s">
        <v>113</v>
      </c>
      <c r="B24" s="573" t="s">
        <v>114</v>
      </c>
      <c r="C24" s="528"/>
      <c r="D24" s="528"/>
      <c r="E24" s="528"/>
      <c r="F24" s="528"/>
      <c r="G24" s="528"/>
      <c r="H24" s="528"/>
      <c r="I24" s="528"/>
      <c r="J24" s="528"/>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528"/>
      <c r="AJ24" s="528"/>
      <c r="AK24" s="528"/>
      <c r="AL24" s="528"/>
      <c r="AM24" s="559">
        <v>310.7</v>
      </c>
      <c r="AN24" s="529">
        <v>334.7</v>
      </c>
      <c r="AO24" s="529">
        <v>312.39999999999998</v>
      </c>
      <c r="AP24" s="529">
        <v>257.10000000000014</v>
      </c>
      <c r="AQ24" s="560">
        <f t="shared" ref="AQ24:AQ30" si="27">SUM(AM24:AP24)</f>
        <v>1214.9000000000001</v>
      </c>
      <c r="AR24" s="529"/>
      <c r="AS24" s="529"/>
      <c r="AT24" s="529"/>
      <c r="AU24" s="529"/>
      <c r="AV24" s="524"/>
      <c r="AW24" s="529">
        <v>360.4</v>
      </c>
      <c r="AX24" s="529">
        <v>376.4</v>
      </c>
      <c r="AY24" s="529">
        <v>377.20000000000005</v>
      </c>
      <c r="AZ24" s="529">
        <v>314.40000000000009</v>
      </c>
      <c r="BA24" s="535">
        <f>SUM(AW24:AZ24)</f>
        <v>1428.4</v>
      </c>
      <c r="BB24" s="559">
        <v>330.2</v>
      </c>
      <c r="BC24" s="529">
        <v>290.7</v>
      </c>
      <c r="BD24" s="529">
        <v>388.1</v>
      </c>
      <c r="BE24" s="529">
        <v>342.5</v>
      </c>
      <c r="BF24" s="560">
        <f>SUM(BB24:BE24)</f>
        <v>1351.5</v>
      </c>
      <c r="BG24" s="529">
        <v>435.8</v>
      </c>
      <c r="BH24" s="529">
        <v>535.90000000000009</v>
      </c>
      <c r="BI24" s="529">
        <v>4040.3</v>
      </c>
      <c r="BJ24" s="529">
        <f>5282.8-SUM(BG24:BI24)</f>
        <v>270.80000000000018</v>
      </c>
      <c r="BK24" s="560">
        <f>SUM(BG24:BJ24)</f>
        <v>5282.8</v>
      </c>
      <c r="BL24" s="529">
        <v>252.4</v>
      </c>
      <c r="BM24" s="523">
        <f>565.5-BL24</f>
        <v>313.10000000000002</v>
      </c>
      <c r="BN24" s="529">
        <f>1018-BM24-BL24</f>
        <v>452.5</v>
      </c>
      <c r="BO24" s="529">
        <f>1210.8-BN24-BM24-BL24</f>
        <v>192.79999999999993</v>
      </c>
      <c r="BP24" s="560">
        <f>SUM(BL24:BO24)</f>
        <v>1210.8</v>
      </c>
      <c r="BQ24" s="529">
        <v>244.6</v>
      </c>
      <c r="BR24" s="523"/>
      <c r="BS24" s="529"/>
      <c r="BT24" s="529"/>
      <c r="BU24" s="560">
        <f>SUM(BQ24:BT24)</f>
        <v>244.6</v>
      </c>
      <c r="BV24" s="530"/>
      <c r="BW24" s="530"/>
      <c r="BX24" s="530"/>
      <c r="BY24" s="530"/>
      <c r="BZ24" s="530"/>
      <c r="CA24" s="530"/>
      <c r="CB24" s="530"/>
      <c r="CC24" s="530"/>
      <c r="CD24" s="530"/>
      <c r="CE24" s="530"/>
      <c r="CF24" s="530"/>
      <c r="CG24" s="530"/>
      <c r="CH24" s="530"/>
      <c r="CI24" s="530"/>
      <c r="CJ24" s="530"/>
      <c r="CK24" s="530"/>
      <c r="CL24" s="530"/>
      <c r="CM24" s="530"/>
      <c r="CN24" s="530"/>
      <c r="CO24" s="530"/>
      <c r="CP24" s="530"/>
      <c r="CQ24" s="530"/>
      <c r="CR24" s="530"/>
      <c r="CS24" s="530"/>
      <c r="CT24" s="530"/>
      <c r="CU24" s="530"/>
      <c r="CV24" s="530"/>
      <c r="CW24" s="530"/>
      <c r="CX24" s="530"/>
      <c r="CY24" s="530"/>
      <c r="CZ24" s="530"/>
      <c r="DA24" s="530"/>
      <c r="DB24" s="530"/>
      <c r="DC24" s="530"/>
      <c r="DD24" s="530"/>
      <c r="DE24" s="530"/>
      <c r="DF24" s="530"/>
      <c r="DG24" s="530"/>
      <c r="DH24" s="530"/>
      <c r="DI24" s="530"/>
      <c r="DJ24" s="530"/>
      <c r="DK24" s="530"/>
      <c r="DL24" s="530"/>
      <c r="DM24" s="530"/>
      <c r="DN24" s="530"/>
      <c r="DO24" s="530"/>
      <c r="DP24" s="530"/>
      <c r="DQ24" s="530"/>
      <c r="DR24" s="530"/>
      <c r="DS24" s="530"/>
      <c r="DT24" s="530"/>
      <c r="DU24" s="530"/>
      <c r="DV24" s="530"/>
      <c r="DW24" s="530"/>
      <c r="DX24" s="530"/>
      <c r="DY24" s="530"/>
      <c r="DZ24" s="530"/>
      <c r="EA24" s="530"/>
      <c r="EB24" s="530"/>
      <c r="EC24" s="530"/>
      <c r="ED24" s="530"/>
      <c r="EE24" s="530"/>
      <c r="EF24" s="530"/>
      <c r="EG24" s="530"/>
      <c r="EH24" s="530"/>
      <c r="EI24" s="530"/>
      <c r="EJ24" s="530"/>
      <c r="EK24" s="530"/>
      <c r="EL24" s="530"/>
      <c r="EM24" s="530"/>
      <c r="EN24" s="530"/>
      <c r="EO24" s="530"/>
      <c r="EP24" s="530"/>
      <c r="EQ24" s="530"/>
      <c r="ER24" s="530"/>
      <c r="ES24" s="530"/>
      <c r="ET24" s="530"/>
      <c r="EU24" s="530"/>
      <c r="EV24" s="530"/>
      <c r="EW24" s="530"/>
      <c r="EX24" s="530"/>
      <c r="EY24" s="530"/>
      <c r="EZ24" s="530"/>
      <c r="FA24" s="530"/>
      <c r="FB24" s="530"/>
      <c r="FC24" s="530"/>
      <c r="FD24" s="530"/>
      <c r="FE24" s="530"/>
      <c r="FF24" s="530"/>
      <c r="FG24" s="530"/>
      <c r="FH24" s="530"/>
      <c r="FI24" s="530"/>
      <c r="FJ24" s="530"/>
      <c r="FK24" s="530"/>
      <c r="FL24" s="530"/>
      <c r="FM24" s="530"/>
      <c r="FN24" s="530"/>
      <c r="FO24" s="530"/>
      <c r="FP24" s="530"/>
      <c r="FQ24" s="530"/>
      <c r="FR24" s="530"/>
      <c r="FS24" s="530"/>
      <c r="FT24" s="530"/>
      <c r="FU24" s="530"/>
      <c r="FV24" s="530"/>
      <c r="FW24" s="530"/>
      <c r="FX24" s="530"/>
      <c r="FY24" s="530"/>
      <c r="FZ24" s="530"/>
      <c r="GA24" s="530"/>
      <c r="GB24" s="530"/>
      <c r="GC24" s="530"/>
      <c r="GD24" s="530"/>
      <c r="GE24" s="530"/>
      <c r="GF24" s="530"/>
      <c r="GG24" s="530"/>
      <c r="GH24" s="530"/>
      <c r="GI24" s="530"/>
      <c r="GJ24" s="530"/>
      <c r="GK24" s="530"/>
      <c r="GL24" s="530"/>
      <c r="GM24" s="530"/>
      <c r="GN24" s="530"/>
      <c r="GO24" s="530"/>
      <c r="GP24" s="530"/>
      <c r="GQ24" s="530"/>
      <c r="GR24" s="530"/>
      <c r="GS24" s="530"/>
      <c r="GT24" s="530"/>
      <c r="GU24" s="530"/>
      <c r="GV24" s="530"/>
      <c r="GW24" s="530"/>
      <c r="GX24" s="530"/>
      <c r="GY24" s="530"/>
      <c r="GZ24" s="530"/>
      <c r="HA24" s="530"/>
      <c r="HB24" s="530"/>
      <c r="HC24" s="530"/>
      <c r="HD24" s="530"/>
      <c r="HE24" s="530"/>
      <c r="HF24" s="530"/>
      <c r="HG24" s="530"/>
      <c r="HH24" s="530"/>
      <c r="HI24" s="530"/>
      <c r="HJ24" s="530"/>
      <c r="HK24" s="530"/>
      <c r="HL24" s="530"/>
      <c r="HM24" s="530"/>
      <c r="HN24" s="530"/>
      <c r="HO24" s="530"/>
      <c r="HP24" s="530"/>
      <c r="HQ24" s="530"/>
      <c r="HR24" s="530"/>
      <c r="HS24" s="530"/>
      <c r="HT24" s="530"/>
      <c r="HU24" s="530"/>
      <c r="HV24" s="530"/>
      <c r="HW24" s="530"/>
      <c r="HX24" s="530"/>
      <c r="HY24" s="530"/>
      <c r="HZ24" s="530"/>
      <c r="IA24" s="530"/>
      <c r="IB24" s="530"/>
      <c r="IC24" s="530"/>
      <c r="ID24" s="530"/>
      <c r="IE24" s="530"/>
      <c r="IF24" s="530"/>
      <c r="IG24" s="530"/>
      <c r="IH24" s="530"/>
      <c r="II24" s="530"/>
      <c r="IJ24" s="530"/>
      <c r="IK24" s="530"/>
      <c r="IL24" s="530"/>
      <c r="IM24" s="530"/>
      <c r="IN24" s="530"/>
      <c r="IO24" s="530"/>
      <c r="IP24" s="530"/>
      <c r="IQ24" s="530"/>
      <c r="IR24" s="530"/>
      <c r="IS24" s="530"/>
      <c r="IT24" s="530"/>
      <c r="IU24" s="530"/>
      <c r="IV24" s="530"/>
      <c r="IW24" s="530"/>
      <c r="IX24" s="530"/>
      <c r="IY24" s="530"/>
      <c r="IZ24" s="530"/>
      <c r="JA24" s="530"/>
      <c r="JB24" s="530"/>
      <c r="JC24" s="530"/>
      <c r="JD24" s="530"/>
      <c r="JE24" s="530"/>
      <c r="JF24" s="530"/>
      <c r="JG24" s="530"/>
      <c r="JH24" s="530"/>
      <c r="JI24" s="530"/>
      <c r="JJ24" s="530"/>
      <c r="JK24" s="530"/>
      <c r="JL24" s="530"/>
      <c r="JM24" s="530"/>
      <c r="JN24" s="530"/>
      <c r="JO24" s="530"/>
      <c r="JP24" s="530"/>
      <c r="JQ24" s="530"/>
      <c r="JR24" s="530"/>
      <c r="JS24" s="530"/>
      <c r="JT24" s="530"/>
      <c r="JU24" s="530"/>
      <c r="JV24" s="530"/>
      <c r="JW24" s="530"/>
      <c r="JX24" s="530"/>
      <c r="JY24" s="530"/>
      <c r="JZ24" s="530"/>
      <c r="KA24" s="530"/>
      <c r="KB24" s="530"/>
      <c r="KC24" s="530"/>
      <c r="KD24" s="530"/>
      <c r="KE24" s="530"/>
      <c r="KF24" s="530"/>
      <c r="KG24" s="530"/>
      <c r="KH24" s="530"/>
      <c r="KI24" s="530"/>
      <c r="KJ24" s="530"/>
      <c r="KK24" s="530"/>
      <c r="KL24" s="530"/>
      <c r="KM24" s="530"/>
      <c r="KN24" s="530"/>
      <c r="KO24" s="530"/>
      <c r="KP24" s="530"/>
      <c r="KQ24" s="530"/>
      <c r="KR24" s="530"/>
      <c r="KS24" s="530"/>
      <c r="KT24" s="530"/>
      <c r="KU24" s="530"/>
      <c r="KV24" s="530"/>
      <c r="KW24" s="530"/>
      <c r="KX24" s="530"/>
      <c r="KY24" s="530"/>
      <c r="KZ24" s="530"/>
      <c r="LA24" s="530"/>
      <c r="LB24" s="530"/>
      <c r="LC24" s="530"/>
      <c r="LD24" s="530"/>
      <c r="LE24" s="530"/>
      <c r="LF24" s="530"/>
      <c r="LG24" s="530"/>
      <c r="LH24" s="530"/>
      <c r="LI24" s="530"/>
      <c r="LJ24" s="530"/>
      <c r="LK24" s="530"/>
      <c r="LL24" s="530"/>
      <c r="LM24" s="530"/>
      <c r="LN24" s="530"/>
      <c r="LO24" s="530"/>
      <c r="LP24" s="530"/>
      <c r="LQ24" s="530"/>
      <c r="LR24" s="530"/>
      <c r="LS24" s="530"/>
      <c r="LT24" s="530"/>
      <c r="LU24" s="530"/>
      <c r="LV24" s="530"/>
      <c r="LW24" s="530"/>
      <c r="LX24" s="530"/>
      <c r="LY24" s="530"/>
      <c r="LZ24" s="530"/>
      <c r="MA24" s="530"/>
      <c r="MB24" s="530"/>
      <c r="MC24" s="530"/>
      <c r="MD24" s="530"/>
      <c r="ME24" s="530"/>
      <c r="MF24" s="530"/>
      <c r="MG24" s="530"/>
      <c r="MH24" s="530"/>
      <c r="MI24" s="530"/>
      <c r="MJ24" s="530"/>
      <c r="MK24" s="530"/>
      <c r="ML24" s="530"/>
      <c r="MM24" s="530"/>
      <c r="MN24" s="530"/>
      <c r="MO24" s="530"/>
      <c r="MP24" s="530"/>
      <c r="MQ24" s="530"/>
      <c r="MR24" s="530"/>
      <c r="MS24" s="530"/>
      <c r="MT24" s="530"/>
      <c r="MU24" s="530"/>
      <c r="MV24" s="530"/>
      <c r="MW24" s="530"/>
      <c r="MX24" s="530"/>
      <c r="MY24" s="530"/>
      <c r="MZ24" s="530"/>
      <c r="NA24" s="530"/>
      <c r="NB24" s="530"/>
      <c r="NC24" s="530"/>
      <c r="ND24" s="530"/>
      <c r="NE24" s="530"/>
      <c r="NF24" s="530"/>
      <c r="NG24" s="530"/>
      <c r="NH24" s="530"/>
      <c r="NI24" s="530"/>
      <c r="NJ24" s="530"/>
      <c r="NK24" s="530"/>
      <c r="NL24" s="530"/>
      <c r="NM24" s="530"/>
      <c r="NN24" s="530"/>
      <c r="NO24" s="530"/>
      <c r="NP24" s="530"/>
      <c r="NQ24" s="530"/>
      <c r="NR24" s="530"/>
      <c r="NS24" s="530"/>
      <c r="NT24" s="530"/>
      <c r="NU24" s="530"/>
      <c r="NV24" s="530"/>
      <c r="NW24" s="530"/>
      <c r="NX24" s="530"/>
      <c r="NY24" s="530"/>
      <c r="NZ24" s="530"/>
      <c r="OA24" s="530"/>
      <c r="OB24" s="530"/>
      <c r="OC24" s="530"/>
      <c r="OD24" s="530"/>
      <c r="OE24" s="530"/>
      <c r="OF24" s="530"/>
      <c r="OG24" s="530"/>
      <c r="OH24" s="530"/>
      <c r="OI24" s="530"/>
      <c r="OJ24" s="530"/>
      <c r="OK24" s="530"/>
      <c r="OL24" s="530"/>
      <c r="OM24" s="530"/>
      <c r="ON24" s="530"/>
      <c r="OO24" s="530"/>
      <c r="OP24" s="530"/>
      <c r="OQ24" s="530"/>
      <c r="OR24" s="530"/>
      <c r="OS24" s="530"/>
      <c r="OT24" s="530"/>
      <c r="OU24" s="530"/>
      <c r="OV24" s="530"/>
      <c r="OW24" s="530"/>
      <c r="OX24" s="530"/>
      <c r="OY24" s="530"/>
      <c r="OZ24" s="530"/>
      <c r="PA24" s="530"/>
      <c r="PB24" s="530"/>
      <c r="PC24" s="530"/>
      <c r="PD24" s="530"/>
      <c r="PE24" s="530"/>
      <c r="PF24" s="530"/>
      <c r="PG24" s="530"/>
      <c r="PH24" s="530"/>
      <c r="PI24" s="530"/>
      <c r="PJ24" s="530"/>
      <c r="PK24" s="530"/>
      <c r="PL24" s="530"/>
      <c r="PM24" s="530"/>
      <c r="PN24" s="530"/>
      <c r="PO24" s="530"/>
      <c r="PP24" s="530"/>
      <c r="PQ24" s="530"/>
      <c r="PR24" s="530"/>
      <c r="PS24" s="530"/>
      <c r="PT24" s="530"/>
      <c r="PU24" s="530"/>
      <c r="PV24" s="530"/>
      <c r="PW24" s="530"/>
      <c r="PX24" s="530"/>
      <c r="PY24" s="530"/>
      <c r="PZ24" s="530"/>
      <c r="QA24" s="530"/>
      <c r="QB24" s="530"/>
      <c r="QC24" s="530"/>
      <c r="QD24" s="530"/>
      <c r="QE24" s="530"/>
      <c r="QF24" s="530"/>
      <c r="QG24" s="530"/>
      <c r="QH24" s="530"/>
      <c r="QI24" s="530"/>
      <c r="QJ24" s="530"/>
      <c r="QK24" s="530"/>
      <c r="QL24" s="530"/>
      <c r="QM24" s="530"/>
      <c r="QN24" s="530"/>
      <c r="QO24" s="530"/>
      <c r="QP24" s="530"/>
      <c r="QQ24" s="530"/>
      <c r="QR24" s="530"/>
      <c r="QS24" s="530"/>
      <c r="QT24" s="530"/>
      <c r="QU24" s="530"/>
      <c r="QV24" s="530"/>
      <c r="QW24" s="530"/>
      <c r="QX24" s="530"/>
      <c r="QY24" s="530"/>
      <c r="QZ24" s="530"/>
      <c r="RA24" s="530"/>
      <c r="RB24" s="530"/>
      <c r="RC24" s="530"/>
      <c r="RD24" s="530"/>
      <c r="RE24" s="530"/>
      <c r="RF24" s="530"/>
      <c r="RG24" s="530"/>
      <c r="RH24" s="530"/>
      <c r="RI24" s="530"/>
      <c r="RJ24" s="530"/>
      <c r="RK24" s="530"/>
      <c r="RL24" s="530"/>
      <c r="RM24" s="530"/>
      <c r="RN24" s="530"/>
      <c r="RO24" s="530"/>
      <c r="RP24" s="530"/>
      <c r="RQ24" s="530"/>
      <c r="RR24" s="530"/>
      <c r="RS24" s="530"/>
      <c r="RT24" s="530"/>
      <c r="RU24" s="530"/>
      <c r="RV24" s="530"/>
      <c r="RW24" s="530"/>
      <c r="RX24" s="530"/>
    </row>
    <row r="25" spans="1:492" s="531" customFormat="1" ht="20.149999999999999" customHeight="1">
      <c r="A25" s="548" t="s">
        <v>115</v>
      </c>
      <c r="B25" s="573" t="s">
        <v>116</v>
      </c>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59">
        <v>124.8</v>
      </c>
      <c r="AN25" s="529">
        <v>140.89999999999998</v>
      </c>
      <c r="AO25" s="529">
        <v>84.100000000000023</v>
      </c>
      <c r="AP25" s="529">
        <v>162.30000000000001</v>
      </c>
      <c r="AQ25" s="560">
        <f t="shared" si="27"/>
        <v>512.1</v>
      </c>
      <c r="AR25" s="529"/>
      <c r="AS25" s="529"/>
      <c r="AT25" s="529"/>
      <c r="AU25" s="529"/>
      <c r="AV25" s="524"/>
      <c r="AW25" s="529">
        <v>130.80000000000001</v>
      </c>
      <c r="AX25" s="529">
        <v>146.09999999999997</v>
      </c>
      <c r="AY25" s="529">
        <v>81.800000000000011</v>
      </c>
      <c r="AZ25" s="529">
        <v>179.90000000000003</v>
      </c>
      <c r="BA25" s="535">
        <f>SUM(AW25:AZ25)</f>
        <v>538.6</v>
      </c>
      <c r="BB25" s="559">
        <v>132</v>
      </c>
      <c r="BC25" s="529">
        <v>103.4</v>
      </c>
      <c r="BD25" s="529">
        <v>117.79999999999998</v>
      </c>
      <c r="BE25" s="529">
        <v>181.50000000000006</v>
      </c>
      <c r="BF25" s="560">
        <f>SUM(BB25:BE25)</f>
        <v>534.70000000000005</v>
      </c>
      <c r="BG25" s="529">
        <v>125.7</v>
      </c>
      <c r="BH25" s="529">
        <v>147.80000000000001</v>
      </c>
      <c r="BI25" s="529">
        <v>91.100000000000009</v>
      </c>
      <c r="BJ25" s="529">
        <f>513.6-SUM(BG25:BI25)</f>
        <v>149</v>
      </c>
      <c r="BK25" s="560">
        <f>SUM(BG25:BJ25)</f>
        <v>513.6</v>
      </c>
      <c r="BL25" s="529">
        <v>67.900000000000006</v>
      </c>
      <c r="BM25" s="523">
        <f>182.7-BL25</f>
        <v>114.79999999999998</v>
      </c>
      <c r="BN25" s="529">
        <f>232.4-BM25-BL25</f>
        <v>49.700000000000017</v>
      </c>
      <c r="BO25" s="529">
        <f>395.2-BN25-BM25-BL25</f>
        <v>162.80000000000001</v>
      </c>
      <c r="BP25" s="560">
        <f>SUM(BL25:BO25)</f>
        <v>395.20000000000005</v>
      </c>
      <c r="BQ25" s="529">
        <v>53.9</v>
      </c>
      <c r="BR25" s="523"/>
      <c r="BS25" s="529"/>
      <c r="BT25" s="529"/>
      <c r="BU25" s="560">
        <f>SUM(BQ25:BT25)</f>
        <v>53.9</v>
      </c>
      <c r="BV25" s="530"/>
      <c r="BW25" s="530"/>
      <c r="BX25" s="530"/>
      <c r="BY25" s="530"/>
      <c r="BZ25" s="530"/>
      <c r="CA25" s="530"/>
      <c r="CB25" s="530"/>
      <c r="CC25" s="530"/>
      <c r="CD25" s="530"/>
      <c r="CE25" s="530"/>
      <c r="CF25" s="530"/>
      <c r="CG25" s="530"/>
      <c r="CH25" s="530"/>
      <c r="CI25" s="530"/>
      <c r="CJ25" s="530"/>
      <c r="CK25" s="530"/>
      <c r="CL25" s="530"/>
      <c r="CM25" s="530"/>
      <c r="CN25" s="530"/>
      <c r="CO25" s="530"/>
      <c r="CP25" s="530"/>
      <c r="CQ25" s="530"/>
      <c r="CR25" s="530"/>
      <c r="CS25" s="530"/>
      <c r="CT25" s="530"/>
      <c r="CU25" s="530"/>
      <c r="CV25" s="530"/>
      <c r="CW25" s="530"/>
      <c r="CX25" s="530"/>
      <c r="CY25" s="530"/>
      <c r="CZ25" s="530"/>
      <c r="DA25" s="530"/>
      <c r="DB25" s="530"/>
      <c r="DC25" s="530"/>
      <c r="DD25" s="530"/>
      <c r="DE25" s="530"/>
      <c r="DF25" s="530"/>
      <c r="DG25" s="530"/>
      <c r="DH25" s="530"/>
      <c r="DI25" s="530"/>
      <c r="DJ25" s="530"/>
      <c r="DK25" s="530"/>
      <c r="DL25" s="530"/>
      <c r="DM25" s="530"/>
      <c r="DN25" s="530"/>
      <c r="DO25" s="530"/>
      <c r="DP25" s="530"/>
      <c r="DQ25" s="530"/>
      <c r="DR25" s="530"/>
      <c r="DS25" s="530"/>
      <c r="DT25" s="530"/>
      <c r="DU25" s="530"/>
      <c r="DV25" s="530"/>
      <c r="DW25" s="530"/>
      <c r="DX25" s="530"/>
      <c r="DY25" s="530"/>
      <c r="DZ25" s="530"/>
      <c r="EA25" s="530"/>
      <c r="EB25" s="530"/>
      <c r="EC25" s="530"/>
      <c r="ED25" s="530"/>
      <c r="EE25" s="530"/>
      <c r="EF25" s="530"/>
      <c r="EG25" s="530"/>
      <c r="EH25" s="530"/>
      <c r="EI25" s="530"/>
      <c r="EJ25" s="530"/>
      <c r="EK25" s="530"/>
      <c r="EL25" s="530"/>
      <c r="EM25" s="530"/>
      <c r="EN25" s="530"/>
      <c r="EO25" s="530"/>
      <c r="EP25" s="530"/>
      <c r="EQ25" s="530"/>
      <c r="ER25" s="530"/>
      <c r="ES25" s="530"/>
      <c r="ET25" s="530"/>
      <c r="EU25" s="530"/>
      <c r="EV25" s="530"/>
      <c r="EW25" s="530"/>
      <c r="EX25" s="530"/>
      <c r="EY25" s="530"/>
      <c r="EZ25" s="530"/>
      <c r="FA25" s="530"/>
      <c r="FB25" s="530"/>
      <c r="FC25" s="530"/>
      <c r="FD25" s="530"/>
      <c r="FE25" s="530"/>
      <c r="FF25" s="530"/>
      <c r="FG25" s="530"/>
      <c r="FH25" s="530"/>
      <c r="FI25" s="530"/>
      <c r="FJ25" s="530"/>
      <c r="FK25" s="530"/>
      <c r="FL25" s="530"/>
      <c r="FM25" s="530"/>
      <c r="FN25" s="530"/>
      <c r="FO25" s="530"/>
      <c r="FP25" s="530"/>
      <c r="FQ25" s="530"/>
      <c r="FR25" s="530"/>
      <c r="FS25" s="530"/>
      <c r="FT25" s="530"/>
      <c r="FU25" s="530"/>
      <c r="FV25" s="530"/>
      <c r="FW25" s="530"/>
      <c r="FX25" s="530"/>
      <c r="FY25" s="530"/>
      <c r="FZ25" s="530"/>
      <c r="GA25" s="530"/>
      <c r="GB25" s="530"/>
      <c r="GC25" s="530"/>
      <c r="GD25" s="530"/>
      <c r="GE25" s="530"/>
      <c r="GF25" s="530"/>
      <c r="GG25" s="530"/>
      <c r="GH25" s="530"/>
      <c r="GI25" s="530"/>
      <c r="GJ25" s="530"/>
      <c r="GK25" s="530"/>
      <c r="GL25" s="530"/>
      <c r="GM25" s="530"/>
      <c r="GN25" s="530"/>
      <c r="GO25" s="530"/>
      <c r="GP25" s="530"/>
      <c r="GQ25" s="530"/>
      <c r="GR25" s="530"/>
      <c r="GS25" s="530"/>
      <c r="GT25" s="530"/>
      <c r="GU25" s="530"/>
      <c r="GV25" s="530"/>
      <c r="GW25" s="530"/>
      <c r="GX25" s="530"/>
      <c r="GY25" s="530"/>
      <c r="GZ25" s="530"/>
      <c r="HA25" s="530"/>
      <c r="HB25" s="530"/>
      <c r="HC25" s="530"/>
      <c r="HD25" s="530"/>
      <c r="HE25" s="530"/>
      <c r="HF25" s="530"/>
      <c r="HG25" s="530"/>
      <c r="HH25" s="530"/>
      <c r="HI25" s="530"/>
      <c r="HJ25" s="530"/>
      <c r="HK25" s="530"/>
      <c r="HL25" s="530"/>
      <c r="HM25" s="530"/>
      <c r="HN25" s="530"/>
      <c r="HO25" s="530"/>
      <c r="HP25" s="530"/>
      <c r="HQ25" s="530"/>
      <c r="HR25" s="530"/>
      <c r="HS25" s="530"/>
      <c r="HT25" s="530"/>
      <c r="HU25" s="530"/>
      <c r="HV25" s="530"/>
      <c r="HW25" s="530"/>
      <c r="HX25" s="530"/>
      <c r="HY25" s="530"/>
      <c r="HZ25" s="530"/>
      <c r="IA25" s="530"/>
      <c r="IB25" s="530"/>
      <c r="IC25" s="530"/>
      <c r="ID25" s="530"/>
      <c r="IE25" s="530"/>
      <c r="IF25" s="530"/>
      <c r="IG25" s="530"/>
      <c r="IH25" s="530"/>
      <c r="II25" s="530"/>
      <c r="IJ25" s="530"/>
      <c r="IK25" s="530"/>
      <c r="IL25" s="530"/>
      <c r="IM25" s="530"/>
      <c r="IN25" s="530"/>
      <c r="IO25" s="530"/>
      <c r="IP25" s="530"/>
      <c r="IQ25" s="530"/>
      <c r="IR25" s="530"/>
      <c r="IS25" s="530"/>
      <c r="IT25" s="530"/>
      <c r="IU25" s="530"/>
      <c r="IV25" s="530"/>
      <c r="IW25" s="530"/>
      <c r="IX25" s="530"/>
      <c r="IY25" s="530"/>
      <c r="IZ25" s="530"/>
      <c r="JA25" s="530"/>
      <c r="JB25" s="530"/>
      <c r="JC25" s="530"/>
      <c r="JD25" s="530"/>
      <c r="JE25" s="530"/>
      <c r="JF25" s="530"/>
      <c r="JG25" s="530"/>
      <c r="JH25" s="530"/>
      <c r="JI25" s="530"/>
      <c r="JJ25" s="530"/>
      <c r="JK25" s="530"/>
      <c r="JL25" s="530"/>
      <c r="JM25" s="530"/>
      <c r="JN25" s="530"/>
      <c r="JO25" s="530"/>
      <c r="JP25" s="530"/>
      <c r="JQ25" s="530"/>
      <c r="JR25" s="530"/>
      <c r="JS25" s="530"/>
      <c r="JT25" s="530"/>
      <c r="JU25" s="530"/>
      <c r="JV25" s="530"/>
      <c r="JW25" s="530"/>
      <c r="JX25" s="530"/>
      <c r="JY25" s="530"/>
      <c r="JZ25" s="530"/>
      <c r="KA25" s="530"/>
      <c r="KB25" s="530"/>
      <c r="KC25" s="530"/>
      <c r="KD25" s="530"/>
      <c r="KE25" s="530"/>
      <c r="KF25" s="530"/>
      <c r="KG25" s="530"/>
      <c r="KH25" s="530"/>
      <c r="KI25" s="530"/>
      <c r="KJ25" s="530"/>
      <c r="KK25" s="530"/>
      <c r="KL25" s="530"/>
      <c r="KM25" s="530"/>
      <c r="KN25" s="530"/>
      <c r="KO25" s="530"/>
      <c r="KP25" s="530"/>
      <c r="KQ25" s="530"/>
      <c r="KR25" s="530"/>
      <c r="KS25" s="530"/>
      <c r="KT25" s="530"/>
      <c r="KU25" s="530"/>
      <c r="KV25" s="530"/>
      <c r="KW25" s="530"/>
      <c r="KX25" s="530"/>
      <c r="KY25" s="530"/>
      <c r="KZ25" s="530"/>
      <c r="LA25" s="530"/>
      <c r="LB25" s="530"/>
      <c r="LC25" s="530"/>
      <c r="LD25" s="530"/>
      <c r="LE25" s="530"/>
      <c r="LF25" s="530"/>
      <c r="LG25" s="530"/>
      <c r="LH25" s="530"/>
      <c r="LI25" s="530"/>
      <c r="LJ25" s="530"/>
      <c r="LK25" s="530"/>
      <c r="LL25" s="530"/>
      <c r="LM25" s="530"/>
      <c r="LN25" s="530"/>
      <c r="LO25" s="530"/>
      <c r="LP25" s="530"/>
      <c r="LQ25" s="530"/>
      <c r="LR25" s="530"/>
      <c r="LS25" s="530"/>
      <c r="LT25" s="530"/>
      <c r="LU25" s="530"/>
      <c r="LV25" s="530"/>
      <c r="LW25" s="530"/>
      <c r="LX25" s="530"/>
      <c r="LY25" s="530"/>
      <c r="LZ25" s="530"/>
      <c r="MA25" s="530"/>
      <c r="MB25" s="530"/>
      <c r="MC25" s="530"/>
      <c r="MD25" s="530"/>
      <c r="ME25" s="530"/>
      <c r="MF25" s="530"/>
      <c r="MG25" s="530"/>
      <c r="MH25" s="530"/>
      <c r="MI25" s="530"/>
      <c r="MJ25" s="530"/>
      <c r="MK25" s="530"/>
      <c r="ML25" s="530"/>
      <c r="MM25" s="530"/>
      <c r="MN25" s="530"/>
      <c r="MO25" s="530"/>
      <c r="MP25" s="530"/>
      <c r="MQ25" s="530"/>
      <c r="MR25" s="530"/>
      <c r="MS25" s="530"/>
      <c r="MT25" s="530"/>
      <c r="MU25" s="530"/>
      <c r="MV25" s="530"/>
      <c r="MW25" s="530"/>
      <c r="MX25" s="530"/>
      <c r="MY25" s="530"/>
      <c r="MZ25" s="530"/>
      <c r="NA25" s="530"/>
      <c r="NB25" s="530"/>
      <c r="NC25" s="530"/>
      <c r="ND25" s="530"/>
      <c r="NE25" s="530"/>
      <c r="NF25" s="530"/>
      <c r="NG25" s="530"/>
      <c r="NH25" s="530"/>
      <c r="NI25" s="530"/>
      <c r="NJ25" s="530"/>
      <c r="NK25" s="530"/>
      <c r="NL25" s="530"/>
      <c r="NM25" s="530"/>
      <c r="NN25" s="530"/>
      <c r="NO25" s="530"/>
      <c r="NP25" s="530"/>
      <c r="NQ25" s="530"/>
      <c r="NR25" s="530"/>
      <c r="NS25" s="530"/>
      <c r="NT25" s="530"/>
      <c r="NU25" s="530"/>
      <c r="NV25" s="530"/>
      <c r="NW25" s="530"/>
      <c r="NX25" s="530"/>
      <c r="NY25" s="530"/>
      <c r="NZ25" s="530"/>
      <c r="OA25" s="530"/>
      <c r="OB25" s="530"/>
      <c r="OC25" s="530"/>
      <c r="OD25" s="530"/>
      <c r="OE25" s="530"/>
      <c r="OF25" s="530"/>
      <c r="OG25" s="530"/>
      <c r="OH25" s="530"/>
      <c r="OI25" s="530"/>
      <c r="OJ25" s="530"/>
      <c r="OK25" s="530"/>
      <c r="OL25" s="530"/>
      <c r="OM25" s="530"/>
      <c r="ON25" s="530"/>
      <c r="OO25" s="530"/>
      <c r="OP25" s="530"/>
      <c r="OQ25" s="530"/>
      <c r="OR25" s="530"/>
      <c r="OS25" s="530"/>
      <c r="OT25" s="530"/>
      <c r="OU25" s="530"/>
      <c r="OV25" s="530"/>
      <c r="OW25" s="530"/>
      <c r="OX25" s="530"/>
      <c r="OY25" s="530"/>
      <c r="OZ25" s="530"/>
      <c r="PA25" s="530"/>
      <c r="PB25" s="530"/>
      <c r="PC25" s="530"/>
      <c r="PD25" s="530"/>
      <c r="PE25" s="530"/>
      <c r="PF25" s="530"/>
      <c r="PG25" s="530"/>
      <c r="PH25" s="530"/>
      <c r="PI25" s="530"/>
      <c r="PJ25" s="530"/>
      <c r="PK25" s="530"/>
      <c r="PL25" s="530"/>
      <c r="PM25" s="530"/>
      <c r="PN25" s="530"/>
      <c r="PO25" s="530"/>
      <c r="PP25" s="530"/>
      <c r="PQ25" s="530"/>
      <c r="PR25" s="530"/>
      <c r="PS25" s="530"/>
      <c r="PT25" s="530"/>
      <c r="PU25" s="530"/>
      <c r="PV25" s="530"/>
      <c r="PW25" s="530"/>
      <c r="PX25" s="530"/>
      <c r="PY25" s="530"/>
      <c r="PZ25" s="530"/>
      <c r="QA25" s="530"/>
      <c r="QB25" s="530"/>
      <c r="QC25" s="530"/>
      <c r="QD25" s="530"/>
      <c r="QE25" s="530"/>
      <c r="QF25" s="530"/>
      <c r="QG25" s="530"/>
      <c r="QH25" s="530"/>
      <c r="QI25" s="530"/>
      <c r="QJ25" s="530"/>
      <c r="QK25" s="530"/>
      <c r="QL25" s="530"/>
      <c r="QM25" s="530"/>
      <c r="QN25" s="530"/>
      <c r="QO25" s="530"/>
      <c r="QP25" s="530"/>
      <c r="QQ25" s="530"/>
      <c r="QR25" s="530"/>
      <c r="QS25" s="530"/>
      <c r="QT25" s="530"/>
      <c r="QU25" s="530"/>
      <c r="QV25" s="530"/>
      <c r="QW25" s="530"/>
      <c r="QX25" s="530"/>
      <c r="QY25" s="530"/>
      <c r="QZ25" s="530"/>
      <c r="RA25" s="530"/>
      <c r="RB25" s="530"/>
      <c r="RC25" s="530"/>
      <c r="RD25" s="530"/>
      <c r="RE25" s="530"/>
      <c r="RF25" s="530"/>
      <c r="RG25" s="530"/>
      <c r="RH25" s="530"/>
      <c r="RI25" s="530"/>
      <c r="RJ25" s="530"/>
      <c r="RK25" s="530"/>
      <c r="RL25" s="530"/>
      <c r="RM25" s="530"/>
      <c r="RN25" s="530"/>
      <c r="RO25" s="530"/>
      <c r="RP25" s="530"/>
      <c r="RQ25" s="530"/>
      <c r="RR25" s="530"/>
      <c r="RS25" s="530"/>
      <c r="RT25" s="530"/>
      <c r="RU25" s="530"/>
      <c r="RV25" s="530"/>
      <c r="RW25" s="530"/>
      <c r="RX25" s="530"/>
    </row>
    <row r="26" spans="1:492" s="531" customFormat="1" ht="20.149999999999999" customHeight="1">
      <c r="A26" s="548" t="s">
        <v>123</v>
      </c>
      <c r="B26" s="573" t="s">
        <v>118</v>
      </c>
      <c r="C26" s="528"/>
      <c r="D26" s="528"/>
      <c r="E26" s="528"/>
      <c r="F26" s="528"/>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59"/>
      <c r="AN26" s="529"/>
      <c r="AO26" s="529"/>
      <c r="AP26" s="529"/>
      <c r="AQ26" s="560"/>
      <c r="AR26" s="529"/>
      <c r="AS26" s="529"/>
      <c r="AT26" s="529"/>
      <c r="AU26" s="529"/>
      <c r="AV26" s="524"/>
      <c r="AW26" s="529"/>
      <c r="AX26" s="529"/>
      <c r="AY26" s="529"/>
      <c r="AZ26" s="529"/>
      <c r="BA26" s="535"/>
      <c r="BB26" s="559"/>
      <c r="BC26" s="529"/>
      <c r="BD26" s="529"/>
      <c r="BE26" s="529"/>
      <c r="BF26" s="560"/>
      <c r="BG26" s="529"/>
      <c r="BH26" s="529"/>
      <c r="BI26" s="529"/>
      <c r="BJ26" s="529"/>
      <c r="BK26" s="560"/>
      <c r="BL26" s="529"/>
      <c r="BM26" s="523">
        <v>0.1</v>
      </c>
      <c r="BN26" s="529">
        <f>4.5-BM26-BL26</f>
        <v>4.4000000000000004</v>
      </c>
      <c r="BO26" s="529">
        <f>41.3-BN26-BM26</f>
        <v>36.799999999999997</v>
      </c>
      <c r="BP26" s="560">
        <f t="shared" ref="BP26:BP27" si="28">SUM(BL26:BO26)</f>
        <v>41.3</v>
      </c>
      <c r="BQ26" s="529">
        <v>1.7</v>
      </c>
      <c r="BR26" s="523"/>
      <c r="BS26" s="529"/>
      <c r="BT26" s="529"/>
      <c r="BU26" s="560">
        <f t="shared" ref="BU26:BU27" si="29">SUM(BQ26:BT26)</f>
        <v>1.7</v>
      </c>
      <c r="BV26" s="530"/>
      <c r="BW26" s="530"/>
      <c r="BX26" s="530"/>
      <c r="BY26" s="530"/>
      <c r="BZ26" s="530"/>
      <c r="CA26" s="530"/>
      <c r="CB26" s="530"/>
      <c r="CC26" s="530"/>
      <c r="CD26" s="530"/>
      <c r="CE26" s="530"/>
      <c r="CF26" s="530"/>
      <c r="CG26" s="530"/>
      <c r="CH26" s="530"/>
      <c r="CI26" s="530"/>
      <c r="CJ26" s="530"/>
      <c r="CK26" s="530"/>
      <c r="CL26" s="530"/>
      <c r="CM26" s="530"/>
      <c r="CN26" s="530"/>
      <c r="CO26" s="530"/>
      <c r="CP26" s="530"/>
      <c r="CQ26" s="530"/>
      <c r="CR26" s="530"/>
      <c r="CS26" s="530"/>
      <c r="CT26" s="530"/>
      <c r="CU26" s="530"/>
      <c r="CV26" s="530"/>
      <c r="CW26" s="530"/>
      <c r="CX26" s="530"/>
      <c r="CY26" s="530"/>
      <c r="CZ26" s="530"/>
      <c r="DA26" s="530"/>
      <c r="DB26" s="530"/>
      <c r="DC26" s="530"/>
      <c r="DD26" s="530"/>
      <c r="DE26" s="530"/>
      <c r="DF26" s="530"/>
      <c r="DG26" s="530"/>
      <c r="DH26" s="530"/>
      <c r="DI26" s="530"/>
      <c r="DJ26" s="530"/>
      <c r="DK26" s="530"/>
      <c r="DL26" s="530"/>
      <c r="DM26" s="530"/>
      <c r="DN26" s="530"/>
      <c r="DO26" s="530"/>
      <c r="DP26" s="530"/>
      <c r="DQ26" s="530"/>
      <c r="DR26" s="530"/>
      <c r="DS26" s="530"/>
      <c r="DT26" s="530"/>
      <c r="DU26" s="530"/>
      <c r="DV26" s="530"/>
      <c r="DW26" s="530"/>
      <c r="DX26" s="530"/>
      <c r="DY26" s="530"/>
      <c r="DZ26" s="530"/>
      <c r="EA26" s="530"/>
      <c r="EB26" s="530"/>
      <c r="EC26" s="530"/>
      <c r="ED26" s="530"/>
      <c r="EE26" s="530"/>
      <c r="EF26" s="530"/>
      <c r="EG26" s="530"/>
      <c r="EH26" s="530"/>
      <c r="EI26" s="530"/>
      <c r="EJ26" s="530"/>
      <c r="EK26" s="530"/>
      <c r="EL26" s="530"/>
      <c r="EM26" s="530"/>
      <c r="EN26" s="530"/>
      <c r="EO26" s="530"/>
      <c r="EP26" s="530"/>
      <c r="EQ26" s="530"/>
      <c r="ER26" s="530"/>
      <c r="ES26" s="530"/>
      <c r="ET26" s="530"/>
      <c r="EU26" s="530"/>
      <c r="EV26" s="530"/>
      <c r="EW26" s="530"/>
      <c r="EX26" s="530"/>
      <c r="EY26" s="530"/>
      <c r="EZ26" s="530"/>
      <c r="FA26" s="530"/>
      <c r="FB26" s="530"/>
      <c r="FC26" s="530"/>
      <c r="FD26" s="530"/>
      <c r="FE26" s="530"/>
      <c r="FF26" s="530"/>
      <c r="FG26" s="530"/>
      <c r="FH26" s="530"/>
      <c r="FI26" s="530"/>
      <c r="FJ26" s="530"/>
      <c r="FK26" s="530"/>
      <c r="FL26" s="530"/>
      <c r="FM26" s="530"/>
      <c r="FN26" s="530"/>
      <c r="FO26" s="530"/>
      <c r="FP26" s="530"/>
      <c r="FQ26" s="530"/>
      <c r="FR26" s="530"/>
      <c r="FS26" s="530"/>
      <c r="FT26" s="530"/>
      <c r="FU26" s="530"/>
      <c r="FV26" s="530"/>
      <c r="FW26" s="530"/>
      <c r="FX26" s="530"/>
      <c r="FY26" s="530"/>
      <c r="FZ26" s="530"/>
      <c r="GA26" s="530"/>
      <c r="GB26" s="530"/>
      <c r="GC26" s="530"/>
      <c r="GD26" s="530"/>
      <c r="GE26" s="530"/>
      <c r="GF26" s="530"/>
      <c r="GG26" s="530"/>
      <c r="GH26" s="530"/>
      <c r="GI26" s="530"/>
      <c r="GJ26" s="530"/>
      <c r="GK26" s="530"/>
      <c r="GL26" s="530"/>
      <c r="GM26" s="530"/>
      <c r="GN26" s="530"/>
      <c r="GO26" s="530"/>
      <c r="GP26" s="530"/>
      <c r="GQ26" s="530"/>
      <c r="GR26" s="530"/>
      <c r="GS26" s="530"/>
      <c r="GT26" s="530"/>
      <c r="GU26" s="530"/>
      <c r="GV26" s="530"/>
      <c r="GW26" s="530"/>
      <c r="GX26" s="530"/>
      <c r="GY26" s="530"/>
      <c r="GZ26" s="530"/>
      <c r="HA26" s="530"/>
      <c r="HB26" s="530"/>
      <c r="HC26" s="530"/>
      <c r="HD26" s="530"/>
      <c r="HE26" s="530"/>
      <c r="HF26" s="530"/>
      <c r="HG26" s="530"/>
      <c r="HH26" s="530"/>
      <c r="HI26" s="530"/>
      <c r="HJ26" s="530"/>
      <c r="HK26" s="530"/>
      <c r="HL26" s="530"/>
      <c r="HM26" s="530"/>
      <c r="HN26" s="530"/>
      <c r="HO26" s="530"/>
      <c r="HP26" s="530"/>
      <c r="HQ26" s="530"/>
      <c r="HR26" s="530"/>
      <c r="HS26" s="530"/>
      <c r="HT26" s="530"/>
      <c r="HU26" s="530"/>
      <c r="HV26" s="530"/>
      <c r="HW26" s="530"/>
      <c r="HX26" s="530"/>
      <c r="HY26" s="530"/>
      <c r="HZ26" s="530"/>
      <c r="IA26" s="530"/>
      <c r="IB26" s="530"/>
      <c r="IC26" s="530"/>
      <c r="ID26" s="530"/>
      <c r="IE26" s="530"/>
      <c r="IF26" s="530"/>
      <c r="IG26" s="530"/>
      <c r="IH26" s="530"/>
      <c r="II26" s="530"/>
      <c r="IJ26" s="530"/>
      <c r="IK26" s="530"/>
      <c r="IL26" s="530"/>
      <c r="IM26" s="530"/>
      <c r="IN26" s="530"/>
      <c r="IO26" s="530"/>
      <c r="IP26" s="530"/>
      <c r="IQ26" s="530"/>
      <c r="IR26" s="530"/>
      <c r="IS26" s="530"/>
      <c r="IT26" s="530"/>
      <c r="IU26" s="530"/>
      <c r="IV26" s="530"/>
      <c r="IW26" s="530"/>
      <c r="IX26" s="530"/>
      <c r="IY26" s="530"/>
      <c r="IZ26" s="530"/>
      <c r="JA26" s="530"/>
      <c r="JB26" s="530"/>
      <c r="JC26" s="530"/>
      <c r="JD26" s="530"/>
      <c r="JE26" s="530"/>
      <c r="JF26" s="530"/>
      <c r="JG26" s="530"/>
      <c r="JH26" s="530"/>
      <c r="JI26" s="530"/>
      <c r="JJ26" s="530"/>
      <c r="JK26" s="530"/>
      <c r="JL26" s="530"/>
      <c r="JM26" s="530"/>
      <c r="JN26" s="530"/>
      <c r="JO26" s="530"/>
      <c r="JP26" s="530"/>
      <c r="JQ26" s="530"/>
      <c r="JR26" s="530"/>
      <c r="JS26" s="530"/>
      <c r="JT26" s="530"/>
      <c r="JU26" s="530"/>
      <c r="JV26" s="530"/>
      <c r="JW26" s="530"/>
      <c r="JX26" s="530"/>
      <c r="JY26" s="530"/>
      <c r="JZ26" s="530"/>
      <c r="KA26" s="530"/>
      <c r="KB26" s="530"/>
      <c r="KC26" s="530"/>
      <c r="KD26" s="530"/>
      <c r="KE26" s="530"/>
      <c r="KF26" s="530"/>
      <c r="KG26" s="530"/>
      <c r="KH26" s="530"/>
      <c r="KI26" s="530"/>
      <c r="KJ26" s="530"/>
      <c r="KK26" s="530"/>
      <c r="KL26" s="530"/>
      <c r="KM26" s="530"/>
      <c r="KN26" s="530"/>
      <c r="KO26" s="530"/>
      <c r="KP26" s="530"/>
      <c r="KQ26" s="530"/>
      <c r="KR26" s="530"/>
      <c r="KS26" s="530"/>
      <c r="KT26" s="530"/>
      <c r="KU26" s="530"/>
      <c r="KV26" s="530"/>
      <c r="KW26" s="530"/>
      <c r="KX26" s="530"/>
      <c r="KY26" s="530"/>
      <c r="KZ26" s="530"/>
      <c r="LA26" s="530"/>
      <c r="LB26" s="530"/>
      <c r="LC26" s="530"/>
      <c r="LD26" s="530"/>
      <c r="LE26" s="530"/>
      <c r="LF26" s="530"/>
      <c r="LG26" s="530"/>
      <c r="LH26" s="530"/>
      <c r="LI26" s="530"/>
      <c r="LJ26" s="530"/>
      <c r="LK26" s="530"/>
      <c r="LL26" s="530"/>
      <c r="LM26" s="530"/>
      <c r="LN26" s="530"/>
      <c r="LO26" s="530"/>
      <c r="LP26" s="530"/>
      <c r="LQ26" s="530"/>
      <c r="LR26" s="530"/>
      <c r="LS26" s="530"/>
      <c r="LT26" s="530"/>
      <c r="LU26" s="530"/>
      <c r="LV26" s="530"/>
      <c r="LW26" s="530"/>
      <c r="LX26" s="530"/>
      <c r="LY26" s="530"/>
      <c r="LZ26" s="530"/>
      <c r="MA26" s="530"/>
      <c r="MB26" s="530"/>
      <c r="MC26" s="530"/>
      <c r="MD26" s="530"/>
      <c r="ME26" s="530"/>
      <c r="MF26" s="530"/>
      <c r="MG26" s="530"/>
      <c r="MH26" s="530"/>
      <c r="MI26" s="530"/>
      <c r="MJ26" s="530"/>
      <c r="MK26" s="530"/>
      <c r="ML26" s="530"/>
      <c r="MM26" s="530"/>
      <c r="MN26" s="530"/>
      <c r="MO26" s="530"/>
      <c r="MP26" s="530"/>
      <c r="MQ26" s="530"/>
      <c r="MR26" s="530"/>
      <c r="MS26" s="530"/>
      <c r="MT26" s="530"/>
      <c r="MU26" s="530"/>
      <c r="MV26" s="530"/>
      <c r="MW26" s="530"/>
      <c r="MX26" s="530"/>
      <c r="MY26" s="530"/>
      <c r="MZ26" s="530"/>
      <c r="NA26" s="530"/>
      <c r="NB26" s="530"/>
      <c r="NC26" s="530"/>
      <c r="ND26" s="530"/>
      <c r="NE26" s="530"/>
      <c r="NF26" s="530"/>
      <c r="NG26" s="530"/>
      <c r="NH26" s="530"/>
      <c r="NI26" s="530"/>
      <c r="NJ26" s="530"/>
      <c r="NK26" s="530"/>
      <c r="NL26" s="530"/>
      <c r="NM26" s="530"/>
      <c r="NN26" s="530"/>
      <c r="NO26" s="530"/>
      <c r="NP26" s="530"/>
      <c r="NQ26" s="530"/>
      <c r="NR26" s="530"/>
      <c r="NS26" s="530"/>
      <c r="NT26" s="530"/>
      <c r="NU26" s="530"/>
      <c r="NV26" s="530"/>
      <c r="NW26" s="530"/>
      <c r="NX26" s="530"/>
      <c r="NY26" s="530"/>
      <c r="NZ26" s="530"/>
      <c r="OA26" s="530"/>
      <c r="OB26" s="530"/>
      <c r="OC26" s="530"/>
      <c r="OD26" s="530"/>
      <c r="OE26" s="530"/>
      <c r="OF26" s="530"/>
      <c r="OG26" s="530"/>
      <c r="OH26" s="530"/>
      <c r="OI26" s="530"/>
      <c r="OJ26" s="530"/>
      <c r="OK26" s="530"/>
      <c r="OL26" s="530"/>
      <c r="OM26" s="530"/>
      <c r="ON26" s="530"/>
      <c r="OO26" s="530"/>
      <c r="OP26" s="530"/>
      <c r="OQ26" s="530"/>
      <c r="OR26" s="530"/>
      <c r="OS26" s="530"/>
      <c r="OT26" s="530"/>
      <c r="OU26" s="530"/>
      <c r="OV26" s="530"/>
      <c r="OW26" s="530"/>
      <c r="OX26" s="530"/>
      <c r="OY26" s="530"/>
      <c r="OZ26" s="530"/>
      <c r="PA26" s="530"/>
      <c r="PB26" s="530"/>
      <c r="PC26" s="530"/>
      <c r="PD26" s="530"/>
      <c r="PE26" s="530"/>
      <c r="PF26" s="530"/>
      <c r="PG26" s="530"/>
      <c r="PH26" s="530"/>
      <c r="PI26" s="530"/>
      <c r="PJ26" s="530"/>
      <c r="PK26" s="530"/>
      <c r="PL26" s="530"/>
      <c r="PM26" s="530"/>
      <c r="PN26" s="530"/>
      <c r="PO26" s="530"/>
      <c r="PP26" s="530"/>
      <c r="PQ26" s="530"/>
      <c r="PR26" s="530"/>
      <c r="PS26" s="530"/>
      <c r="PT26" s="530"/>
      <c r="PU26" s="530"/>
      <c r="PV26" s="530"/>
      <c r="PW26" s="530"/>
      <c r="PX26" s="530"/>
      <c r="PY26" s="530"/>
      <c r="PZ26" s="530"/>
      <c r="QA26" s="530"/>
      <c r="QB26" s="530"/>
      <c r="QC26" s="530"/>
      <c r="QD26" s="530"/>
      <c r="QE26" s="530"/>
      <c r="QF26" s="530"/>
      <c r="QG26" s="530"/>
      <c r="QH26" s="530"/>
      <c r="QI26" s="530"/>
      <c r="QJ26" s="530"/>
      <c r="QK26" s="530"/>
      <c r="QL26" s="530"/>
      <c r="QM26" s="530"/>
      <c r="QN26" s="530"/>
      <c r="QO26" s="530"/>
      <c r="QP26" s="530"/>
      <c r="QQ26" s="530"/>
      <c r="QR26" s="530"/>
      <c r="QS26" s="530"/>
      <c r="QT26" s="530"/>
      <c r="QU26" s="530"/>
      <c r="QV26" s="530"/>
      <c r="QW26" s="530"/>
      <c r="QX26" s="530"/>
      <c r="QY26" s="530"/>
      <c r="QZ26" s="530"/>
      <c r="RA26" s="530"/>
      <c r="RB26" s="530"/>
      <c r="RC26" s="530"/>
      <c r="RD26" s="530"/>
      <c r="RE26" s="530"/>
      <c r="RF26" s="530"/>
      <c r="RG26" s="530"/>
      <c r="RH26" s="530"/>
      <c r="RI26" s="530"/>
      <c r="RJ26" s="530"/>
      <c r="RK26" s="530"/>
      <c r="RL26" s="530"/>
      <c r="RM26" s="530"/>
      <c r="RN26" s="530"/>
      <c r="RO26" s="530"/>
      <c r="RP26" s="530"/>
      <c r="RQ26" s="530"/>
      <c r="RR26" s="530"/>
      <c r="RS26" s="530"/>
      <c r="RT26" s="530"/>
      <c r="RU26" s="530"/>
      <c r="RV26" s="530"/>
      <c r="RW26" s="530"/>
      <c r="RX26" s="530"/>
    </row>
    <row r="27" spans="1:492" s="531" customFormat="1" ht="20.149999999999999" customHeight="1" thickBot="1">
      <c r="A27" s="548" t="s">
        <v>119</v>
      </c>
      <c r="B27" s="573" t="s">
        <v>120</v>
      </c>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59"/>
      <c r="AN27" s="529"/>
      <c r="AO27" s="529"/>
      <c r="AP27" s="529"/>
      <c r="AQ27" s="560"/>
      <c r="AR27" s="529"/>
      <c r="AS27" s="529"/>
      <c r="AT27" s="529"/>
      <c r="AU27" s="529"/>
      <c r="AV27" s="524"/>
      <c r="AW27" s="529"/>
      <c r="AX27" s="529"/>
      <c r="AY27" s="529"/>
      <c r="AZ27" s="529"/>
      <c r="BA27" s="535"/>
      <c r="BB27" s="559"/>
      <c r="BC27" s="529"/>
      <c r="BD27" s="529"/>
      <c r="BE27" s="529"/>
      <c r="BF27" s="560"/>
      <c r="BG27" s="529"/>
      <c r="BH27" s="529"/>
      <c r="BI27" s="529"/>
      <c r="BJ27" s="529"/>
      <c r="BK27" s="560"/>
      <c r="BL27" s="529"/>
      <c r="BM27" s="760">
        <v>-2.2000000000000002</v>
      </c>
      <c r="BN27" s="760">
        <f>-7.9-BM27-BL27</f>
        <v>-5.7</v>
      </c>
      <c r="BO27" s="529">
        <f>-5.1-BN27-BM27</f>
        <v>2.8000000000000007</v>
      </c>
      <c r="BP27" s="579">
        <f t="shared" si="28"/>
        <v>-5.0999999999999996</v>
      </c>
      <c r="BQ27" s="760">
        <v>-1.5</v>
      </c>
      <c r="BR27" s="760"/>
      <c r="BS27" s="760"/>
      <c r="BT27" s="529"/>
      <c r="BU27" s="579">
        <f t="shared" si="29"/>
        <v>-1.5</v>
      </c>
      <c r="BV27" s="530"/>
      <c r="BW27" s="530"/>
      <c r="BX27" s="530"/>
      <c r="BY27" s="530"/>
      <c r="BZ27" s="530"/>
      <c r="CA27" s="530"/>
      <c r="CB27" s="530"/>
      <c r="CC27" s="530"/>
      <c r="CD27" s="530"/>
      <c r="CE27" s="530"/>
      <c r="CF27" s="530"/>
      <c r="CG27" s="530"/>
      <c r="CH27" s="530"/>
      <c r="CI27" s="530"/>
      <c r="CJ27" s="530"/>
      <c r="CK27" s="530"/>
      <c r="CL27" s="530"/>
      <c r="CM27" s="530"/>
      <c r="CN27" s="530"/>
      <c r="CO27" s="530"/>
      <c r="CP27" s="530"/>
      <c r="CQ27" s="530"/>
      <c r="CR27" s="530"/>
      <c r="CS27" s="530"/>
      <c r="CT27" s="530"/>
      <c r="CU27" s="530"/>
      <c r="CV27" s="530"/>
      <c r="CW27" s="530"/>
      <c r="CX27" s="530"/>
      <c r="CY27" s="530"/>
      <c r="CZ27" s="530"/>
      <c r="DA27" s="530"/>
      <c r="DB27" s="530"/>
      <c r="DC27" s="530"/>
      <c r="DD27" s="530"/>
      <c r="DE27" s="530"/>
      <c r="DF27" s="530"/>
      <c r="DG27" s="530"/>
      <c r="DH27" s="530"/>
      <c r="DI27" s="530"/>
      <c r="DJ27" s="530"/>
      <c r="DK27" s="530"/>
      <c r="DL27" s="530"/>
      <c r="DM27" s="530"/>
      <c r="DN27" s="530"/>
      <c r="DO27" s="530"/>
      <c r="DP27" s="530"/>
      <c r="DQ27" s="530"/>
      <c r="DR27" s="530"/>
      <c r="DS27" s="530"/>
      <c r="DT27" s="530"/>
      <c r="DU27" s="530"/>
      <c r="DV27" s="530"/>
      <c r="DW27" s="530"/>
      <c r="DX27" s="530"/>
      <c r="DY27" s="530"/>
      <c r="DZ27" s="530"/>
      <c r="EA27" s="530"/>
      <c r="EB27" s="530"/>
      <c r="EC27" s="530"/>
      <c r="ED27" s="530"/>
      <c r="EE27" s="530"/>
      <c r="EF27" s="530"/>
      <c r="EG27" s="530"/>
      <c r="EH27" s="530"/>
      <c r="EI27" s="530"/>
      <c r="EJ27" s="530"/>
      <c r="EK27" s="530"/>
      <c r="EL27" s="530"/>
      <c r="EM27" s="530"/>
      <c r="EN27" s="530"/>
      <c r="EO27" s="530"/>
      <c r="EP27" s="530"/>
      <c r="EQ27" s="530"/>
      <c r="ER27" s="530"/>
      <c r="ES27" s="530"/>
      <c r="ET27" s="530"/>
      <c r="EU27" s="530"/>
      <c r="EV27" s="530"/>
      <c r="EW27" s="530"/>
      <c r="EX27" s="530"/>
      <c r="EY27" s="530"/>
      <c r="EZ27" s="530"/>
      <c r="FA27" s="530"/>
      <c r="FB27" s="530"/>
      <c r="FC27" s="530"/>
      <c r="FD27" s="530"/>
      <c r="FE27" s="530"/>
      <c r="FF27" s="530"/>
      <c r="FG27" s="530"/>
      <c r="FH27" s="530"/>
      <c r="FI27" s="530"/>
      <c r="FJ27" s="530"/>
      <c r="FK27" s="530"/>
      <c r="FL27" s="530"/>
      <c r="FM27" s="530"/>
      <c r="FN27" s="530"/>
      <c r="FO27" s="530"/>
      <c r="FP27" s="530"/>
      <c r="FQ27" s="530"/>
      <c r="FR27" s="530"/>
      <c r="FS27" s="530"/>
      <c r="FT27" s="530"/>
      <c r="FU27" s="530"/>
      <c r="FV27" s="530"/>
      <c r="FW27" s="530"/>
      <c r="FX27" s="530"/>
      <c r="FY27" s="530"/>
      <c r="FZ27" s="530"/>
      <c r="GA27" s="530"/>
      <c r="GB27" s="530"/>
      <c r="GC27" s="530"/>
      <c r="GD27" s="530"/>
      <c r="GE27" s="530"/>
      <c r="GF27" s="530"/>
      <c r="GG27" s="530"/>
      <c r="GH27" s="530"/>
      <c r="GI27" s="530"/>
      <c r="GJ27" s="530"/>
      <c r="GK27" s="530"/>
      <c r="GL27" s="530"/>
      <c r="GM27" s="530"/>
      <c r="GN27" s="530"/>
      <c r="GO27" s="530"/>
      <c r="GP27" s="530"/>
      <c r="GQ27" s="530"/>
      <c r="GR27" s="530"/>
      <c r="GS27" s="530"/>
      <c r="GT27" s="530"/>
      <c r="GU27" s="530"/>
      <c r="GV27" s="530"/>
      <c r="GW27" s="530"/>
      <c r="GX27" s="530"/>
      <c r="GY27" s="530"/>
      <c r="GZ27" s="530"/>
      <c r="HA27" s="530"/>
      <c r="HB27" s="530"/>
      <c r="HC27" s="530"/>
      <c r="HD27" s="530"/>
      <c r="HE27" s="530"/>
      <c r="HF27" s="530"/>
      <c r="HG27" s="530"/>
      <c r="HH27" s="530"/>
      <c r="HI27" s="530"/>
      <c r="HJ27" s="530"/>
      <c r="HK27" s="530"/>
      <c r="HL27" s="530"/>
      <c r="HM27" s="530"/>
      <c r="HN27" s="530"/>
      <c r="HO27" s="530"/>
      <c r="HP27" s="530"/>
      <c r="HQ27" s="530"/>
      <c r="HR27" s="530"/>
      <c r="HS27" s="530"/>
      <c r="HT27" s="530"/>
      <c r="HU27" s="530"/>
      <c r="HV27" s="530"/>
      <c r="HW27" s="530"/>
      <c r="HX27" s="530"/>
      <c r="HY27" s="530"/>
      <c r="HZ27" s="530"/>
      <c r="IA27" s="530"/>
      <c r="IB27" s="530"/>
      <c r="IC27" s="530"/>
      <c r="ID27" s="530"/>
      <c r="IE27" s="530"/>
      <c r="IF27" s="530"/>
      <c r="IG27" s="530"/>
      <c r="IH27" s="530"/>
      <c r="II27" s="530"/>
      <c r="IJ27" s="530"/>
      <c r="IK27" s="530"/>
      <c r="IL27" s="530"/>
      <c r="IM27" s="530"/>
      <c r="IN27" s="530"/>
      <c r="IO27" s="530"/>
      <c r="IP27" s="530"/>
      <c r="IQ27" s="530"/>
      <c r="IR27" s="530"/>
      <c r="IS27" s="530"/>
      <c r="IT27" s="530"/>
      <c r="IU27" s="530"/>
      <c r="IV27" s="530"/>
      <c r="IW27" s="530"/>
      <c r="IX27" s="530"/>
      <c r="IY27" s="530"/>
      <c r="IZ27" s="530"/>
      <c r="JA27" s="530"/>
      <c r="JB27" s="530"/>
      <c r="JC27" s="530"/>
      <c r="JD27" s="530"/>
      <c r="JE27" s="530"/>
      <c r="JF27" s="530"/>
      <c r="JG27" s="530"/>
      <c r="JH27" s="530"/>
      <c r="JI27" s="530"/>
      <c r="JJ27" s="530"/>
      <c r="JK27" s="530"/>
      <c r="JL27" s="530"/>
      <c r="JM27" s="530"/>
      <c r="JN27" s="530"/>
      <c r="JO27" s="530"/>
      <c r="JP27" s="530"/>
      <c r="JQ27" s="530"/>
      <c r="JR27" s="530"/>
      <c r="JS27" s="530"/>
      <c r="JT27" s="530"/>
      <c r="JU27" s="530"/>
      <c r="JV27" s="530"/>
      <c r="JW27" s="530"/>
      <c r="JX27" s="530"/>
      <c r="JY27" s="530"/>
      <c r="JZ27" s="530"/>
      <c r="KA27" s="530"/>
      <c r="KB27" s="530"/>
      <c r="KC27" s="530"/>
      <c r="KD27" s="530"/>
      <c r="KE27" s="530"/>
      <c r="KF27" s="530"/>
      <c r="KG27" s="530"/>
      <c r="KH27" s="530"/>
      <c r="KI27" s="530"/>
      <c r="KJ27" s="530"/>
      <c r="KK27" s="530"/>
      <c r="KL27" s="530"/>
      <c r="KM27" s="530"/>
      <c r="KN27" s="530"/>
      <c r="KO27" s="530"/>
      <c r="KP27" s="530"/>
      <c r="KQ27" s="530"/>
      <c r="KR27" s="530"/>
      <c r="KS27" s="530"/>
      <c r="KT27" s="530"/>
      <c r="KU27" s="530"/>
      <c r="KV27" s="530"/>
      <c r="KW27" s="530"/>
      <c r="KX27" s="530"/>
      <c r="KY27" s="530"/>
      <c r="KZ27" s="530"/>
      <c r="LA27" s="530"/>
      <c r="LB27" s="530"/>
      <c r="LC27" s="530"/>
      <c r="LD27" s="530"/>
      <c r="LE27" s="530"/>
      <c r="LF27" s="530"/>
      <c r="LG27" s="530"/>
      <c r="LH27" s="530"/>
      <c r="LI27" s="530"/>
      <c r="LJ27" s="530"/>
      <c r="LK27" s="530"/>
      <c r="LL27" s="530"/>
      <c r="LM27" s="530"/>
      <c r="LN27" s="530"/>
      <c r="LO27" s="530"/>
      <c r="LP27" s="530"/>
      <c r="LQ27" s="530"/>
      <c r="LR27" s="530"/>
      <c r="LS27" s="530"/>
      <c r="LT27" s="530"/>
      <c r="LU27" s="530"/>
      <c r="LV27" s="530"/>
      <c r="LW27" s="530"/>
      <c r="LX27" s="530"/>
      <c r="LY27" s="530"/>
      <c r="LZ27" s="530"/>
      <c r="MA27" s="530"/>
      <c r="MB27" s="530"/>
      <c r="MC27" s="530"/>
      <c r="MD27" s="530"/>
      <c r="ME27" s="530"/>
      <c r="MF27" s="530"/>
      <c r="MG27" s="530"/>
      <c r="MH27" s="530"/>
      <c r="MI27" s="530"/>
      <c r="MJ27" s="530"/>
      <c r="MK27" s="530"/>
      <c r="ML27" s="530"/>
      <c r="MM27" s="530"/>
      <c r="MN27" s="530"/>
      <c r="MO27" s="530"/>
      <c r="MP27" s="530"/>
      <c r="MQ27" s="530"/>
      <c r="MR27" s="530"/>
      <c r="MS27" s="530"/>
      <c r="MT27" s="530"/>
      <c r="MU27" s="530"/>
      <c r="MV27" s="530"/>
      <c r="MW27" s="530"/>
      <c r="MX27" s="530"/>
      <c r="MY27" s="530"/>
      <c r="MZ27" s="530"/>
      <c r="NA27" s="530"/>
      <c r="NB27" s="530"/>
      <c r="NC27" s="530"/>
      <c r="ND27" s="530"/>
      <c r="NE27" s="530"/>
      <c r="NF27" s="530"/>
      <c r="NG27" s="530"/>
      <c r="NH27" s="530"/>
      <c r="NI27" s="530"/>
      <c r="NJ27" s="530"/>
      <c r="NK27" s="530"/>
      <c r="NL27" s="530"/>
      <c r="NM27" s="530"/>
      <c r="NN27" s="530"/>
      <c r="NO27" s="530"/>
      <c r="NP27" s="530"/>
      <c r="NQ27" s="530"/>
      <c r="NR27" s="530"/>
      <c r="NS27" s="530"/>
      <c r="NT27" s="530"/>
      <c r="NU27" s="530"/>
      <c r="NV27" s="530"/>
      <c r="NW27" s="530"/>
      <c r="NX27" s="530"/>
      <c r="NY27" s="530"/>
      <c r="NZ27" s="530"/>
      <c r="OA27" s="530"/>
      <c r="OB27" s="530"/>
      <c r="OC27" s="530"/>
      <c r="OD27" s="530"/>
      <c r="OE27" s="530"/>
      <c r="OF27" s="530"/>
      <c r="OG27" s="530"/>
      <c r="OH27" s="530"/>
      <c r="OI27" s="530"/>
      <c r="OJ27" s="530"/>
      <c r="OK27" s="530"/>
      <c r="OL27" s="530"/>
      <c r="OM27" s="530"/>
      <c r="ON27" s="530"/>
      <c r="OO27" s="530"/>
      <c r="OP27" s="530"/>
      <c r="OQ27" s="530"/>
      <c r="OR27" s="530"/>
      <c r="OS27" s="530"/>
      <c r="OT27" s="530"/>
      <c r="OU27" s="530"/>
      <c r="OV27" s="530"/>
      <c r="OW27" s="530"/>
      <c r="OX27" s="530"/>
      <c r="OY27" s="530"/>
      <c r="OZ27" s="530"/>
      <c r="PA27" s="530"/>
      <c r="PB27" s="530"/>
      <c r="PC27" s="530"/>
      <c r="PD27" s="530"/>
      <c r="PE27" s="530"/>
      <c r="PF27" s="530"/>
      <c r="PG27" s="530"/>
      <c r="PH27" s="530"/>
      <c r="PI27" s="530"/>
      <c r="PJ27" s="530"/>
      <c r="PK27" s="530"/>
      <c r="PL27" s="530"/>
      <c r="PM27" s="530"/>
      <c r="PN27" s="530"/>
      <c r="PO27" s="530"/>
      <c r="PP27" s="530"/>
      <c r="PQ27" s="530"/>
      <c r="PR27" s="530"/>
      <c r="PS27" s="530"/>
      <c r="PT27" s="530"/>
      <c r="PU27" s="530"/>
      <c r="PV27" s="530"/>
      <c r="PW27" s="530"/>
      <c r="PX27" s="530"/>
      <c r="PY27" s="530"/>
      <c r="PZ27" s="530"/>
      <c r="QA27" s="530"/>
      <c r="QB27" s="530"/>
      <c r="QC27" s="530"/>
      <c r="QD27" s="530"/>
      <c r="QE27" s="530"/>
      <c r="QF27" s="530"/>
      <c r="QG27" s="530"/>
      <c r="QH27" s="530"/>
      <c r="QI27" s="530"/>
      <c r="QJ27" s="530"/>
      <c r="QK27" s="530"/>
      <c r="QL27" s="530"/>
      <c r="QM27" s="530"/>
      <c r="QN27" s="530"/>
      <c r="QO27" s="530"/>
      <c r="QP27" s="530"/>
      <c r="QQ27" s="530"/>
      <c r="QR27" s="530"/>
      <c r="QS27" s="530"/>
      <c r="QT27" s="530"/>
      <c r="QU27" s="530"/>
      <c r="QV27" s="530"/>
      <c r="QW27" s="530"/>
      <c r="QX27" s="530"/>
      <c r="QY27" s="530"/>
      <c r="QZ27" s="530"/>
      <c r="RA27" s="530"/>
      <c r="RB27" s="530"/>
      <c r="RC27" s="530"/>
      <c r="RD27" s="530"/>
      <c r="RE27" s="530"/>
      <c r="RF27" s="530"/>
      <c r="RG27" s="530"/>
      <c r="RH27" s="530"/>
      <c r="RI27" s="530"/>
      <c r="RJ27" s="530"/>
      <c r="RK27" s="530"/>
      <c r="RL27" s="530"/>
      <c r="RM27" s="530"/>
      <c r="RN27" s="530"/>
      <c r="RO27" s="530"/>
      <c r="RP27" s="530"/>
      <c r="RQ27" s="530"/>
      <c r="RR27" s="530"/>
      <c r="RS27" s="530"/>
      <c r="RT27" s="530"/>
      <c r="RU27" s="530"/>
      <c r="RV27" s="530"/>
      <c r="RW27" s="530"/>
      <c r="RX27" s="530"/>
    </row>
    <row r="28" spans="1:492" s="65" customFormat="1" ht="31.3" thickBot="1">
      <c r="A28" s="549" t="s">
        <v>131</v>
      </c>
      <c r="B28" s="574" t="s">
        <v>132</v>
      </c>
      <c r="C28" s="427"/>
      <c r="D28" s="427"/>
      <c r="E28" s="427"/>
      <c r="F28" s="427"/>
      <c r="G28" s="427"/>
      <c r="H28" s="427"/>
      <c r="I28" s="427"/>
      <c r="J28" s="427"/>
      <c r="K28" s="427"/>
      <c r="L28" s="427"/>
      <c r="M28" s="427"/>
      <c r="N28" s="427"/>
      <c r="O28" s="427"/>
      <c r="P28" s="427"/>
      <c r="Q28" s="427"/>
      <c r="R28" s="427"/>
      <c r="S28" s="427"/>
      <c r="T28" s="427"/>
      <c r="U28" s="427"/>
      <c r="V28" s="427"/>
      <c r="W28" s="427"/>
      <c r="X28" s="427"/>
      <c r="Y28" s="427"/>
      <c r="Z28" s="427"/>
      <c r="AA28" s="427"/>
      <c r="AB28" s="427"/>
      <c r="AC28" s="427"/>
      <c r="AD28" s="427"/>
      <c r="AE28" s="427"/>
      <c r="AF28" s="427"/>
      <c r="AG28" s="427"/>
      <c r="AH28" s="427"/>
      <c r="AI28" s="427"/>
      <c r="AJ28" s="427"/>
      <c r="AK28" s="427"/>
      <c r="AL28" s="427"/>
      <c r="AM28" s="562">
        <f>AM29+AM30</f>
        <v>174.39999999999998</v>
      </c>
      <c r="AN28" s="428">
        <f>AN29+AN30</f>
        <v>176.20000000000005</v>
      </c>
      <c r="AO28" s="428">
        <f>AO29+AO30</f>
        <v>282.79999999999995</v>
      </c>
      <c r="AP28" s="428">
        <f>AP29+AP30</f>
        <v>295</v>
      </c>
      <c r="AQ28" s="563">
        <f t="shared" si="27"/>
        <v>928.4</v>
      </c>
      <c r="AR28" s="428"/>
      <c r="AS28" s="428"/>
      <c r="AT28" s="428"/>
      <c r="AU28" s="428"/>
      <c r="AV28" s="429"/>
      <c r="AW28" s="428">
        <f>AW29+AW30</f>
        <v>359.9</v>
      </c>
      <c r="AX28" s="428">
        <f>AX29+AX30</f>
        <v>276.39999999999998</v>
      </c>
      <c r="AY28" s="428">
        <f>AY29+AY30</f>
        <v>318.29999999999995</v>
      </c>
      <c r="AZ28" s="428">
        <f>AZ29+AZ30</f>
        <v>277</v>
      </c>
      <c r="BA28" s="554">
        <f>SUM(AW28:AZ28)</f>
        <v>1231.5999999999999</v>
      </c>
      <c r="BB28" s="562">
        <f t="shared" ref="BB28:BK28" si="30">BB29+BB30</f>
        <v>307.39999999999998</v>
      </c>
      <c r="BC28" s="428">
        <f t="shared" si="30"/>
        <v>228.30000000000007</v>
      </c>
      <c r="BD28" s="428">
        <f t="shared" si="30"/>
        <v>251.99999999999989</v>
      </c>
      <c r="BE28" s="428">
        <f t="shared" si="30"/>
        <v>430.20000000000016</v>
      </c>
      <c r="BF28" s="563">
        <f t="shared" si="30"/>
        <v>1217.9000000000001</v>
      </c>
      <c r="BG28" s="428">
        <f t="shared" si="30"/>
        <v>335.5</v>
      </c>
      <c r="BH28" s="428">
        <f t="shared" si="30"/>
        <v>334.49999999999994</v>
      </c>
      <c r="BI28" s="428">
        <f t="shared" si="30"/>
        <v>231.8</v>
      </c>
      <c r="BJ28" s="428">
        <f>BJ29+BJ30</f>
        <v>256.99999999999994</v>
      </c>
      <c r="BK28" s="563">
        <f t="shared" si="30"/>
        <v>1158.8</v>
      </c>
      <c r="BL28" s="428">
        <f>BL29+BL30+BL31</f>
        <v>324.89999999999998</v>
      </c>
      <c r="BM28" s="761">
        <f t="shared" ref="BM28:BP28" si="31">BM29+BM30+BM31</f>
        <v>262</v>
      </c>
      <c r="BN28" s="428">
        <f t="shared" si="31"/>
        <v>225.30000000000004</v>
      </c>
      <c r="BO28" s="428">
        <f t="shared" si="31"/>
        <v>302.20000000000016</v>
      </c>
      <c r="BP28" s="563">
        <f t="shared" si="31"/>
        <v>1114.4000000000003</v>
      </c>
      <c r="BQ28" s="428">
        <f>BQ29+BQ30+BQ31</f>
        <v>295.20000000000005</v>
      </c>
      <c r="BR28" s="761">
        <f t="shared" ref="BR28:BU28" si="32">BR29+BR30+BR31</f>
        <v>0</v>
      </c>
      <c r="BS28" s="428">
        <f t="shared" si="32"/>
        <v>0</v>
      </c>
      <c r="BT28" s="428">
        <f t="shared" si="32"/>
        <v>0</v>
      </c>
      <c r="BU28" s="563">
        <f t="shared" si="32"/>
        <v>295.20000000000005</v>
      </c>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c r="IY28" s="11"/>
      <c r="IZ28" s="11"/>
      <c r="JA28" s="11"/>
      <c r="JB28" s="11"/>
      <c r="JC28" s="11"/>
      <c r="JD28" s="11"/>
      <c r="JE28" s="11"/>
      <c r="JF28" s="11"/>
      <c r="JG28" s="11"/>
      <c r="JH28" s="11"/>
      <c r="JI28" s="11"/>
      <c r="JJ28" s="11"/>
      <c r="JK28" s="11"/>
      <c r="JL28" s="11"/>
      <c r="JM28" s="11"/>
      <c r="JN28" s="11"/>
      <c r="JO28" s="11"/>
      <c r="JP28" s="11"/>
      <c r="JQ28" s="11"/>
      <c r="JR28" s="11"/>
      <c r="JS28" s="11"/>
      <c r="JT28" s="11"/>
      <c r="JU28" s="11"/>
      <c r="JV28" s="11"/>
      <c r="JW28" s="11"/>
      <c r="JX28" s="11"/>
      <c r="JY28" s="11"/>
      <c r="JZ28" s="11"/>
      <c r="KA28" s="11"/>
      <c r="KB28" s="11"/>
      <c r="KC28" s="11"/>
      <c r="KD28" s="11"/>
      <c r="KE28" s="11"/>
      <c r="KF28" s="11"/>
      <c r="KG28" s="11"/>
      <c r="KH28" s="11"/>
      <c r="KI28" s="11"/>
      <c r="KJ28" s="11"/>
      <c r="KK28" s="11"/>
      <c r="KL28" s="11"/>
      <c r="KM28" s="11"/>
      <c r="KN28" s="11"/>
      <c r="KO28" s="11"/>
      <c r="KP28" s="11"/>
      <c r="KQ28" s="11"/>
      <c r="KR28" s="11"/>
      <c r="KS28" s="11"/>
      <c r="KT28" s="11"/>
      <c r="KU28" s="11"/>
      <c r="KV28" s="11"/>
      <c r="KW28" s="11"/>
      <c r="KX28" s="11"/>
      <c r="KY28" s="11"/>
      <c r="KZ28" s="11"/>
      <c r="LA28" s="11"/>
      <c r="LB28" s="11"/>
      <c r="LC28" s="11"/>
      <c r="LD28" s="11"/>
      <c r="LE28" s="11"/>
      <c r="LF28" s="11"/>
      <c r="LG28" s="11"/>
      <c r="LH28" s="11"/>
      <c r="LI28" s="11"/>
      <c r="LJ28" s="11"/>
      <c r="LK28" s="11"/>
      <c r="LL28" s="11"/>
      <c r="LM28" s="11"/>
      <c r="LN28" s="11"/>
      <c r="LO28" s="11"/>
      <c r="LP28" s="11"/>
      <c r="LQ28" s="11"/>
      <c r="LR28" s="11"/>
      <c r="LS28" s="11"/>
      <c r="LT28" s="11"/>
      <c r="LU28" s="11"/>
      <c r="LV28" s="11"/>
      <c r="LW28" s="11"/>
      <c r="LX28" s="11"/>
      <c r="LY28" s="11"/>
      <c r="LZ28" s="11"/>
      <c r="MA28" s="11"/>
      <c r="MB28" s="11"/>
      <c r="MC28" s="11"/>
      <c r="MD28" s="11"/>
      <c r="ME28" s="11"/>
      <c r="MF28" s="11"/>
      <c r="MG28" s="11"/>
      <c r="MH28" s="11"/>
      <c r="MI28" s="11"/>
      <c r="MJ28" s="11"/>
      <c r="MK28" s="11"/>
      <c r="ML28" s="11"/>
      <c r="MM28" s="11"/>
      <c r="MN28" s="11"/>
      <c r="MO28" s="11"/>
      <c r="MP28" s="11"/>
      <c r="MQ28" s="11"/>
      <c r="MR28" s="11"/>
      <c r="MS28" s="11"/>
      <c r="MT28" s="11"/>
      <c r="MU28" s="11"/>
      <c r="MV28" s="11"/>
      <c r="MW28" s="11"/>
      <c r="MX28" s="11"/>
      <c r="MY28" s="11"/>
      <c r="MZ28" s="11"/>
      <c r="NA28" s="11"/>
      <c r="NB28" s="11"/>
      <c r="NC28" s="11"/>
      <c r="ND28" s="11"/>
      <c r="NE28" s="11"/>
      <c r="NF28" s="11"/>
      <c r="NG28" s="11"/>
      <c r="NH28" s="11"/>
      <c r="NI28" s="11"/>
      <c r="NJ28" s="11"/>
      <c r="NK28" s="11"/>
      <c r="NL28" s="11"/>
      <c r="NM28" s="11"/>
      <c r="NN28" s="11"/>
      <c r="NO28" s="11"/>
      <c r="NP28" s="11"/>
      <c r="NQ28" s="11"/>
      <c r="NR28" s="11"/>
      <c r="NS28" s="11"/>
      <c r="NT28" s="11"/>
      <c r="NU28" s="11"/>
      <c r="NV28" s="11"/>
      <c r="NW28" s="11"/>
      <c r="NX28" s="11"/>
      <c r="NY28" s="11"/>
      <c r="NZ28" s="11"/>
      <c r="OA28" s="11"/>
      <c r="OB28" s="11"/>
      <c r="OC28" s="11"/>
      <c r="OD28" s="11"/>
      <c r="OE28" s="11"/>
      <c r="OF28" s="11"/>
      <c r="OG28" s="11"/>
      <c r="OH28" s="11"/>
      <c r="OI28" s="11"/>
      <c r="OJ28" s="11"/>
      <c r="OK28" s="11"/>
      <c r="OL28" s="11"/>
      <c r="OM28" s="11"/>
      <c r="ON28" s="11"/>
      <c r="OO28" s="11"/>
      <c r="OP28" s="11"/>
      <c r="OQ28" s="11"/>
      <c r="OR28" s="11"/>
      <c r="OS28" s="11"/>
      <c r="OT28" s="11"/>
      <c r="OU28" s="11"/>
      <c r="OV28" s="11"/>
      <c r="OW28" s="11"/>
      <c r="OX28" s="11"/>
      <c r="OY28" s="11"/>
      <c r="OZ28" s="11"/>
      <c r="PA28" s="11"/>
      <c r="PB28" s="11"/>
      <c r="PC28" s="11"/>
      <c r="PD28" s="11"/>
      <c r="PE28" s="11"/>
      <c r="PF28" s="11"/>
      <c r="PG28" s="11"/>
      <c r="PH28" s="11"/>
      <c r="PI28" s="11"/>
      <c r="PJ28" s="11"/>
      <c r="PK28" s="11"/>
      <c r="PL28" s="11"/>
      <c r="PM28" s="11"/>
      <c r="PN28" s="11"/>
      <c r="PO28" s="11"/>
      <c r="PP28" s="11"/>
      <c r="PQ28" s="11"/>
      <c r="PR28" s="11"/>
      <c r="PS28" s="11"/>
      <c r="PT28" s="11"/>
      <c r="PU28" s="11"/>
      <c r="PV28" s="11"/>
      <c r="PW28" s="11"/>
      <c r="PX28" s="11"/>
      <c r="PY28" s="11"/>
      <c r="PZ28" s="11"/>
      <c r="QA28" s="11"/>
      <c r="QB28" s="11"/>
      <c r="QC28" s="11"/>
      <c r="QD28" s="11"/>
      <c r="QE28" s="11"/>
      <c r="QF28" s="11"/>
      <c r="QG28" s="11"/>
      <c r="QH28" s="11"/>
      <c r="QI28" s="11"/>
      <c r="QJ28" s="11"/>
      <c r="QK28" s="11"/>
      <c r="QL28" s="11"/>
      <c r="QM28" s="11"/>
      <c r="QN28" s="11"/>
      <c r="QO28" s="11"/>
      <c r="QP28" s="11"/>
      <c r="QQ28" s="11"/>
      <c r="QR28" s="11"/>
      <c r="QS28" s="11"/>
      <c r="QT28" s="11"/>
      <c r="QU28" s="11"/>
      <c r="QV28" s="11"/>
      <c r="QW28" s="11"/>
      <c r="QX28" s="11"/>
      <c r="QY28" s="11"/>
      <c r="QZ28" s="11"/>
      <c r="RA28" s="11"/>
      <c r="RB28" s="11"/>
      <c r="RC28" s="11"/>
      <c r="RD28" s="11"/>
      <c r="RE28" s="11"/>
      <c r="RF28" s="11"/>
      <c r="RG28" s="11"/>
      <c r="RH28" s="11"/>
      <c r="RI28" s="11"/>
      <c r="RJ28" s="11"/>
      <c r="RK28" s="11"/>
      <c r="RL28" s="11"/>
      <c r="RM28" s="11"/>
      <c r="RN28" s="11"/>
      <c r="RO28" s="11"/>
      <c r="RP28" s="11"/>
      <c r="RQ28" s="11"/>
      <c r="RR28" s="11"/>
      <c r="RS28" s="11"/>
      <c r="RT28" s="11"/>
      <c r="RU28" s="11"/>
      <c r="RV28" s="11"/>
      <c r="RW28" s="11"/>
      <c r="RX28" s="11"/>
    </row>
    <row r="29" spans="1:492" s="525" customFormat="1" ht="20.149999999999999" customHeight="1">
      <c r="A29" s="551" t="s">
        <v>113</v>
      </c>
      <c r="B29" s="576" t="s">
        <v>133</v>
      </c>
      <c r="C29" s="522"/>
      <c r="D29" s="522"/>
      <c r="E29" s="522"/>
      <c r="F29" s="522"/>
      <c r="G29" s="522"/>
      <c r="H29" s="522"/>
      <c r="I29" s="522"/>
      <c r="J29" s="522"/>
      <c r="K29" s="522"/>
      <c r="L29" s="522"/>
      <c r="M29" s="522"/>
      <c r="N29" s="522"/>
      <c r="O29" s="522"/>
      <c r="P29" s="522"/>
      <c r="Q29" s="522"/>
      <c r="R29" s="522"/>
      <c r="S29" s="522"/>
      <c r="T29" s="522"/>
      <c r="U29" s="522"/>
      <c r="V29" s="522"/>
      <c r="W29" s="522"/>
      <c r="X29" s="522"/>
      <c r="Y29" s="522"/>
      <c r="Z29" s="522"/>
      <c r="AA29" s="522"/>
      <c r="AB29" s="522"/>
      <c r="AC29" s="522"/>
      <c r="AD29" s="522"/>
      <c r="AE29" s="522"/>
      <c r="AF29" s="522"/>
      <c r="AG29" s="522"/>
      <c r="AH29" s="522"/>
      <c r="AI29" s="522"/>
      <c r="AJ29" s="522"/>
      <c r="AK29" s="522"/>
      <c r="AL29" s="522"/>
      <c r="AM29" s="566">
        <v>164.99999999999997</v>
      </c>
      <c r="AN29" s="523">
        <v>165.60000000000005</v>
      </c>
      <c r="AO29" s="523">
        <v>259.39999999999998</v>
      </c>
      <c r="AP29" s="523">
        <v>285.7</v>
      </c>
      <c r="AQ29" s="560">
        <f t="shared" si="27"/>
        <v>875.7</v>
      </c>
      <c r="AR29" s="523"/>
      <c r="AS29" s="523"/>
      <c r="AT29" s="523"/>
      <c r="AU29" s="523"/>
      <c r="AV29" s="524"/>
      <c r="AW29" s="523">
        <v>350.9</v>
      </c>
      <c r="AX29" s="523">
        <v>266</v>
      </c>
      <c r="AY29" s="523">
        <v>312.59999999999997</v>
      </c>
      <c r="AZ29" s="523">
        <v>258.39999999999998</v>
      </c>
      <c r="BA29" s="535">
        <f t="shared" ref="BA29" si="33">SUM(AW29:AZ29)</f>
        <v>1187.9000000000001</v>
      </c>
      <c r="BB29" s="566">
        <v>283.7</v>
      </c>
      <c r="BC29" s="523">
        <v>214.10000000000008</v>
      </c>
      <c r="BD29" s="523">
        <v>232.09999999999988</v>
      </c>
      <c r="BE29" s="523">
        <v>382.50000000000017</v>
      </c>
      <c r="BF29" s="560">
        <f>SUM(BB29:BE29)</f>
        <v>1112.4000000000001</v>
      </c>
      <c r="BG29" s="523">
        <v>295.3</v>
      </c>
      <c r="BH29" s="544">
        <v>315.59999999999997</v>
      </c>
      <c r="BI29" s="544">
        <v>205.10000000000002</v>
      </c>
      <c r="BJ29" s="523">
        <f>1049.3-SUM(BG29:BI29)</f>
        <v>233.29999999999995</v>
      </c>
      <c r="BK29" s="560">
        <f>SUM(BG29:BJ29)</f>
        <v>1049.3</v>
      </c>
      <c r="BL29" s="523">
        <v>257.89999999999998</v>
      </c>
      <c r="BM29" s="544">
        <f>497.2-BL29</f>
        <v>239.3</v>
      </c>
      <c r="BN29" s="544">
        <f>692.2-BM29-BL29</f>
        <v>195.00000000000006</v>
      </c>
      <c r="BO29" s="523">
        <f>964.2-BN29-BM29-BL29</f>
        <v>272.00000000000011</v>
      </c>
      <c r="BP29" s="560">
        <f>SUM(BL29:BO29)</f>
        <v>964.20000000000016</v>
      </c>
      <c r="BQ29" s="523">
        <v>269.60000000000002</v>
      </c>
      <c r="BR29" s="544"/>
      <c r="BS29" s="544"/>
      <c r="BT29" s="523"/>
      <c r="BU29" s="560">
        <f>SUM(BQ29:BT29)</f>
        <v>269.60000000000002</v>
      </c>
    </row>
    <row r="30" spans="1:492" s="525" customFormat="1" ht="20.149999999999999" customHeight="1">
      <c r="A30" s="551" t="s">
        <v>115</v>
      </c>
      <c r="B30" s="576" t="s">
        <v>116</v>
      </c>
      <c r="C30" s="526"/>
      <c r="D30" s="526"/>
      <c r="E30" s="526"/>
      <c r="F30" s="526"/>
      <c r="G30" s="526"/>
      <c r="H30" s="526"/>
      <c r="I30" s="526"/>
      <c r="J30" s="526"/>
      <c r="K30" s="526"/>
      <c r="L30" s="526"/>
      <c r="M30" s="526"/>
      <c r="N30" s="526"/>
      <c r="O30" s="526"/>
      <c r="P30" s="526"/>
      <c r="Q30" s="526"/>
      <c r="R30" s="526"/>
      <c r="S30" s="526"/>
      <c r="T30" s="526"/>
      <c r="U30" s="526"/>
      <c r="V30" s="526"/>
      <c r="W30" s="526"/>
      <c r="X30" s="526"/>
      <c r="Y30" s="526"/>
      <c r="Z30" s="526"/>
      <c r="AA30" s="526"/>
      <c r="AB30" s="526"/>
      <c r="AC30" s="526"/>
      <c r="AD30" s="526"/>
      <c r="AE30" s="526"/>
      <c r="AF30" s="526"/>
      <c r="AG30" s="526"/>
      <c r="AH30" s="526"/>
      <c r="AI30" s="526"/>
      <c r="AJ30" s="526"/>
      <c r="AK30" s="526"/>
      <c r="AL30" s="526"/>
      <c r="AM30" s="567">
        <v>9.4</v>
      </c>
      <c r="AN30" s="527">
        <v>10.6</v>
      </c>
      <c r="AO30" s="527">
        <v>23.4</v>
      </c>
      <c r="AP30" s="527">
        <v>9.3000000000000043</v>
      </c>
      <c r="AQ30" s="560">
        <f t="shared" si="27"/>
        <v>52.7</v>
      </c>
      <c r="AR30" s="527"/>
      <c r="AS30" s="527"/>
      <c r="AT30" s="527"/>
      <c r="AU30" s="527"/>
      <c r="AV30" s="524"/>
      <c r="AW30" s="527">
        <v>9</v>
      </c>
      <c r="AX30" s="527">
        <v>10.399999999999999</v>
      </c>
      <c r="AY30" s="527">
        <v>5.7000000000000028</v>
      </c>
      <c r="AZ30" s="527">
        <v>18.600000000000001</v>
      </c>
      <c r="BA30" s="535">
        <f>SUM(AW30:AZ30)</f>
        <v>43.7</v>
      </c>
      <c r="BB30" s="567">
        <v>23.7</v>
      </c>
      <c r="BC30" s="527">
        <v>14.2</v>
      </c>
      <c r="BD30" s="527">
        <v>19.899999999999999</v>
      </c>
      <c r="BE30" s="527">
        <v>47.7</v>
      </c>
      <c r="BF30" s="560">
        <f>SUM(BB30:BE30)</f>
        <v>105.5</v>
      </c>
      <c r="BG30" s="527">
        <v>40.200000000000003</v>
      </c>
      <c r="BH30" s="545">
        <v>18.899999999999999</v>
      </c>
      <c r="BI30" s="545">
        <v>26.700000000000003</v>
      </c>
      <c r="BJ30" s="527">
        <f>109.5-SUM(BG30:BI30)</f>
        <v>23.699999999999989</v>
      </c>
      <c r="BK30" s="560">
        <f>SUM(BG30:BJ30)</f>
        <v>109.5</v>
      </c>
      <c r="BL30" s="527">
        <v>67</v>
      </c>
      <c r="BM30" s="545">
        <f>81.7-BL30</f>
        <v>14.700000000000003</v>
      </c>
      <c r="BN30" s="545">
        <f>97.9-BM30-BL30</f>
        <v>16.200000000000003</v>
      </c>
      <c r="BO30" s="527">
        <f>117-BN30-BM30-BL30</f>
        <v>19.099999999999994</v>
      </c>
      <c r="BP30" s="560">
        <f>SUM(BL30:BO30)</f>
        <v>117</v>
      </c>
      <c r="BQ30" s="527">
        <v>22.3</v>
      </c>
      <c r="BR30" s="545"/>
      <c r="BS30" s="545"/>
      <c r="BT30" s="527"/>
      <c r="BU30" s="560">
        <f>SUM(BQ30:BT30)</f>
        <v>22.3</v>
      </c>
    </row>
    <row r="31" spans="1:492" s="525" customFormat="1" ht="20.149999999999999" customHeight="1" thickBot="1">
      <c r="A31" s="551" t="s">
        <v>123</v>
      </c>
      <c r="B31" s="576" t="s">
        <v>118</v>
      </c>
      <c r="C31" s="526"/>
      <c r="D31" s="526"/>
      <c r="E31" s="526"/>
      <c r="F31" s="526"/>
      <c r="G31" s="526"/>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67"/>
      <c r="AN31" s="527"/>
      <c r="AO31" s="527"/>
      <c r="AP31" s="527"/>
      <c r="AQ31" s="560"/>
      <c r="AR31" s="527"/>
      <c r="AS31" s="527"/>
      <c r="AT31" s="527"/>
      <c r="AU31" s="527"/>
      <c r="AV31" s="524"/>
      <c r="AW31" s="527"/>
      <c r="AX31" s="527"/>
      <c r="AY31" s="527"/>
      <c r="AZ31" s="527"/>
      <c r="BA31" s="535"/>
      <c r="BB31" s="567"/>
      <c r="BC31" s="527"/>
      <c r="BD31" s="527"/>
      <c r="BE31" s="527"/>
      <c r="BF31" s="560"/>
      <c r="BG31" s="527"/>
      <c r="BH31" s="545"/>
      <c r="BI31" s="545"/>
      <c r="BJ31" s="527"/>
      <c r="BK31" s="560"/>
      <c r="BL31" s="527"/>
      <c r="BM31" s="545">
        <v>8</v>
      </c>
      <c r="BN31" s="545">
        <f>22.1-BM31-BL31</f>
        <v>14.100000000000001</v>
      </c>
      <c r="BO31" s="527">
        <f>33.2-BN31-BM31</f>
        <v>11.100000000000001</v>
      </c>
      <c r="BP31" s="560">
        <f>SUM(BL31:BO31)</f>
        <v>33.200000000000003</v>
      </c>
      <c r="BQ31" s="527">
        <v>3.3</v>
      </c>
      <c r="BR31" s="545"/>
      <c r="BS31" s="545"/>
      <c r="BT31" s="527"/>
      <c r="BU31" s="560">
        <f>SUM(BQ31:BT31)</f>
        <v>3.3</v>
      </c>
    </row>
    <row r="32" spans="1:492" s="65" customFormat="1" ht="29.6" thickBot="1">
      <c r="A32" s="552" t="s">
        <v>134</v>
      </c>
      <c r="B32" s="577" t="s">
        <v>135</v>
      </c>
      <c r="C32" s="433"/>
      <c r="D32" s="433"/>
      <c r="E32" s="433"/>
      <c r="F32" s="433"/>
      <c r="G32" s="433"/>
      <c r="H32" s="433"/>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c r="AI32" s="433"/>
      <c r="AJ32" s="433"/>
      <c r="AK32" s="433"/>
      <c r="AL32" s="433"/>
      <c r="AM32" s="568">
        <f t="shared" ref="AM32:BL32" si="34">AM28/AM5</f>
        <v>7.4342469840999181E-2</v>
      </c>
      <c r="AN32" s="434">
        <f t="shared" si="34"/>
        <v>6.7685925015365744E-2</v>
      </c>
      <c r="AO32" s="434">
        <f t="shared" si="34"/>
        <v>0.10340036563071296</v>
      </c>
      <c r="AP32" s="434">
        <f t="shared" si="34"/>
        <v>9.826782145236504E-2</v>
      </c>
      <c r="AQ32" s="569">
        <f t="shared" si="34"/>
        <v>8.6879216926661729E-2</v>
      </c>
      <c r="AR32" s="434" t="e">
        <f t="shared" si="34"/>
        <v>#DIV/0!</v>
      </c>
      <c r="AS32" s="434" t="e">
        <f t="shared" si="34"/>
        <v>#DIV/0!</v>
      </c>
      <c r="AT32" s="434" t="e">
        <f t="shared" si="34"/>
        <v>#DIV/0!</v>
      </c>
      <c r="AU32" s="434" t="e">
        <f t="shared" si="34"/>
        <v>#DIV/0!</v>
      </c>
      <c r="AV32" s="435" t="e">
        <f t="shared" si="34"/>
        <v>#DIV/0!</v>
      </c>
      <c r="AW32" s="434">
        <f t="shared" si="34"/>
        <v>0.12892248173090701</v>
      </c>
      <c r="AX32" s="434">
        <f t="shared" si="34"/>
        <v>9.4560383167978102E-2</v>
      </c>
      <c r="AY32" s="434">
        <f t="shared" si="34"/>
        <v>0.11004701977596458</v>
      </c>
      <c r="AZ32" s="434">
        <f t="shared" si="34"/>
        <v>9.0254471995047422E-2</v>
      </c>
      <c r="BA32" s="555">
        <f t="shared" si="34"/>
        <v>0.10548042582711693</v>
      </c>
      <c r="BB32" s="568">
        <f t="shared" si="34"/>
        <v>0.10791644725294014</v>
      </c>
      <c r="BC32" s="434">
        <f t="shared" si="34"/>
        <v>7.974988647081431E-2</v>
      </c>
      <c r="BD32" s="434">
        <f t="shared" si="34"/>
        <v>8.3902114200099839E-2</v>
      </c>
      <c r="BE32" s="434">
        <f t="shared" si="34"/>
        <v>0.13244258358475466</v>
      </c>
      <c r="BF32" s="569">
        <f t="shared" si="34"/>
        <v>0.10180641817619475</v>
      </c>
      <c r="BG32" s="434">
        <f t="shared" si="34"/>
        <v>0.11230501439378725</v>
      </c>
      <c r="BH32" s="434">
        <f t="shared" si="34"/>
        <v>0.10586448080513972</v>
      </c>
      <c r="BI32" s="434">
        <f t="shared" si="34"/>
        <v>7.6453708895412115E-2</v>
      </c>
      <c r="BJ32" s="434">
        <f t="shared" si="34"/>
        <v>7.8713629402756474E-2</v>
      </c>
      <c r="BK32" s="580">
        <f t="shared" si="34"/>
        <v>9.312118289938924E-2</v>
      </c>
      <c r="BL32" s="434">
        <f t="shared" si="34"/>
        <v>0.10878226805504401</v>
      </c>
      <c r="BM32" s="434">
        <f>BM28/BM5</f>
        <v>8.1162293609243819E-2</v>
      </c>
      <c r="BN32" s="434">
        <f>BN28/BN5</f>
        <v>6.888012473631111E-2</v>
      </c>
      <c r="BO32" s="434">
        <f>BO28/BO5</f>
        <v>8.8115232097037602E-2</v>
      </c>
      <c r="BP32" s="580">
        <f>BP28/BP5</f>
        <v>8.628525856929381E-2</v>
      </c>
      <c r="BQ32" s="434">
        <f t="shared" ref="BQ32" si="35">BQ28/BQ5</f>
        <v>9.227018410277249E-2</v>
      </c>
      <c r="BR32" s="434" t="e">
        <f>BR28/BR5</f>
        <v>#DIV/0!</v>
      </c>
      <c r="BS32" s="434" t="e">
        <f>BS28/BS5</f>
        <v>#DIV/0!</v>
      </c>
      <c r="BT32" s="434" t="e">
        <f>BT28/BT5</f>
        <v>#DIV/0!</v>
      </c>
      <c r="BU32" s="580">
        <f>BU28/BU5</f>
        <v>9.227018410277249E-2</v>
      </c>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c r="IY32" s="11"/>
      <c r="IZ32" s="11"/>
      <c r="JA32" s="11"/>
      <c r="JB32" s="11"/>
      <c r="JC32" s="11"/>
      <c r="JD32" s="11"/>
      <c r="JE32" s="11"/>
      <c r="JF32" s="11"/>
      <c r="JG32" s="11"/>
      <c r="JH32" s="11"/>
      <c r="JI32" s="11"/>
      <c r="JJ32" s="11"/>
      <c r="JK32" s="11"/>
      <c r="JL32" s="11"/>
      <c r="JM32" s="11"/>
      <c r="JN32" s="11"/>
      <c r="JO32" s="11"/>
      <c r="JP32" s="11"/>
      <c r="JQ32" s="11"/>
      <c r="JR32" s="11"/>
      <c r="JS32" s="11"/>
      <c r="JT32" s="11"/>
      <c r="JU32" s="11"/>
      <c r="JV32" s="11"/>
      <c r="JW32" s="11"/>
      <c r="JX32" s="11"/>
      <c r="JY32" s="11"/>
      <c r="JZ32" s="11"/>
      <c r="KA32" s="11"/>
      <c r="KB32" s="11"/>
      <c r="KC32" s="11"/>
      <c r="KD32" s="11"/>
      <c r="KE32" s="11"/>
      <c r="KF32" s="11"/>
      <c r="KG32" s="11"/>
      <c r="KH32" s="11"/>
      <c r="KI32" s="11"/>
      <c r="KJ32" s="11"/>
      <c r="KK32" s="11"/>
      <c r="KL32" s="11"/>
      <c r="KM32" s="11"/>
      <c r="KN32" s="11"/>
      <c r="KO32" s="11"/>
      <c r="KP32" s="11"/>
      <c r="KQ32" s="11"/>
      <c r="KR32" s="11"/>
      <c r="KS32" s="11"/>
      <c r="KT32" s="11"/>
      <c r="KU32" s="11"/>
      <c r="KV32" s="11"/>
      <c r="KW32" s="11"/>
      <c r="KX32" s="11"/>
      <c r="KY32" s="11"/>
      <c r="KZ32" s="11"/>
      <c r="LA32" s="11"/>
      <c r="LB32" s="11"/>
      <c r="LC32" s="11"/>
      <c r="LD32" s="11"/>
      <c r="LE32" s="11"/>
      <c r="LF32" s="11"/>
      <c r="LG32" s="11"/>
      <c r="LH32" s="11"/>
      <c r="LI32" s="11"/>
      <c r="LJ32" s="11"/>
      <c r="LK32" s="11"/>
      <c r="LL32" s="11"/>
      <c r="LM32" s="11"/>
      <c r="LN32" s="11"/>
      <c r="LO32" s="11"/>
      <c r="LP32" s="11"/>
      <c r="LQ32" s="11"/>
      <c r="LR32" s="11"/>
      <c r="LS32" s="11"/>
      <c r="LT32" s="11"/>
      <c r="LU32" s="11"/>
      <c r="LV32" s="11"/>
      <c r="LW32" s="11"/>
      <c r="LX32" s="11"/>
      <c r="LY32" s="11"/>
      <c r="LZ32" s="11"/>
      <c r="MA32" s="11"/>
      <c r="MB32" s="11"/>
      <c r="MC32" s="11"/>
      <c r="MD32" s="11"/>
      <c r="ME32" s="11"/>
      <c r="MF32" s="11"/>
      <c r="MG32" s="11"/>
      <c r="MH32" s="11"/>
      <c r="MI32" s="11"/>
      <c r="MJ32" s="11"/>
      <c r="MK32" s="11"/>
      <c r="ML32" s="11"/>
      <c r="MM32" s="11"/>
      <c r="MN32" s="11"/>
      <c r="MO32" s="11"/>
      <c r="MP32" s="11"/>
      <c r="MQ32" s="11"/>
      <c r="MR32" s="11"/>
      <c r="MS32" s="11"/>
      <c r="MT32" s="11"/>
      <c r="MU32" s="11"/>
      <c r="MV32" s="11"/>
      <c r="MW32" s="11"/>
      <c r="MX32" s="11"/>
      <c r="MY32" s="11"/>
      <c r="MZ32" s="11"/>
      <c r="NA32" s="11"/>
      <c r="NB32" s="11"/>
      <c r="NC32" s="11"/>
      <c r="ND32" s="11"/>
      <c r="NE32" s="11"/>
      <c r="NF32" s="11"/>
      <c r="NG32" s="11"/>
      <c r="NH32" s="11"/>
      <c r="NI32" s="11"/>
      <c r="NJ32" s="11"/>
      <c r="NK32" s="11"/>
      <c r="NL32" s="11"/>
      <c r="NM32" s="11"/>
      <c r="NN32" s="11"/>
      <c r="NO32" s="11"/>
      <c r="NP32" s="11"/>
      <c r="NQ32" s="11"/>
      <c r="NR32" s="11"/>
      <c r="NS32" s="11"/>
      <c r="NT32" s="11"/>
      <c r="NU32" s="11"/>
      <c r="NV32" s="11"/>
      <c r="NW32" s="11"/>
      <c r="NX32" s="11"/>
      <c r="NY32" s="11"/>
      <c r="NZ32" s="11"/>
      <c r="OA32" s="11"/>
      <c r="OB32" s="11"/>
      <c r="OC32" s="11"/>
      <c r="OD32" s="11"/>
      <c r="OE32" s="11"/>
      <c r="OF32" s="11"/>
      <c r="OG32" s="11"/>
      <c r="OH32" s="11"/>
      <c r="OI32" s="11"/>
      <c r="OJ32" s="11"/>
      <c r="OK32" s="11"/>
      <c r="OL32" s="11"/>
      <c r="OM32" s="11"/>
      <c r="ON32" s="11"/>
      <c r="OO32" s="11"/>
      <c r="OP32" s="11"/>
      <c r="OQ32" s="11"/>
      <c r="OR32" s="11"/>
      <c r="OS32" s="11"/>
      <c r="OT32" s="11"/>
      <c r="OU32" s="11"/>
      <c r="OV32" s="11"/>
      <c r="OW32" s="11"/>
      <c r="OX32" s="11"/>
      <c r="OY32" s="11"/>
      <c r="OZ32" s="11"/>
      <c r="PA32" s="11"/>
      <c r="PB32" s="11"/>
      <c r="PC32" s="11"/>
      <c r="PD32" s="11"/>
      <c r="PE32" s="11"/>
      <c r="PF32" s="11"/>
      <c r="PG32" s="11"/>
      <c r="PH32" s="11"/>
      <c r="PI32" s="11"/>
      <c r="PJ32" s="11"/>
      <c r="PK32" s="11"/>
      <c r="PL32" s="11"/>
      <c r="PM32" s="11"/>
      <c r="PN32" s="11"/>
      <c r="PO32" s="11"/>
      <c r="PP32" s="11"/>
      <c r="PQ32" s="11"/>
      <c r="PR32" s="11"/>
      <c r="PS32" s="11"/>
      <c r="PT32" s="11"/>
      <c r="PU32" s="11"/>
      <c r="PV32" s="11"/>
      <c r="PW32" s="11"/>
      <c r="PX32" s="11"/>
      <c r="PY32" s="11"/>
      <c r="PZ32" s="11"/>
      <c r="QA32" s="11"/>
      <c r="QB32" s="11"/>
      <c r="QC32" s="11"/>
      <c r="QD32" s="11"/>
      <c r="QE32" s="11"/>
      <c r="QF32" s="11"/>
      <c r="QG32" s="11"/>
      <c r="QH32" s="11"/>
      <c r="QI32" s="11"/>
      <c r="QJ32" s="11"/>
      <c r="QK32" s="11"/>
      <c r="QL32" s="11"/>
      <c r="QM32" s="11"/>
      <c r="QN32" s="11"/>
      <c r="QO32" s="11"/>
      <c r="QP32" s="11"/>
      <c r="QQ32" s="11"/>
      <c r="QR32" s="11"/>
      <c r="QS32" s="11"/>
      <c r="QT32" s="11"/>
      <c r="QU32" s="11"/>
      <c r="QV32" s="11"/>
      <c r="QW32" s="11"/>
      <c r="QX32" s="11"/>
      <c r="QY32" s="11"/>
      <c r="QZ32" s="11"/>
      <c r="RA32" s="11"/>
      <c r="RB32" s="11"/>
      <c r="RC32" s="11"/>
      <c r="RD32" s="11"/>
      <c r="RE32" s="11"/>
      <c r="RF32" s="11"/>
      <c r="RG32" s="11"/>
      <c r="RH32" s="11"/>
      <c r="RI32" s="11"/>
      <c r="RJ32" s="11"/>
      <c r="RK32" s="11"/>
      <c r="RL32" s="11"/>
      <c r="RM32" s="11"/>
      <c r="RN32" s="11"/>
      <c r="RO32" s="11"/>
      <c r="RP32" s="11"/>
      <c r="RQ32" s="11"/>
      <c r="RR32" s="11"/>
      <c r="RS32" s="11"/>
      <c r="RT32" s="11"/>
      <c r="RU32" s="11"/>
      <c r="RV32" s="11"/>
      <c r="RW32" s="11"/>
      <c r="RX32" s="11"/>
    </row>
    <row r="33" spans="1:492" s="166" customFormat="1" ht="30" customHeight="1">
      <c r="A33" s="792"/>
      <c r="B33" s="124"/>
      <c r="C33" s="124"/>
      <c r="D33" s="124"/>
      <c r="E33" s="124"/>
      <c r="F33" s="124"/>
      <c r="G33" s="124"/>
      <c r="H33" s="124"/>
      <c r="I33" s="124"/>
      <c r="J33" s="124"/>
      <c r="K33" s="124"/>
      <c r="L33" s="124"/>
      <c r="M33" s="124"/>
      <c r="N33" s="124"/>
      <c r="O33" s="124"/>
      <c r="P33" s="124"/>
      <c r="Q33" s="124"/>
      <c r="R33" s="124"/>
      <c r="S33" s="124"/>
      <c r="T33" s="124"/>
      <c r="U33" s="124"/>
      <c r="V33" s="124"/>
      <c r="W33" s="124"/>
      <c r="X33" s="124"/>
      <c r="Y33" s="124"/>
      <c r="Z33" s="124"/>
      <c r="AA33" s="124"/>
      <c r="AB33" s="124"/>
      <c r="AC33" s="124"/>
      <c r="AD33" s="124"/>
      <c r="AE33" s="124"/>
      <c r="AF33" s="124"/>
      <c r="AG33" s="124"/>
      <c r="AH33" s="124"/>
      <c r="AI33" s="124"/>
      <c r="AJ33" s="124"/>
      <c r="AK33" s="124"/>
      <c r="AL33" s="124"/>
      <c r="AM33" s="793"/>
      <c r="AN33" s="793"/>
      <c r="AO33" s="793"/>
      <c r="AP33" s="793"/>
      <c r="AQ33" s="793"/>
      <c r="AR33" s="781"/>
      <c r="AS33" s="781"/>
      <c r="AT33" s="781"/>
      <c r="AU33" s="781"/>
      <c r="AV33" s="781"/>
      <c r="AW33" s="793"/>
      <c r="AX33" s="793"/>
      <c r="AY33" s="793"/>
      <c r="AZ33" s="793"/>
      <c r="BA33" s="169"/>
      <c r="BB33" s="169"/>
      <c r="BC33" s="169"/>
      <c r="BD33" s="169"/>
      <c r="BE33" s="169"/>
      <c r="BF33" s="169"/>
      <c r="BG33" s="169"/>
      <c r="BH33" s="169"/>
      <c r="BI33" s="169"/>
      <c r="BJ33" s="169"/>
      <c r="BK33" s="169"/>
      <c r="BL33" s="169"/>
      <c r="BM33" s="169"/>
      <c r="BN33" s="169"/>
      <c r="BO33" s="169"/>
      <c r="BP33" s="169"/>
      <c r="BQ33" s="169"/>
      <c r="BR33" s="169"/>
      <c r="BS33" s="169"/>
      <c r="BT33" s="169"/>
      <c r="BU33" s="169"/>
      <c r="BV33" s="790"/>
      <c r="BW33" s="790"/>
      <c r="BX33" s="790"/>
      <c r="BY33" s="790"/>
      <c r="BZ33" s="790"/>
      <c r="CA33" s="790"/>
      <c r="CB33" s="790"/>
      <c r="CC33" s="790"/>
      <c r="CD33" s="790"/>
      <c r="CE33" s="790"/>
      <c r="CF33" s="790"/>
      <c r="CG33" s="790"/>
      <c r="CH33" s="790"/>
      <c r="CI33" s="790"/>
      <c r="CJ33" s="790"/>
      <c r="CK33" s="790"/>
      <c r="CL33" s="790"/>
      <c r="CM33" s="790"/>
      <c r="CN33" s="790"/>
      <c r="CO33" s="790"/>
      <c r="CP33" s="790"/>
      <c r="CQ33" s="790"/>
      <c r="CR33" s="790"/>
      <c r="CS33" s="790"/>
      <c r="CT33" s="790"/>
      <c r="CU33" s="790"/>
      <c r="CV33" s="790"/>
      <c r="CW33" s="790"/>
      <c r="CX33" s="790"/>
      <c r="CY33" s="790"/>
      <c r="CZ33" s="790"/>
      <c r="DA33" s="790"/>
      <c r="DB33" s="790"/>
      <c r="DC33" s="790"/>
      <c r="DD33" s="790"/>
      <c r="DE33" s="790"/>
      <c r="DF33" s="790"/>
      <c r="DG33" s="790"/>
      <c r="DH33" s="790"/>
      <c r="DI33" s="790"/>
      <c r="DJ33" s="790"/>
      <c r="DK33" s="790"/>
      <c r="DL33" s="790"/>
      <c r="DM33" s="790"/>
      <c r="DN33" s="790"/>
      <c r="DO33" s="790"/>
      <c r="DP33" s="790"/>
      <c r="DQ33" s="790"/>
      <c r="DR33" s="790"/>
      <c r="DS33" s="790"/>
      <c r="DT33" s="790"/>
      <c r="DU33" s="790"/>
      <c r="DV33" s="790"/>
      <c r="DW33" s="790"/>
      <c r="DX33" s="790"/>
      <c r="DY33" s="790"/>
      <c r="DZ33" s="790"/>
      <c r="EA33" s="790"/>
      <c r="EB33" s="790"/>
      <c r="EC33" s="790"/>
      <c r="ED33" s="790"/>
      <c r="EE33" s="790"/>
      <c r="EF33" s="790"/>
      <c r="EG33" s="790"/>
      <c r="EH33" s="790"/>
      <c r="EI33" s="790"/>
      <c r="EJ33" s="790"/>
      <c r="EK33" s="790"/>
      <c r="EL33" s="790"/>
      <c r="EM33" s="790"/>
      <c r="EN33" s="790"/>
      <c r="EO33" s="790"/>
      <c r="EP33" s="790"/>
      <c r="EQ33" s="790"/>
      <c r="ER33" s="790"/>
      <c r="ES33" s="790"/>
      <c r="ET33" s="790"/>
      <c r="EU33" s="790"/>
      <c r="EV33" s="790"/>
      <c r="EW33" s="790"/>
      <c r="EX33" s="790"/>
      <c r="EY33" s="790"/>
      <c r="EZ33" s="790"/>
      <c r="FA33" s="790"/>
      <c r="FB33" s="790"/>
      <c r="FC33" s="790"/>
      <c r="FD33" s="790"/>
      <c r="FE33" s="790"/>
      <c r="FF33" s="790"/>
      <c r="FG33" s="790"/>
      <c r="FH33" s="790"/>
      <c r="FI33" s="790"/>
      <c r="FJ33" s="790"/>
      <c r="FK33" s="790"/>
      <c r="FL33" s="790"/>
      <c r="FM33" s="790"/>
      <c r="FN33" s="790"/>
      <c r="FO33" s="790"/>
      <c r="FP33" s="790"/>
      <c r="FQ33" s="790"/>
      <c r="FR33" s="790"/>
      <c r="FS33" s="790"/>
      <c r="FT33" s="790"/>
      <c r="FU33" s="790"/>
      <c r="FV33" s="790"/>
      <c r="FW33" s="790"/>
      <c r="FX33" s="790"/>
      <c r="FY33" s="790"/>
      <c r="FZ33" s="790"/>
      <c r="GA33" s="790"/>
      <c r="GB33" s="790"/>
      <c r="GC33" s="790"/>
      <c r="GD33" s="790"/>
      <c r="GE33" s="790"/>
      <c r="GF33" s="790"/>
      <c r="GG33" s="790"/>
      <c r="GH33" s="790"/>
      <c r="GI33" s="790"/>
      <c r="GJ33" s="790"/>
      <c r="GK33" s="790"/>
      <c r="GL33" s="790"/>
      <c r="GM33" s="790"/>
      <c r="GN33" s="790"/>
      <c r="GO33" s="790"/>
      <c r="GP33" s="790"/>
      <c r="GQ33" s="790"/>
      <c r="GR33" s="790"/>
      <c r="GS33" s="790"/>
      <c r="GT33" s="790"/>
      <c r="GU33" s="790"/>
      <c r="GV33" s="790"/>
      <c r="GW33" s="790"/>
      <c r="GX33" s="790"/>
      <c r="GY33" s="790"/>
      <c r="GZ33" s="790"/>
      <c r="HA33" s="790"/>
      <c r="HB33" s="790"/>
      <c r="HC33" s="790"/>
      <c r="HD33" s="790"/>
      <c r="HE33" s="790"/>
      <c r="HF33" s="790"/>
      <c r="HG33" s="790"/>
      <c r="HH33" s="790"/>
      <c r="HI33" s="790"/>
      <c r="HJ33" s="790"/>
      <c r="HK33" s="790"/>
      <c r="HL33" s="790"/>
      <c r="HM33" s="790"/>
      <c r="HN33" s="790"/>
      <c r="HO33" s="790"/>
      <c r="HP33" s="790"/>
      <c r="HQ33" s="790"/>
      <c r="HR33" s="790"/>
      <c r="HS33" s="790"/>
      <c r="HT33" s="790"/>
      <c r="HU33" s="790"/>
      <c r="HV33" s="790"/>
      <c r="HW33" s="790"/>
      <c r="HX33" s="790"/>
      <c r="HY33" s="790"/>
      <c r="HZ33" s="790"/>
      <c r="IA33" s="790"/>
      <c r="IB33" s="790"/>
      <c r="IC33" s="790"/>
      <c r="ID33" s="790"/>
      <c r="IE33" s="790"/>
      <c r="IF33" s="790"/>
      <c r="IG33" s="790"/>
      <c r="IH33" s="790"/>
      <c r="II33" s="790"/>
      <c r="IJ33" s="790"/>
      <c r="IK33" s="790"/>
      <c r="IL33" s="790"/>
      <c r="IM33" s="790"/>
      <c r="IN33" s="790"/>
      <c r="IO33" s="790"/>
      <c r="IP33" s="790"/>
      <c r="IQ33" s="790"/>
      <c r="IR33" s="790"/>
      <c r="IS33" s="790"/>
      <c r="IT33" s="790"/>
      <c r="IU33" s="790"/>
      <c r="IV33" s="790"/>
      <c r="IW33" s="790"/>
      <c r="IX33" s="790"/>
      <c r="IY33" s="790"/>
      <c r="IZ33" s="790"/>
      <c r="JA33" s="790"/>
      <c r="JB33" s="790"/>
      <c r="JC33" s="790"/>
      <c r="JD33" s="790"/>
      <c r="JE33" s="790"/>
      <c r="JF33" s="790"/>
      <c r="JG33" s="790"/>
      <c r="JH33" s="790"/>
      <c r="JI33" s="790"/>
      <c r="JJ33" s="790"/>
      <c r="JK33" s="790"/>
      <c r="JL33" s="790"/>
      <c r="JM33" s="790"/>
      <c r="JN33" s="790"/>
      <c r="JO33" s="790"/>
      <c r="JP33" s="790"/>
      <c r="JQ33" s="790"/>
      <c r="JR33" s="790"/>
      <c r="JS33" s="790"/>
      <c r="JT33" s="790"/>
      <c r="JU33" s="790"/>
      <c r="JV33" s="790"/>
      <c r="JW33" s="790"/>
      <c r="JX33" s="790"/>
      <c r="JY33" s="790"/>
      <c r="JZ33" s="790"/>
      <c r="KA33" s="790"/>
      <c r="KB33" s="790"/>
      <c r="KC33" s="790"/>
      <c r="KD33" s="790"/>
      <c r="KE33" s="790"/>
      <c r="KF33" s="790"/>
      <c r="KG33" s="790"/>
      <c r="KH33" s="790"/>
      <c r="KI33" s="790"/>
      <c r="KJ33" s="790"/>
      <c r="KK33" s="790"/>
      <c r="KL33" s="790"/>
      <c r="KM33" s="790"/>
      <c r="KN33" s="790"/>
      <c r="KO33" s="790"/>
      <c r="KP33" s="790"/>
      <c r="KQ33" s="790"/>
      <c r="KR33" s="790"/>
      <c r="KS33" s="790"/>
      <c r="KT33" s="790"/>
      <c r="KU33" s="790"/>
      <c r="KV33" s="790"/>
      <c r="KW33" s="790"/>
      <c r="KX33" s="790"/>
      <c r="KY33" s="790"/>
      <c r="KZ33" s="790"/>
      <c r="LA33" s="790"/>
      <c r="LB33" s="790"/>
      <c r="LC33" s="790"/>
      <c r="LD33" s="790"/>
      <c r="LE33" s="790"/>
      <c r="LF33" s="790"/>
      <c r="LG33" s="790"/>
      <c r="LH33" s="790"/>
      <c r="LI33" s="790"/>
      <c r="LJ33" s="790"/>
      <c r="LK33" s="790"/>
      <c r="LL33" s="790"/>
      <c r="LM33" s="790"/>
      <c r="LN33" s="790"/>
      <c r="LO33" s="790"/>
      <c r="LP33" s="790"/>
      <c r="LQ33" s="790"/>
      <c r="LR33" s="790"/>
      <c r="LS33" s="790"/>
      <c r="LT33" s="790"/>
      <c r="LU33" s="790"/>
      <c r="LV33" s="790"/>
      <c r="LW33" s="790"/>
      <c r="LX33" s="790"/>
      <c r="LY33" s="790"/>
      <c r="LZ33" s="790"/>
      <c r="MA33" s="790"/>
      <c r="MB33" s="790"/>
      <c r="MC33" s="790"/>
      <c r="MD33" s="790"/>
      <c r="ME33" s="790"/>
      <c r="MF33" s="790"/>
      <c r="MG33" s="790"/>
      <c r="MH33" s="790"/>
      <c r="MI33" s="790"/>
      <c r="MJ33" s="790"/>
      <c r="MK33" s="790"/>
      <c r="ML33" s="790"/>
      <c r="MM33" s="790"/>
      <c r="MN33" s="790"/>
      <c r="MO33" s="790"/>
      <c r="MP33" s="790"/>
      <c r="MQ33" s="790"/>
      <c r="MR33" s="790"/>
      <c r="MS33" s="790"/>
      <c r="MT33" s="790"/>
      <c r="MU33" s="790"/>
      <c r="MV33" s="790"/>
      <c r="MW33" s="790"/>
      <c r="MX33" s="790"/>
      <c r="MY33" s="790"/>
      <c r="MZ33" s="790"/>
      <c r="NA33" s="790"/>
      <c r="NB33" s="790"/>
      <c r="NC33" s="790"/>
      <c r="ND33" s="790"/>
      <c r="NE33" s="790"/>
      <c r="NF33" s="790"/>
      <c r="NG33" s="790"/>
      <c r="NH33" s="790"/>
      <c r="NI33" s="790"/>
      <c r="NJ33" s="790"/>
      <c r="NK33" s="790"/>
      <c r="NL33" s="790"/>
      <c r="NM33" s="790"/>
      <c r="NN33" s="790"/>
      <c r="NO33" s="790"/>
      <c r="NP33" s="790"/>
      <c r="NQ33" s="790"/>
      <c r="NR33" s="790"/>
      <c r="NS33" s="790"/>
      <c r="NT33" s="790"/>
      <c r="NU33" s="790"/>
      <c r="NV33" s="790"/>
      <c r="NW33" s="790"/>
      <c r="NX33" s="790"/>
      <c r="NY33" s="790"/>
      <c r="NZ33" s="790"/>
      <c r="OA33" s="790"/>
      <c r="OB33" s="790"/>
      <c r="OC33" s="790"/>
      <c r="OD33" s="790"/>
      <c r="OE33" s="790"/>
      <c r="OF33" s="790"/>
      <c r="OG33" s="790"/>
      <c r="OH33" s="790"/>
      <c r="OI33" s="790"/>
      <c r="OJ33" s="790"/>
      <c r="OK33" s="790"/>
      <c r="OL33" s="790"/>
      <c r="OM33" s="790"/>
      <c r="ON33" s="790"/>
      <c r="OO33" s="790"/>
      <c r="OP33" s="790"/>
      <c r="OQ33" s="790"/>
      <c r="OR33" s="790"/>
      <c r="OS33" s="790"/>
      <c r="OT33" s="790"/>
      <c r="OU33" s="790"/>
      <c r="OV33" s="790"/>
      <c r="OW33" s="790"/>
      <c r="OX33" s="790"/>
      <c r="OY33" s="790"/>
      <c r="OZ33" s="790"/>
      <c r="PA33" s="790"/>
      <c r="PB33" s="790"/>
      <c r="PC33" s="790"/>
      <c r="PD33" s="790"/>
      <c r="PE33" s="790"/>
      <c r="PF33" s="790"/>
      <c r="PG33" s="790"/>
      <c r="PH33" s="790"/>
      <c r="PI33" s="790"/>
      <c r="PJ33" s="790"/>
      <c r="PK33" s="790"/>
      <c r="PL33" s="790"/>
      <c r="PM33" s="790"/>
      <c r="PN33" s="790"/>
      <c r="PO33" s="790"/>
      <c r="PP33" s="790"/>
      <c r="PQ33" s="790"/>
      <c r="PR33" s="790"/>
      <c r="PS33" s="790"/>
      <c r="PT33" s="790"/>
      <c r="PU33" s="790"/>
      <c r="PV33" s="790"/>
      <c r="PW33" s="790"/>
      <c r="PX33" s="790"/>
      <c r="PY33" s="790"/>
      <c r="PZ33" s="790"/>
      <c r="QA33" s="790"/>
      <c r="QB33" s="790"/>
      <c r="QC33" s="790"/>
      <c r="QD33" s="790"/>
      <c r="QE33" s="790"/>
      <c r="QF33" s="790"/>
      <c r="QG33" s="790"/>
      <c r="QH33" s="790"/>
      <c r="QI33" s="790"/>
      <c r="QJ33" s="790"/>
      <c r="QK33" s="790"/>
      <c r="QL33" s="790"/>
      <c r="QM33" s="790"/>
      <c r="QN33" s="790"/>
      <c r="QO33" s="790"/>
      <c r="QP33" s="790"/>
      <c r="QQ33" s="790"/>
      <c r="QR33" s="790"/>
      <c r="QS33" s="790"/>
      <c r="QT33" s="790"/>
      <c r="QU33" s="790"/>
      <c r="QV33" s="790"/>
      <c r="QW33" s="790"/>
      <c r="QX33" s="790"/>
      <c r="QY33" s="790"/>
      <c r="QZ33" s="790"/>
      <c r="RA33" s="790"/>
      <c r="RB33" s="790"/>
      <c r="RC33" s="790"/>
      <c r="RD33" s="790"/>
      <c r="RE33" s="790"/>
      <c r="RF33" s="790"/>
      <c r="RG33" s="790"/>
      <c r="RH33" s="790"/>
      <c r="RI33" s="790"/>
      <c r="RJ33" s="790"/>
      <c r="RK33" s="790"/>
      <c r="RL33" s="790"/>
      <c r="RM33" s="790"/>
      <c r="RN33" s="790"/>
      <c r="RO33" s="790"/>
      <c r="RP33" s="790"/>
      <c r="RQ33" s="790"/>
      <c r="RR33" s="790"/>
      <c r="RS33" s="790"/>
      <c r="RT33" s="790"/>
      <c r="RU33" s="790"/>
      <c r="RV33" s="790"/>
      <c r="RW33" s="790"/>
      <c r="RX33" s="790"/>
    </row>
    <row r="34" spans="1:492" s="168" customFormat="1" ht="28.5" customHeight="1">
      <c r="A34" s="111" t="s">
        <v>136</v>
      </c>
      <c r="B34" s="111" t="s">
        <v>137</v>
      </c>
      <c r="C34" s="111"/>
      <c r="D34" s="111"/>
      <c r="E34" s="111"/>
      <c r="F34" s="111"/>
      <c r="G34" s="111"/>
      <c r="H34" s="111"/>
      <c r="I34" s="111"/>
      <c r="J34" s="111"/>
      <c r="K34" s="111"/>
      <c r="L34" s="111"/>
      <c r="M34" s="111"/>
      <c r="N34" s="111"/>
      <c r="O34" s="111"/>
      <c r="P34" s="111"/>
      <c r="Q34" s="111"/>
      <c r="R34" s="111"/>
      <c r="S34" s="111"/>
      <c r="T34" s="111"/>
      <c r="U34" s="111"/>
      <c r="V34" s="111"/>
      <c r="W34" s="111"/>
      <c r="X34" s="111"/>
      <c r="Y34" s="111"/>
      <c r="Z34" s="111"/>
      <c r="AA34" s="111"/>
      <c r="AB34" s="111"/>
      <c r="AC34" s="111"/>
      <c r="AD34" s="111"/>
      <c r="AE34" s="111"/>
      <c r="AF34" s="111"/>
      <c r="AG34" s="111"/>
      <c r="AH34" s="111"/>
      <c r="AI34" s="111"/>
      <c r="AJ34" s="111"/>
      <c r="AK34" s="111"/>
      <c r="AL34" s="111"/>
      <c r="AM34" s="794"/>
      <c r="AN34" s="794"/>
      <c r="AO34" s="794"/>
      <c r="AP34" s="794"/>
      <c r="AQ34" s="795"/>
      <c r="AR34" s="783"/>
      <c r="AS34" s="783"/>
      <c r="AT34" s="783"/>
      <c r="AU34" s="783"/>
      <c r="AV34" s="783"/>
      <c r="AW34" s="794"/>
      <c r="AX34" s="794"/>
      <c r="AY34" s="794"/>
      <c r="AZ34" s="794"/>
      <c r="BA34" s="170"/>
      <c r="BB34" s="783"/>
      <c r="BC34" s="783"/>
      <c r="BD34" s="783"/>
      <c r="BE34" s="171"/>
      <c r="BF34" s="795"/>
      <c r="BG34" s="783"/>
      <c r="BH34" s="783"/>
      <c r="BI34" s="783"/>
      <c r="BJ34" s="171"/>
      <c r="BK34" s="523"/>
      <c r="BL34" s="783"/>
      <c r="BM34" s="783"/>
      <c r="BN34" s="783"/>
      <c r="BO34" s="171"/>
      <c r="BP34" s="523"/>
      <c r="BQ34" s="783"/>
      <c r="BR34" s="783"/>
      <c r="BS34" s="783"/>
      <c r="BT34" s="171"/>
      <c r="BU34" s="523"/>
      <c r="BV34" s="791"/>
      <c r="BW34" s="791"/>
      <c r="BX34" s="791"/>
      <c r="BY34" s="791"/>
      <c r="BZ34" s="791"/>
      <c r="CA34" s="791"/>
      <c r="CB34" s="791"/>
      <c r="CC34" s="791"/>
      <c r="CD34" s="791"/>
      <c r="CE34" s="791"/>
      <c r="CF34" s="791"/>
      <c r="CG34" s="791"/>
      <c r="CH34" s="791"/>
      <c r="CI34" s="791"/>
      <c r="CJ34" s="791"/>
      <c r="CK34" s="791"/>
      <c r="CL34" s="791"/>
      <c r="CM34" s="791"/>
      <c r="CN34" s="791"/>
      <c r="CO34" s="791"/>
      <c r="CP34" s="791"/>
      <c r="CQ34" s="791"/>
      <c r="CR34" s="791"/>
      <c r="CS34" s="791"/>
      <c r="CT34" s="791"/>
      <c r="CU34" s="791"/>
      <c r="CV34" s="791"/>
      <c r="CW34" s="791"/>
      <c r="CX34" s="791"/>
      <c r="CY34" s="791"/>
      <c r="CZ34" s="791"/>
      <c r="DA34" s="791"/>
      <c r="DB34" s="791"/>
      <c r="DC34" s="791"/>
      <c r="DD34" s="791"/>
      <c r="DE34" s="791"/>
      <c r="DF34" s="791"/>
      <c r="DG34" s="791"/>
      <c r="DH34" s="791"/>
      <c r="DI34" s="791"/>
      <c r="DJ34" s="791"/>
      <c r="DK34" s="791"/>
      <c r="DL34" s="791"/>
      <c r="DM34" s="791"/>
      <c r="DN34" s="791"/>
      <c r="DO34" s="791"/>
      <c r="DP34" s="791"/>
      <c r="DQ34" s="791"/>
      <c r="DR34" s="791"/>
      <c r="DS34" s="791"/>
      <c r="DT34" s="791"/>
      <c r="DU34" s="791"/>
      <c r="DV34" s="791"/>
      <c r="DW34" s="791"/>
      <c r="DX34" s="791"/>
      <c r="DY34" s="791"/>
      <c r="DZ34" s="791"/>
      <c r="EA34" s="791"/>
      <c r="EB34" s="791"/>
      <c r="EC34" s="791"/>
      <c r="ED34" s="791"/>
      <c r="EE34" s="791"/>
      <c r="EF34" s="791"/>
      <c r="EG34" s="791"/>
      <c r="EH34" s="791"/>
      <c r="EI34" s="791"/>
      <c r="EJ34" s="791"/>
      <c r="EK34" s="791"/>
      <c r="EL34" s="791"/>
      <c r="EM34" s="791"/>
      <c r="EN34" s="791"/>
      <c r="EO34" s="791"/>
      <c r="EP34" s="791"/>
      <c r="EQ34" s="791"/>
      <c r="ER34" s="791"/>
      <c r="ES34" s="791"/>
      <c r="ET34" s="791"/>
      <c r="EU34" s="791"/>
      <c r="EV34" s="791"/>
      <c r="EW34" s="791"/>
      <c r="EX34" s="791"/>
      <c r="EY34" s="791"/>
      <c r="EZ34" s="791"/>
      <c r="FA34" s="791"/>
      <c r="FB34" s="791"/>
      <c r="FC34" s="791"/>
      <c r="FD34" s="791"/>
      <c r="FE34" s="791"/>
      <c r="FF34" s="791"/>
      <c r="FG34" s="791"/>
      <c r="FH34" s="791"/>
      <c r="FI34" s="791"/>
      <c r="FJ34" s="791"/>
      <c r="FK34" s="791"/>
      <c r="FL34" s="791"/>
      <c r="FM34" s="791"/>
      <c r="FN34" s="791"/>
      <c r="FO34" s="791"/>
      <c r="FP34" s="791"/>
      <c r="FQ34" s="791"/>
      <c r="FR34" s="791"/>
      <c r="FS34" s="791"/>
      <c r="FT34" s="791"/>
      <c r="FU34" s="791"/>
      <c r="FV34" s="791"/>
      <c r="FW34" s="791"/>
      <c r="FX34" s="791"/>
      <c r="FY34" s="791"/>
      <c r="FZ34" s="791"/>
      <c r="GA34" s="791"/>
      <c r="GB34" s="791"/>
      <c r="GC34" s="791"/>
      <c r="GD34" s="791"/>
      <c r="GE34" s="791"/>
      <c r="GF34" s="791"/>
      <c r="GG34" s="791"/>
      <c r="GH34" s="791"/>
      <c r="GI34" s="791"/>
      <c r="GJ34" s="791"/>
      <c r="GK34" s="791"/>
      <c r="GL34" s="791"/>
      <c r="GM34" s="791"/>
      <c r="GN34" s="791"/>
      <c r="GO34" s="791"/>
      <c r="GP34" s="791"/>
      <c r="GQ34" s="791"/>
      <c r="GR34" s="791"/>
      <c r="GS34" s="791"/>
      <c r="GT34" s="791"/>
      <c r="GU34" s="791"/>
      <c r="GV34" s="791"/>
      <c r="GW34" s="791"/>
      <c r="GX34" s="791"/>
      <c r="GY34" s="791"/>
      <c r="GZ34" s="791"/>
      <c r="HA34" s="791"/>
      <c r="HB34" s="791"/>
      <c r="HC34" s="791"/>
      <c r="HD34" s="791"/>
      <c r="HE34" s="791"/>
      <c r="HF34" s="791"/>
      <c r="HG34" s="791"/>
      <c r="HH34" s="791"/>
      <c r="HI34" s="791"/>
      <c r="HJ34" s="791"/>
      <c r="HK34" s="791"/>
      <c r="HL34" s="791"/>
      <c r="HM34" s="791"/>
      <c r="HN34" s="791"/>
      <c r="HO34" s="791"/>
      <c r="HP34" s="791"/>
      <c r="HQ34" s="791"/>
      <c r="HR34" s="791"/>
      <c r="HS34" s="791"/>
      <c r="HT34" s="791"/>
      <c r="HU34" s="791"/>
      <c r="HV34" s="791"/>
      <c r="HW34" s="791"/>
      <c r="HX34" s="791"/>
      <c r="HY34" s="791"/>
      <c r="HZ34" s="791"/>
      <c r="IA34" s="791"/>
      <c r="IB34" s="791"/>
      <c r="IC34" s="791"/>
      <c r="ID34" s="791"/>
      <c r="IE34" s="791"/>
      <c r="IF34" s="791"/>
      <c r="IG34" s="791"/>
      <c r="IH34" s="791"/>
      <c r="II34" s="791"/>
      <c r="IJ34" s="791"/>
      <c r="IK34" s="791"/>
      <c r="IL34" s="791"/>
      <c r="IM34" s="791"/>
      <c r="IN34" s="791"/>
      <c r="IO34" s="791"/>
      <c r="IP34" s="791"/>
      <c r="IQ34" s="791"/>
      <c r="IR34" s="791"/>
      <c r="IS34" s="791"/>
      <c r="IT34" s="791"/>
      <c r="IU34" s="791"/>
      <c r="IV34" s="791"/>
      <c r="IW34" s="791"/>
      <c r="IX34" s="791"/>
      <c r="IY34" s="791"/>
      <c r="IZ34" s="791"/>
      <c r="JA34" s="791"/>
      <c r="JB34" s="791"/>
      <c r="JC34" s="791"/>
      <c r="JD34" s="791"/>
      <c r="JE34" s="791"/>
      <c r="JF34" s="791"/>
      <c r="JG34" s="791"/>
      <c r="JH34" s="791"/>
      <c r="JI34" s="791"/>
      <c r="JJ34" s="791"/>
      <c r="JK34" s="791"/>
      <c r="JL34" s="791"/>
      <c r="JM34" s="791"/>
      <c r="JN34" s="791"/>
      <c r="JO34" s="791"/>
      <c r="JP34" s="791"/>
      <c r="JQ34" s="791"/>
      <c r="JR34" s="791"/>
      <c r="JS34" s="791"/>
      <c r="JT34" s="791"/>
      <c r="JU34" s="791"/>
      <c r="JV34" s="791"/>
      <c r="JW34" s="791"/>
      <c r="JX34" s="791"/>
      <c r="JY34" s="791"/>
      <c r="JZ34" s="791"/>
      <c r="KA34" s="791"/>
      <c r="KB34" s="791"/>
      <c r="KC34" s="791"/>
      <c r="KD34" s="791"/>
      <c r="KE34" s="791"/>
      <c r="KF34" s="791"/>
      <c r="KG34" s="791"/>
      <c r="KH34" s="791"/>
      <c r="KI34" s="791"/>
      <c r="KJ34" s="791"/>
      <c r="KK34" s="791"/>
      <c r="KL34" s="791"/>
      <c r="KM34" s="791"/>
      <c r="KN34" s="791"/>
      <c r="KO34" s="791"/>
      <c r="KP34" s="791"/>
      <c r="KQ34" s="791"/>
      <c r="KR34" s="791"/>
      <c r="KS34" s="791"/>
      <c r="KT34" s="791"/>
      <c r="KU34" s="791"/>
      <c r="KV34" s="791"/>
      <c r="KW34" s="791"/>
      <c r="KX34" s="791"/>
      <c r="KY34" s="791"/>
      <c r="KZ34" s="791"/>
      <c r="LA34" s="791"/>
      <c r="LB34" s="791"/>
      <c r="LC34" s="791"/>
      <c r="LD34" s="791"/>
      <c r="LE34" s="791"/>
      <c r="LF34" s="791"/>
      <c r="LG34" s="791"/>
      <c r="LH34" s="791"/>
      <c r="LI34" s="791"/>
      <c r="LJ34" s="791"/>
      <c r="LK34" s="791"/>
      <c r="LL34" s="791"/>
      <c r="LM34" s="791"/>
      <c r="LN34" s="791"/>
      <c r="LO34" s="791"/>
      <c r="LP34" s="791"/>
      <c r="LQ34" s="791"/>
      <c r="LR34" s="791"/>
      <c r="LS34" s="791"/>
      <c r="LT34" s="791"/>
      <c r="LU34" s="791"/>
      <c r="LV34" s="791"/>
      <c r="LW34" s="791"/>
      <c r="LX34" s="791"/>
      <c r="LY34" s="791"/>
      <c r="LZ34" s="791"/>
      <c r="MA34" s="791"/>
      <c r="MB34" s="791"/>
      <c r="MC34" s="791"/>
      <c r="MD34" s="791"/>
      <c r="ME34" s="791"/>
      <c r="MF34" s="791"/>
      <c r="MG34" s="791"/>
      <c r="MH34" s="791"/>
      <c r="MI34" s="791"/>
      <c r="MJ34" s="791"/>
      <c r="MK34" s="791"/>
      <c r="ML34" s="791"/>
      <c r="MM34" s="791"/>
      <c r="MN34" s="791"/>
      <c r="MO34" s="791"/>
      <c r="MP34" s="791"/>
      <c r="MQ34" s="791"/>
      <c r="MR34" s="791"/>
      <c r="MS34" s="791"/>
      <c r="MT34" s="791"/>
      <c r="MU34" s="791"/>
      <c r="MV34" s="791"/>
      <c r="MW34" s="791"/>
      <c r="MX34" s="791"/>
      <c r="MY34" s="791"/>
      <c r="MZ34" s="791"/>
      <c r="NA34" s="791"/>
      <c r="NB34" s="791"/>
      <c r="NC34" s="791"/>
      <c r="ND34" s="791"/>
      <c r="NE34" s="791"/>
      <c r="NF34" s="791"/>
      <c r="NG34" s="791"/>
      <c r="NH34" s="791"/>
      <c r="NI34" s="791"/>
      <c r="NJ34" s="791"/>
      <c r="NK34" s="791"/>
      <c r="NL34" s="791"/>
      <c r="NM34" s="791"/>
      <c r="NN34" s="791"/>
      <c r="NO34" s="791"/>
      <c r="NP34" s="791"/>
      <c r="NQ34" s="791"/>
      <c r="NR34" s="791"/>
      <c r="NS34" s="791"/>
      <c r="NT34" s="791"/>
      <c r="NU34" s="791"/>
      <c r="NV34" s="791"/>
      <c r="NW34" s="791"/>
      <c r="NX34" s="791"/>
      <c r="NY34" s="791"/>
      <c r="NZ34" s="791"/>
      <c r="OA34" s="791"/>
      <c r="OB34" s="791"/>
      <c r="OC34" s="791"/>
      <c r="OD34" s="791"/>
      <c r="OE34" s="791"/>
      <c r="OF34" s="791"/>
      <c r="OG34" s="791"/>
      <c r="OH34" s="791"/>
      <c r="OI34" s="791"/>
      <c r="OJ34" s="791"/>
      <c r="OK34" s="791"/>
      <c r="OL34" s="791"/>
      <c r="OM34" s="791"/>
      <c r="ON34" s="791"/>
      <c r="OO34" s="791"/>
      <c r="OP34" s="791"/>
      <c r="OQ34" s="791"/>
      <c r="OR34" s="791"/>
      <c r="OS34" s="791"/>
      <c r="OT34" s="791"/>
      <c r="OU34" s="791"/>
      <c r="OV34" s="791"/>
      <c r="OW34" s="791"/>
      <c r="OX34" s="791"/>
      <c r="OY34" s="791"/>
      <c r="OZ34" s="791"/>
      <c r="PA34" s="791"/>
      <c r="PB34" s="791"/>
      <c r="PC34" s="791"/>
      <c r="PD34" s="791"/>
      <c r="PE34" s="791"/>
      <c r="PF34" s="791"/>
      <c r="PG34" s="791"/>
      <c r="PH34" s="791"/>
      <c r="PI34" s="791"/>
      <c r="PJ34" s="791"/>
      <c r="PK34" s="791"/>
      <c r="PL34" s="791"/>
      <c r="PM34" s="791"/>
      <c r="PN34" s="791"/>
      <c r="PO34" s="791"/>
      <c r="PP34" s="791"/>
      <c r="PQ34" s="791"/>
      <c r="PR34" s="791"/>
      <c r="PS34" s="791"/>
      <c r="PT34" s="791"/>
      <c r="PU34" s="791"/>
      <c r="PV34" s="791"/>
      <c r="PW34" s="791"/>
      <c r="PX34" s="791"/>
      <c r="PY34" s="791"/>
      <c r="PZ34" s="791"/>
      <c r="QA34" s="791"/>
      <c r="QB34" s="791"/>
      <c r="QC34" s="791"/>
      <c r="QD34" s="791"/>
      <c r="QE34" s="791"/>
      <c r="QF34" s="791"/>
      <c r="QG34" s="791"/>
      <c r="QH34" s="791"/>
      <c r="QI34" s="791"/>
      <c r="QJ34" s="791"/>
      <c r="QK34" s="791"/>
      <c r="QL34" s="791"/>
      <c r="QM34" s="791"/>
      <c r="QN34" s="791"/>
      <c r="QO34" s="791"/>
      <c r="QP34" s="791"/>
      <c r="QQ34" s="791"/>
      <c r="QR34" s="791"/>
      <c r="QS34" s="791"/>
      <c r="QT34" s="791"/>
      <c r="QU34" s="791"/>
      <c r="QV34" s="791"/>
      <c r="QW34" s="791"/>
      <c r="QX34" s="791"/>
      <c r="QY34" s="791"/>
      <c r="QZ34" s="791"/>
      <c r="RA34" s="791"/>
      <c r="RB34" s="791"/>
      <c r="RC34" s="791"/>
      <c r="RD34" s="791"/>
      <c r="RE34" s="791"/>
      <c r="RF34" s="791"/>
      <c r="RG34" s="791"/>
      <c r="RH34" s="791"/>
      <c r="RI34" s="791"/>
      <c r="RJ34" s="791"/>
      <c r="RK34" s="791"/>
      <c r="RL34" s="791"/>
      <c r="RM34" s="791"/>
      <c r="RN34" s="791"/>
      <c r="RO34" s="791"/>
      <c r="RP34" s="791"/>
      <c r="RQ34" s="791"/>
      <c r="RR34" s="791"/>
      <c r="RS34" s="791"/>
      <c r="RT34" s="791"/>
      <c r="RU34" s="791"/>
      <c r="RV34" s="791"/>
      <c r="RW34" s="791"/>
      <c r="RX34" s="791"/>
    </row>
    <row r="35" spans="1:492" s="168" customFormat="1" ht="28.5" customHeight="1">
      <c r="A35" s="149" t="s">
        <v>138</v>
      </c>
      <c r="B35" s="149" t="s">
        <v>139</v>
      </c>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794"/>
      <c r="AN35" s="794"/>
      <c r="AO35" s="794"/>
      <c r="AP35" s="794"/>
      <c r="AQ35" s="795"/>
      <c r="AR35" s="783"/>
      <c r="AS35" s="783"/>
      <c r="AT35" s="783"/>
      <c r="AU35" s="783"/>
      <c r="AV35" s="783"/>
      <c r="AW35" s="794"/>
      <c r="AX35" s="794"/>
      <c r="AY35" s="794"/>
      <c r="AZ35" s="794"/>
      <c r="BA35" s="170"/>
      <c r="BB35" s="783"/>
      <c r="BC35" s="783"/>
      <c r="BD35" s="783"/>
      <c r="BE35" s="171"/>
      <c r="BF35" s="795"/>
      <c r="BG35" s="783"/>
      <c r="BH35" s="783"/>
      <c r="BI35" s="783"/>
      <c r="BJ35" s="171"/>
      <c r="BK35" s="523"/>
      <c r="BL35" s="783"/>
      <c r="BM35" s="783"/>
      <c r="BN35" s="783"/>
      <c r="BO35" s="171"/>
      <c r="BP35" s="523"/>
      <c r="BQ35" s="783"/>
      <c r="BR35" s="783"/>
      <c r="BS35" s="783"/>
      <c r="BT35" s="171"/>
      <c r="BU35" s="523"/>
      <c r="BV35" s="791"/>
      <c r="BW35" s="791"/>
      <c r="BX35" s="791"/>
      <c r="BY35" s="791"/>
      <c r="BZ35" s="791"/>
      <c r="CA35" s="791"/>
      <c r="CB35" s="791"/>
      <c r="CC35" s="791"/>
      <c r="CD35" s="791"/>
      <c r="CE35" s="791"/>
      <c r="CF35" s="791"/>
      <c r="CG35" s="791"/>
      <c r="CH35" s="791"/>
      <c r="CI35" s="791"/>
      <c r="CJ35" s="791"/>
      <c r="CK35" s="791"/>
      <c r="CL35" s="791"/>
      <c r="CM35" s="791"/>
      <c r="CN35" s="791"/>
      <c r="CO35" s="791"/>
      <c r="CP35" s="791"/>
      <c r="CQ35" s="791"/>
      <c r="CR35" s="791"/>
      <c r="CS35" s="791"/>
      <c r="CT35" s="791"/>
      <c r="CU35" s="791"/>
      <c r="CV35" s="791"/>
      <c r="CW35" s="791"/>
      <c r="CX35" s="791"/>
      <c r="CY35" s="791"/>
      <c r="CZ35" s="791"/>
      <c r="DA35" s="791"/>
      <c r="DB35" s="791"/>
      <c r="DC35" s="791"/>
      <c r="DD35" s="791"/>
      <c r="DE35" s="791"/>
      <c r="DF35" s="791"/>
      <c r="DG35" s="791"/>
      <c r="DH35" s="791"/>
      <c r="DI35" s="791"/>
      <c r="DJ35" s="791"/>
      <c r="DK35" s="791"/>
      <c r="DL35" s="791"/>
      <c r="DM35" s="791"/>
      <c r="DN35" s="791"/>
      <c r="DO35" s="791"/>
      <c r="DP35" s="791"/>
      <c r="DQ35" s="791"/>
      <c r="DR35" s="791"/>
      <c r="DS35" s="791"/>
      <c r="DT35" s="791"/>
      <c r="DU35" s="791"/>
      <c r="DV35" s="791"/>
      <c r="DW35" s="791"/>
      <c r="DX35" s="791"/>
      <c r="DY35" s="791"/>
      <c r="DZ35" s="791"/>
      <c r="EA35" s="791"/>
      <c r="EB35" s="791"/>
      <c r="EC35" s="791"/>
      <c r="ED35" s="791"/>
      <c r="EE35" s="791"/>
      <c r="EF35" s="791"/>
      <c r="EG35" s="791"/>
      <c r="EH35" s="791"/>
      <c r="EI35" s="791"/>
      <c r="EJ35" s="791"/>
      <c r="EK35" s="791"/>
      <c r="EL35" s="791"/>
      <c r="EM35" s="791"/>
      <c r="EN35" s="791"/>
      <c r="EO35" s="791"/>
      <c r="EP35" s="791"/>
      <c r="EQ35" s="791"/>
      <c r="ER35" s="791"/>
      <c r="ES35" s="791"/>
      <c r="ET35" s="791"/>
      <c r="EU35" s="791"/>
      <c r="EV35" s="791"/>
      <c r="EW35" s="791"/>
      <c r="EX35" s="791"/>
      <c r="EY35" s="791"/>
      <c r="EZ35" s="791"/>
      <c r="FA35" s="791"/>
      <c r="FB35" s="791"/>
      <c r="FC35" s="791"/>
      <c r="FD35" s="791"/>
      <c r="FE35" s="791"/>
      <c r="FF35" s="791"/>
      <c r="FG35" s="791"/>
      <c r="FH35" s="791"/>
      <c r="FI35" s="791"/>
      <c r="FJ35" s="791"/>
      <c r="FK35" s="791"/>
      <c r="FL35" s="791"/>
      <c r="FM35" s="791"/>
      <c r="FN35" s="791"/>
      <c r="FO35" s="791"/>
      <c r="FP35" s="791"/>
      <c r="FQ35" s="791"/>
      <c r="FR35" s="791"/>
      <c r="FS35" s="791"/>
      <c r="FT35" s="791"/>
      <c r="FU35" s="791"/>
      <c r="FV35" s="791"/>
      <c r="FW35" s="791"/>
      <c r="FX35" s="791"/>
      <c r="FY35" s="791"/>
      <c r="FZ35" s="791"/>
      <c r="GA35" s="791"/>
      <c r="GB35" s="791"/>
      <c r="GC35" s="791"/>
      <c r="GD35" s="791"/>
      <c r="GE35" s="791"/>
      <c r="GF35" s="791"/>
      <c r="GG35" s="791"/>
      <c r="GH35" s="791"/>
      <c r="GI35" s="791"/>
      <c r="GJ35" s="791"/>
      <c r="GK35" s="791"/>
      <c r="GL35" s="791"/>
      <c r="GM35" s="791"/>
      <c r="GN35" s="791"/>
      <c r="GO35" s="791"/>
      <c r="GP35" s="791"/>
      <c r="GQ35" s="791"/>
      <c r="GR35" s="791"/>
      <c r="GS35" s="791"/>
      <c r="GT35" s="791"/>
      <c r="GU35" s="791"/>
      <c r="GV35" s="791"/>
      <c r="GW35" s="791"/>
      <c r="GX35" s="791"/>
      <c r="GY35" s="791"/>
      <c r="GZ35" s="791"/>
      <c r="HA35" s="791"/>
      <c r="HB35" s="791"/>
      <c r="HC35" s="791"/>
      <c r="HD35" s="791"/>
      <c r="HE35" s="791"/>
      <c r="HF35" s="791"/>
      <c r="HG35" s="791"/>
      <c r="HH35" s="791"/>
      <c r="HI35" s="791"/>
      <c r="HJ35" s="791"/>
      <c r="HK35" s="791"/>
      <c r="HL35" s="791"/>
      <c r="HM35" s="791"/>
      <c r="HN35" s="791"/>
      <c r="HO35" s="791"/>
      <c r="HP35" s="791"/>
      <c r="HQ35" s="791"/>
      <c r="HR35" s="791"/>
      <c r="HS35" s="791"/>
      <c r="HT35" s="791"/>
      <c r="HU35" s="791"/>
      <c r="HV35" s="791"/>
      <c r="HW35" s="791"/>
      <c r="HX35" s="791"/>
      <c r="HY35" s="791"/>
      <c r="HZ35" s="791"/>
      <c r="IA35" s="791"/>
      <c r="IB35" s="791"/>
      <c r="IC35" s="791"/>
      <c r="ID35" s="791"/>
      <c r="IE35" s="791"/>
      <c r="IF35" s="791"/>
      <c r="IG35" s="791"/>
      <c r="IH35" s="791"/>
      <c r="II35" s="791"/>
      <c r="IJ35" s="791"/>
      <c r="IK35" s="791"/>
      <c r="IL35" s="791"/>
      <c r="IM35" s="791"/>
      <c r="IN35" s="791"/>
      <c r="IO35" s="791"/>
      <c r="IP35" s="791"/>
      <c r="IQ35" s="791"/>
      <c r="IR35" s="791"/>
      <c r="IS35" s="791"/>
      <c r="IT35" s="791"/>
      <c r="IU35" s="791"/>
      <c r="IV35" s="791"/>
      <c r="IW35" s="791"/>
      <c r="IX35" s="791"/>
      <c r="IY35" s="791"/>
      <c r="IZ35" s="791"/>
      <c r="JA35" s="791"/>
      <c r="JB35" s="791"/>
      <c r="JC35" s="791"/>
      <c r="JD35" s="791"/>
      <c r="JE35" s="791"/>
      <c r="JF35" s="791"/>
      <c r="JG35" s="791"/>
      <c r="JH35" s="791"/>
      <c r="JI35" s="791"/>
      <c r="JJ35" s="791"/>
      <c r="JK35" s="791"/>
      <c r="JL35" s="791"/>
      <c r="JM35" s="791"/>
      <c r="JN35" s="791"/>
      <c r="JO35" s="791"/>
      <c r="JP35" s="791"/>
      <c r="JQ35" s="791"/>
      <c r="JR35" s="791"/>
      <c r="JS35" s="791"/>
      <c r="JT35" s="791"/>
      <c r="JU35" s="791"/>
      <c r="JV35" s="791"/>
      <c r="JW35" s="791"/>
      <c r="JX35" s="791"/>
      <c r="JY35" s="791"/>
      <c r="JZ35" s="791"/>
      <c r="KA35" s="791"/>
      <c r="KB35" s="791"/>
      <c r="KC35" s="791"/>
      <c r="KD35" s="791"/>
      <c r="KE35" s="791"/>
      <c r="KF35" s="791"/>
      <c r="KG35" s="791"/>
      <c r="KH35" s="791"/>
      <c r="KI35" s="791"/>
      <c r="KJ35" s="791"/>
      <c r="KK35" s="791"/>
      <c r="KL35" s="791"/>
      <c r="KM35" s="791"/>
      <c r="KN35" s="791"/>
      <c r="KO35" s="791"/>
      <c r="KP35" s="791"/>
      <c r="KQ35" s="791"/>
      <c r="KR35" s="791"/>
      <c r="KS35" s="791"/>
      <c r="KT35" s="791"/>
      <c r="KU35" s="791"/>
      <c r="KV35" s="791"/>
      <c r="KW35" s="791"/>
      <c r="KX35" s="791"/>
      <c r="KY35" s="791"/>
      <c r="KZ35" s="791"/>
      <c r="LA35" s="791"/>
      <c r="LB35" s="791"/>
      <c r="LC35" s="791"/>
      <c r="LD35" s="791"/>
      <c r="LE35" s="791"/>
      <c r="LF35" s="791"/>
      <c r="LG35" s="791"/>
      <c r="LH35" s="791"/>
      <c r="LI35" s="791"/>
      <c r="LJ35" s="791"/>
      <c r="LK35" s="791"/>
      <c r="LL35" s="791"/>
      <c r="LM35" s="791"/>
      <c r="LN35" s="791"/>
      <c r="LO35" s="791"/>
      <c r="LP35" s="791"/>
      <c r="LQ35" s="791"/>
      <c r="LR35" s="791"/>
      <c r="LS35" s="791"/>
      <c r="LT35" s="791"/>
      <c r="LU35" s="791"/>
      <c r="LV35" s="791"/>
      <c r="LW35" s="791"/>
      <c r="LX35" s="791"/>
      <c r="LY35" s="791"/>
      <c r="LZ35" s="791"/>
      <c r="MA35" s="791"/>
      <c r="MB35" s="791"/>
      <c r="MC35" s="791"/>
      <c r="MD35" s="791"/>
      <c r="ME35" s="791"/>
      <c r="MF35" s="791"/>
      <c r="MG35" s="791"/>
      <c r="MH35" s="791"/>
      <c r="MI35" s="791"/>
      <c r="MJ35" s="791"/>
      <c r="MK35" s="791"/>
      <c r="ML35" s="791"/>
      <c r="MM35" s="791"/>
      <c r="MN35" s="791"/>
      <c r="MO35" s="791"/>
      <c r="MP35" s="791"/>
      <c r="MQ35" s="791"/>
      <c r="MR35" s="791"/>
      <c r="MS35" s="791"/>
      <c r="MT35" s="791"/>
      <c r="MU35" s="791"/>
      <c r="MV35" s="791"/>
      <c r="MW35" s="791"/>
      <c r="MX35" s="791"/>
      <c r="MY35" s="791"/>
      <c r="MZ35" s="791"/>
      <c r="NA35" s="791"/>
      <c r="NB35" s="791"/>
      <c r="NC35" s="791"/>
      <c r="ND35" s="791"/>
      <c r="NE35" s="791"/>
      <c r="NF35" s="791"/>
      <c r="NG35" s="791"/>
      <c r="NH35" s="791"/>
      <c r="NI35" s="791"/>
      <c r="NJ35" s="791"/>
      <c r="NK35" s="791"/>
      <c r="NL35" s="791"/>
      <c r="NM35" s="791"/>
      <c r="NN35" s="791"/>
      <c r="NO35" s="791"/>
      <c r="NP35" s="791"/>
      <c r="NQ35" s="791"/>
      <c r="NR35" s="791"/>
      <c r="NS35" s="791"/>
      <c r="NT35" s="791"/>
      <c r="NU35" s="791"/>
      <c r="NV35" s="791"/>
      <c r="NW35" s="791"/>
      <c r="NX35" s="791"/>
      <c r="NY35" s="791"/>
      <c r="NZ35" s="791"/>
      <c r="OA35" s="791"/>
      <c r="OB35" s="791"/>
      <c r="OC35" s="791"/>
      <c r="OD35" s="791"/>
      <c r="OE35" s="791"/>
      <c r="OF35" s="791"/>
      <c r="OG35" s="791"/>
      <c r="OH35" s="791"/>
      <c r="OI35" s="791"/>
      <c r="OJ35" s="791"/>
      <c r="OK35" s="791"/>
      <c r="OL35" s="791"/>
      <c r="OM35" s="791"/>
      <c r="ON35" s="791"/>
      <c r="OO35" s="791"/>
      <c r="OP35" s="791"/>
      <c r="OQ35" s="791"/>
      <c r="OR35" s="791"/>
      <c r="OS35" s="791"/>
      <c r="OT35" s="791"/>
      <c r="OU35" s="791"/>
      <c r="OV35" s="791"/>
      <c r="OW35" s="791"/>
      <c r="OX35" s="791"/>
      <c r="OY35" s="791"/>
      <c r="OZ35" s="791"/>
      <c r="PA35" s="791"/>
      <c r="PB35" s="791"/>
      <c r="PC35" s="791"/>
      <c r="PD35" s="791"/>
      <c r="PE35" s="791"/>
      <c r="PF35" s="791"/>
      <c r="PG35" s="791"/>
      <c r="PH35" s="791"/>
      <c r="PI35" s="791"/>
      <c r="PJ35" s="791"/>
      <c r="PK35" s="791"/>
      <c r="PL35" s="791"/>
      <c r="PM35" s="791"/>
      <c r="PN35" s="791"/>
      <c r="PO35" s="791"/>
      <c r="PP35" s="791"/>
      <c r="PQ35" s="791"/>
      <c r="PR35" s="791"/>
      <c r="PS35" s="791"/>
      <c r="PT35" s="791"/>
      <c r="PU35" s="791"/>
      <c r="PV35" s="791"/>
      <c r="PW35" s="791"/>
      <c r="PX35" s="791"/>
      <c r="PY35" s="791"/>
      <c r="PZ35" s="791"/>
      <c r="QA35" s="791"/>
      <c r="QB35" s="791"/>
      <c r="QC35" s="791"/>
      <c r="QD35" s="791"/>
      <c r="QE35" s="791"/>
      <c r="QF35" s="791"/>
      <c r="QG35" s="791"/>
      <c r="QH35" s="791"/>
      <c r="QI35" s="791"/>
      <c r="QJ35" s="791"/>
      <c r="QK35" s="791"/>
      <c r="QL35" s="791"/>
      <c r="QM35" s="791"/>
      <c r="QN35" s="791"/>
      <c r="QO35" s="791"/>
      <c r="QP35" s="791"/>
      <c r="QQ35" s="791"/>
      <c r="QR35" s="791"/>
      <c r="QS35" s="791"/>
      <c r="QT35" s="791"/>
      <c r="QU35" s="791"/>
      <c r="QV35" s="791"/>
      <c r="QW35" s="791"/>
      <c r="QX35" s="791"/>
      <c r="QY35" s="791"/>
      <c r="QZ35" s="791"/>
      <c r="RA35" s="791"/>
      <c r="RB35" s="791"/>
      <c r="RC35" s="791"/>
      <c r="RD35" s="791"/>
      <c r="RE35" s="791"/>
      <c r="RF35" s="791"/>
      <c r="RG35" s="791"/>
      <c r="RH35" s="791"/>
      <c r="RI35" s="791"/>
      <c r="RJ35" s="791"/>
      <c r="RK35" s="791"/>
      <c r="RL35" s="791"/>
      <c r="RM35" s="791"/>
      <c r="RN35" s="791"/>
      <c r="RO35" s="791"/>
      <c r="RP35" s="791"/>
      <c r="RQ35" s="791"/>
      <c r="RR35" s="791"/>
      <c r="RS35" s="791"/>
      <c r="RT35" s="791"/>
      <c r="RU35" s="791"/>
      <c r="RV35" s="791"/>
      <c r="RW35" s="791"/>
      <c r="RX35" s="791"/>
    </row>
    <row r="36" spans="1:492" s="166" customFormat="1" ht="60">
      <c r="A36" s="176" t="s">
        <v>140</v>
      </c>
      <c r="B36" s="186" t="s">
        <v>141</v>
      </c>
      <c r="C36" s="124"/>
      <c r="D36" s="124"/>
      <c r="E36" s="124"/>
      <c r="F36" s="124"/>
      <c r="G36" s="124"/>
      <c r="H36" s="124"/>
      <c r="I36" s="124"/>
      <c r="J36" s="124"/>
      <c r="K36" s="124"/>
      <c r="L36" s="124"/>
      <c r="M36" s="124"/>
      <c r="N36" s="124"/>
      <c r="O36" s="124"/>
      <c r="P36" s="124"/>
      <c r="Q36" s="124"/>
      <c r="R36" s="124"/>
      <c r="S36" s="124"/>
      <c r="T36" s="124"/>
      <c r="U36" s="124"/>
      <c r="V36" s="124"/>
      <c r="W36" s="124"/>
      <c r="X36" s="124"/>
      <c r="Y36" s="124"/>
      <c r="Z36" s="124"/>
      <c r="AA36" s="124"/>
      <c r="AB36" s="124"/>
      <c r="AC36" s="124"/>
      <c r="AD36" s="124"/>
      <c r="AE36" s="124"/>
      <c r="AF36" s="124"/>
      <c r="AG36" s="124"/>
      <c r="AH36" s="124"/>
      <c r="AI36" s="124"/>
      <c r="AJ36" s="124"/>
      <c r="AK36" s="124"/>
      <c r="AL36" s="124"/>
      <c r="AM36" s="796"/>
      <c r="AN36" s="796"/>
      <c r="AO36" s="796"/>
      <c r="AP36" s="796"/>
      <c r="AQ36" s="781"/>
      <c r="AR36" s="796"/>
      <c r="AS36" s="796"/>
      <c r="AT36" s="796"/>
      <c r="AU36" s="796"/>
      <c r="AV36" s="796"/>
      <c r="AW36" s="796"/>
      <c r="AX36" s="796"/>
      <c r="AY36" s="796"/>
      <c r="AZ36" s="796"/>
      <c r="BA36" s="796"/>
      <c r="BB36" s="796"/>
      <c r="BC36" s="796"/>
      <c r="BD36" s="796"/>
      <c r="BE36" s="172"/>
      <c r="BF36" s="781"/>
      <c r="BG36" s="796"/>
      <c r="BH36" s="796"/>
      <c r="BI36" s="542"/>
      <c r="BJ36" s="543"/>
      <c r="BK36" s="781"/>
      <c r="BL36" s="796"/>
      <c r="BM36" s="796"/>
      <c r="BN36" s="542"/>
      <c r="BO36" s="543"/>
      <c r="BP36" s="781"/>
      <c r="BQ36" s="796"/>
      <c r="BR36" s="796"/>
      <c r="BS36" s="542"/>
      <c r="BT36" s="543"/>
      <c r="BU36" s="781"/>
      <c r="BV36" s="790"/>
      <c r="BW36" s="790"/>
      <c r="BX36" s="790"/>
      <c r="BY36" s="790"/>
      <c r="BZ36" s="790"/>
      <c r="CA36" s="790"/>
      <c r="CB36" s="790"/>
      <c r="CC36" s="790"/>
      <c r="CD36" s="790"/>
      <c r="CE36" s="790"/>
      <c r="CF36" s="790"/>
      <c r="CG36" s="790"/>
      <c r="CH36" s="790"/>
      <c r="CI36" s="790"/>
      <c r="CJ36" s="790"/>
      <c r="CK36" s="790"/>
      <c r="CL36" s="790"/>
      <c r="CM36" s="790"/>
      <c r="CN36" s="790"/>
      <c r="CO36" s="790"/>
      <c r="CP36" s="790"/>
      <c r="CQ36" s="790"/>
      <c r="CR36" s="790"/>
      <c r="CS36" s="790"/>
      <c r="CT36" s="790"/>
      <c r="CU36" s="790"/>
      <c r="CV36" s="790"/>
      <c r="CW36" s="790"/>
      <c r="CX36" s="790"/>
      <c r="CY36" s="790"/>
      <c r="CZ36" s="790"/>
      <c r="DA36" s="790"/>
      <c r="DB36" s="790"/>
      <c r="DC36" s="790"/>
      <c r="DD36" s="790"/>
      <c r="DE36" s="790"/>
      <c r="DF36" s="790"/>
      <c r="DG36" s="790"/>
      <c r="DH36" s="790"/>
      <c r="DI36" s="790"/>
      <c r="DJ36" s="790"/>
      <c r="DK36" s="790"/>
      <c r="DL36" s="790"/>
      <c r="DM36" s="790"/>
      <c r="DN36" s="790"/>
      <c r="DO36" s="790"/>
      <c r="DP36" s="790"/>
      <c r="DQ36" s="790"/>
      <c r="DR36" s="790"/>
      <c r="DS36" s="790"/>
      <c r="DT36" s="790"/>
      <c r="DU36" s="790"/>
      <c r="DV36" s="790"/>
      <c r="DW36" s="790"/>
      <c r="DX36" s="790"/>
      <c r="DY36" s="790"/>
      <c r="DZ36" s="790"/>
      <c r="EA36" s="790"/>
      <c r="EB36" s="790"/>
      <c r="EC36" s="790"/>
      <c r="ED36" s="790"/>
      <c r="EE36" s="790"/>
      <c r="EF36" s="790"/>
      <c r="EG36" s="790"/>
      <c r="EH36" s="790"/>
      <c r="EI36" s="790"/>
      <c r="EJ36" s="790"/>
      <c r="EK36" s="790"/>
      <c r="EL36" s="790"/>
      <c r="EM36" s="790"/>
      <c r="EN36" s="790"/>
      <c r="EO36" s="790"/>
      <c r="EP36" s="790"/>
      <c r="EQ36" s="790"/>
      <c r="ER36" s="790"/>
      <c r="ES36" s="790"/>
      <c r="ET36" s="790"/>
      <c r="EU36" s="790"/>
      <c r="EV36" s="790"/>
      <c r="EW36" s="790"/>
      <c r="EX36" s="790"/>
      <c r="EY36" s="790"/>
      <c r="EZ36" s="790"/>
      <c r="FA36" s="790"/>
      <c r="FB36" s="790"/>
      <c r="FC36" s="790"/>
      <c r="FD36" s="790"/>
      <c r="FE36" s="790"/>
      <c r="FF36" s="790"/>
      <c r="FG36" s="790"/>
      <c r="FH36" s="790"/>
      <c r="FI36" s="790"/>
      <c r="FJ36" s="790"/>
      <c r="FK36" s="790"/>
      <c r="FL36" s="790"/>
      <c r="FM36" s="790"/>
      <c r="FN36" s="790"/>
      <c r="FO36" s="790"/>
      <c r="FP36" s="790"/>
      <c r="FQ36" s="790"/>
      <c r="FR36" s="790"/>
      <c r="FS36" s="790"/>
      <c r="FT36" s="790"/>
      <c r="FU36" s="790"/>
      <c r="FV36" s="790"/>
      <c r="FW36" s="790"/>
      <c r="FX36" s="790"/>
      <c r="FY36" s="790"/>
      <c r="FZ36" s="790"/>
      <c r="GA36" s="790"/>
      <c r="GB36" s="790"/>
      <c r="GC36" s="790"/>
      <c r="GD36" s="790"/>
      <c r="GE36" s="790"/>
      <c r="GF36" s="790"/>
      <c r="GG36" s="790"/>
      <c r="GH36" s="790"/>
      <c r="GI36" s="790"/>
      <c r="GJ36" s="790"/>
      <c r="GK36" s="790"/>
      <c r="GL36" s="790"/>
      <c r="GM36" s="790"/>
      <c r="GN36" s="790"/>
      <c r="GO36" s="790"/>
      <c r="GP36" s="790"/>
      <c r="GQ36" s="790"/>
      <c r="GR36" s="790"/>
      <c r="GS36" s="790"/>
      <c r="GT36" s="790"/>
      <c r="GU36" s="790"/>
      <c r="GV36" s="790"/>
      <c r="GW36" s="790"/>
      <c r="GX36" s="790"/>
      <c r="GY36" s="790"/>
      <c r="GZ36" s="790"/>
      <c r="HA36" s="790"/>
      <c r="HB36" s="790"/>
      <c r="HC36" s="790"/>
      <c r="HD36" s="790"/>
      <c r="HE36" s="790"/>
      <c r="HF36" s="790"/>
      <c r="HG36" s="790"/>
      <c r="HH36" s="790"/>
      <c r="HI36" s="790"/>
      <c r="HJ36" s="790"/>
      <c r="HK36" s="790"/>
      <c r="HL36" s="790"/>
      <c r="HM36" s="790"/>
      <c r="HN36" s="790"/>
      <c r="HO36" s="790"/>
      <c r="HP36" s="790"/>
      <c r="HQ36" s="790"/>
      <c r="HR36" s="790"/>
      <c r="HS36" s="790"/>
      <c r="HT36" s="790"/>
      <c r="HU36" s="790"/>
      <c r="HV36" s="790"/>
      <c r="HW36" s="790"/>
      <c r="HX36" s="790"/>
      <c r="HY36" s="790"/>
      <c r="HZ36" s="790"/>
      <c r="IA36" s="790"/>
      <c r="IB36" s="790"/>
      <c r="IC36" s="790"/>
      <c r="ID36" s="790"/>
      <c r="IE36" s="790"/>
      <c r="IF36" s="790"/>
      <c r="IG36" s="790"/>
      <c r="IH36" s="790"/>
      <c r="II36" s="790"/>
      <c r="IJ36" s="790"/>
      <c r="IK36" s="790"/>
      <c r="IL36" s="790"/>
      <c r="IM36" s="790"/>
      <c r="IN36" s="790"/>
      <c r="IO36" s="790"/>
      <c r="IP36" s="790"/>
      <c r="IQ36" s="790"/>
      <c r="IR36" s="790"/>
      <c r="IS36" s="790"/>
      <c r="IT36" s="790"/>
      <c r="IU36" s="790"/>
      <c r="IV36" s="790"/>
      <c r="IW36" s="790"/>
      <c r="IX36" s="790"/>
      <c r="IY36" s="790"/>
      <c r="IZ36" s="790"/>
      <c r="JA36" s="790"/>
      <c r="JB36" s="790"/>
      <c r="JC36" s="790"/>
      <c r="JD36" s="790"/>
      <c r="JE36" s="790"/>
      <c r="JF36" s="790"/>
      <c r="JG36" s="790"/>
      <c r="JH36" s="790"/>
      <c r="JI36" s="790"/>
      <c r="JJ36" s="790"/>
      <c r="JK36" s="790"/>
      <c r="JL36" s="790"/>
      <c r="JM36" s="790"/>
      <c r="JN36" s="790"/>
      <c r="JO36" s="790"/>
      <c r="JP36" s="790"/>
      <c r="JQ36" s="790"/>
      <c r="JR36" s="790"/>
      <c r="JS36" s="790"/>
      <c r="JT36" s="790"/>
      <c r="JU36" s="790"/>
      <c r="JV36" s="790"/>
      <c r="JW36" s="790"/>
      <c r="JX36" s="790"/>
      <c r="JY36" s="790"/>
      <c r="JZ36" s="790"/>
      <c r="KA36" s="790"/>
      <c r="KB36" s="790"/>
      <c r="KC36" s="790"/>
      <c r="KD36" s="790"/>
      <c r="KE36" s="790"/>
      <c r="KF36" s="790"/>
      <c r="KG36" s="790"/>
      <c r="KH36" s="790"/>
      <c r="KI36" s="790"/>
      <c r="KJ36" s="790"/>
      <c r="KK36" s="790"/>
      <c r="KL36" s="790"/>
      <c r="KM36" s="790"/>
      <c r="KN36" s="790"/>
      <c r="KO36" s="790"/>
      <c r="KP36" s="790"/>
      <c r="KQ36" s="790"/>
      <c r="KR36" s="790"/>
      <c r="KS36" s="790"/>
      <c r="KT36" s="790"/>
      <c r="KU36" s="790"/>
      <c r="KV36" s="790"/>
      <c r="KW36" s="790"/>
      <c r="KX36" s="790"/>
      <c r="KY36" s="790"/>
      <c r="KZ36" s="790"/>
      <c r="LA36" s="790"/>
      <c r="LB36" s="790"/>
      <c r="LC36" s="790"/>
      <c r="LD36" s="790"/>
      <c r="LE36" s="790"/>
      <c r="LF36" s="790"/>
      <c r="LG36" s="790"/>
      <c r="LH36" s="790"/>
      <c r="LI36" s="790"/>
      <c r="LJ36" s="790"/>
      <c r="LK36" s="790"/>
      <c r="LL36" s="790"/>
      <c r="LM36" s="790"/>
      <c r="LN36" s="790"/>
      <c r="LO36" s="790"/>
      <c r="LP36" s="790"/>
      <c r="LQ36" s="790"/>
      <c r="LR36" s="790"/>
      <c r="LS36" s="790"/>
      <c r="LT36" s="790"/>
      <c r="LU36" s="790"/>
      <c r="LV36" s="790"/>
      <c r="LW36" s="790"/>
      <c r="LX36" s="790"/>
      <c r="LY36" s="790"/>
      <c r="LZ36" s="790"/>
      <c r="MA36" s="790"/>
      <c r="MB36" s="790"/>
      <c r="MC36" s="790"/>
      <c r="MD36" s="790"/>
      <c r="ME36" s="790"/>
      <c r="MF36" s="790"/>
      <c r="MG36" s="790"/>
      <c r="MH36" s="790"/>
      <c r="MI36" s="790"/>
      <c r="MJ36" s="790"/>
      <c r="MK36" s="790"/>
      <c r="ML36" s="790"/>
      <c r="MM36" s="790"/>
      <c r="MN36" s="790"/>
      <c r="MO36" s="790"/>
      <c r="MP36" s="790"/>
      <c r="MQ36" s="790"/>
      <c r="MR36" s="790"/>
      <c r="MS36" s="790"/>
      <c r="MT36" s="790"/>
      <c r="MU36" s="790"/>
      <c r="MV36" s="790"/>
      <c r="MW36" s="790"/>
      <c r="MX36" s="790"/>
      <c r="MY36" s="790"/>
      <c r="MZ36" s="790"/>
      <c r="NA36" s="790"/>
      <c r="NB36" s="790"/>
      <c r="NC36" s="790"/>
      <c r="ND36" s="790"/>
      <c r="NE36" s="790"/>
      <c r="NF36" s="790"/>
      <c r="NG36" s="790"/>
      <c r="NH36" s="790"/>
      <c r="NI36" s="790"/>
      <c r="NJ36" s="790"/>
      <c r="NK36" s="790"/>
      <c r="NL36" s="790"/>
      <c r="NM36" s="790"/>
      <c r="NN36" s="790"/>
      <c r="NO36" s="790"/>
      <c r="NP36" s="790"/>
      <c r="NQ36" s="790"/>
      <c r="NR36" s="790"/>
      <c r="NS36" s="790"/>
      <c r="NT36" s="790"/>
      <c r="NU36" s="790"/>
      <c r="NV36" s="790"/>
      <c r="NW36" s="790"/>
      <c r="NX36" s="790"/>
      <c r="NY36" s="790"/>
      <c r="NZ36" s="790"/>
      <c r="OA36" s="790"/>
      <c r="OB36" s="790"/>
      <c r="OC36" s="790"/>
      <c r="OD36" s="790"/>
      <c r="OE36" s="790"/>
      <c r="OF36" s="790"/>
      <c r="OG36" s="790"/>
      <c r="OH36" s="790"/>
      <c r="OI36" s="790"/>
      <c r="OJ36" s="790"/>
      <c r="OK36" s="790"/>
      <c r="OL36" s="790"/>
      <c r="OM36" s="790"/>
      <c r="ON36" s="790"/>
      <c r="OO36" s="790"/>
      <c r="OP36" s="790"/>
      <c r="OQ36" s="790"/>
      <c r="OR36" s="790"/>
      <c r="OS36" s="790"/>
      <c r="OT36" s="790"/>
      <c r="OU36" s="790"/>
      <c r="OV36" s="790"/>
      <c r="OW36" s="790"/>
      <c r="OX36" s="790"/>
      <c r="OY36" s="790"/>
      <c r="OZ36" s="790"/>
      <c r="PA36" s="790"/>
      <c r="PB36" s="790"/>
      <c r="PC36" s="790"/>
      <c r="PD36" s="790"/>
      <c r="PE36" s="790"/>
      <c r="PF36" s="790"/>
      <c r="PG36" s="790"/>
      <c r="PH36" s="790"/>
      <c r="PI36" s="790"/>
      <c r="PJ36" s="790"/>
      <c r="PK36" s="790"/>
      <c r="PL36" s="790"/>
      <c r="PM36" s="790"/>
      <c r="PN36" s="790"/>
      <c r="PO36" s="790"/>
      <c r="PP36" s="790"/>
      <c r="PQ36" s="790"/>
      <c r="PR36" s="790"/>
      <c r="PS36" s="790"/>
      <c r="PT36" s="790"/>
      <c r="PU36" s="790"/>
      <c r="PV36" s="790"/>
      <c r="PW36" s="790"/>
      <c r="PX36" s="790"/>
      <c r="PY36" s="790"/>
      <c r="PZ36" s="790"/>
      <c r="QA36" s="790"/>
      <c r="QB36" s="790"/>
      <c r="QC36" s="790"/>
      <c r="QD36" s="790"/>
      <c r="QE36" s="790"/>
      <c r="QF36" s="790"/>
      <c r="QG36" s="790"/>
      <c r="QH36" s="790"/>
      <c r="QI36" s="790"/>
      <c r="QJ36" s="790"/>
      <c r="QK36" s="790"/>
      <c r="QL36" s="790"/>
      <c r="QM36" s="790"/>
      <c r="QN36" s="790"/>
      <c r="QO36" s="790"/>
      <c r="QP36" s="790"/>
      <c r="QQ36" s="790"/>
      <c r="QR36" s="790"/>
      <c r="QS36" s="790"/>
      <c r="QT36" s="790"/>
      <c r="QU36" s="790"/>
      <c r="QV36" s="790"/>
      <c r="QW36" s="790"/>
      <c r="QX36" s="790"/>
      <c r="QY36" s="790"/>
      <c r="QZ36" s="790"/>
      <c r="RA36" s="790"/>
      <c r="RB36" s="790"/>
      <c r="RC36" s="790"/>
      <c r="RD36" s="790"/>
      <c r="RE36" s="790"/>
      <c r="RF36" s="790"/>
      <c r="RG36" s="790"/>
      <c r="RH36" s="790"/>
      <c r="RI36" s="790"/>
      <c r="RJ36" s="790"/>
      <c r="RK36" s="790"/>
      <c r="RL36" s="790"/>
      <c r="RM36" s="790"/>
      <c r="RN36" s="790"/>
      <c r="RO36" s="790"/>
      <c r="RP36" s="790"/>
      <c r="RQ36" s="790"/>
      <c r="RR36" s="790"/>
      <c r="RS36" s="790"/>
      <c r="RT36" s="790"/>
      <c r="RU36" s="790"/>
      <c r="RV36" s="790"/>
      <c r="RW36" s="790"/>
      <c r="RX36" s="790"/>
    </row>
    <row r="37" spans="1:492" s="166" customFormat="1">
      <c r="A37" s="149"/>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781"/>
      <c r="AN37" s="781"/>
      <c r="AO37" s="781"/>
      <c r="AP37" s="781"/>
      <c r="AQ37" s="781"/>
      <c r="AR37" s="781"/>
      <c r="AS37" s="781"/>
      <c r="AT37" s="781"/>
      <c r="AU37" s="781"/>
      <c r="AV37" s="781"/>
      <c r="AW37" s="781"/>
      <c r="AX37" s="781"/>
      <c r="AY37" s="781"/>
      <c r="AZ37" s="781"/>
      <c r="BA37" s="781"/>
      <c r="BB37" s="781"/>
      <c r="BC37" s="796"/>
      <c r="BD37" s="796"/>
      <c r="BE37" s="172"/>
      <c r="BF37" s="781"/>
      <c r="BG37" s="781"/>
      <c r="BH37" s="796"/>
      <c r="BI37" s="542"/>
      <c r="BJ37" s="172"/>
      <c r="BK37" s="781"/>
      <c r="BL37" s="781"/>
      <c r="BM37" s="796"/>
      <c r="BN37" s="542"/>
      <c r="BO37" s="172"/>
      <c r="BP37" s="781"/>
      <c r="BQ37" s="781"/>
      <c r="BR37" s="796"/>
      <c r="BS37" s="542"/>
      <c r="BT37" s="172"/>
      <c r="BU37" s="781"/>
      <c r="BV37" s="790"/>
      <c r="BW37" s="790"/>
      <c r="BX37" s="790"/>
      <c r="BY37" s="790"/>
      <c r="BZ37" s="790"/>
      <c r="CA37" s="790"/>
      <c r="CB37" s="790"/>
      <c r="CC37" s="790"/>
      <c r="CD37" s="790"/>
      <c r="CE37" s="790"/>
      <c r="CF37" s="790"/>
      <c r="CG37" s="790"/>
      <c r="CH37" s="790"/>
      <c r="CI37" s="790"/>
      <c r="CJ37" s="790"/>
      <c r="CK37" s="790"/>
      <c r="CL37" s="790"/>
      <c r="CM37" s="790"/>
      <c r="CN37" s="790"/>
      <c r="CO37" s="790"/>
      <c r="CP37" s="790"/>
      <c r="CQ37" s="790"/>
      <c r="CR37" s="790"/>
      <c r="CS37" s="790"/>
      <c r="CT37" s="790"/>
      <c r="CU37" s="790"/>
      <c r="CV37" s="790"/>
      <c r="CW37" s="790"/>
      <c r="CX37" s="790"/>
      <c r="CY37" s="790"/>
      <c r="CZ37" s="790"/>
      <c r="DA37" s="790"/>
      <c r="DB37" s="790"/>
      <c r="DC37" s="790"/>
      <c r="DD37" s="790"/>
      <c r="DE37" s="790"/>
      <c r="DF37" s="790"/>
      <c r="DG37" s="790"/>
      <c r="DH37" s="790"/>
      <c r="DI37" s="790"/>
      <c r="DJ37" s="790"/>
      <c r="DK37" s="790"/>
      <c r="DL37" s="790"/>
      <c r="DM37" s="790"/>
      <c r="DN37" s="790"/>
      <c r="DO37" s="790"/>
      <c r="DP37" s="790"/>
      <c r="DQ37" s="790"/>
      <c r="DR37" s="790"/>
      <c r="DS37" s="790"/>
      <c r="DT37" s="790"/>
      <c r="DU37" s="790"/>
      <c r="DV37" s="790"/>
      <c r="DW37" s="790"/>
      <c r="DX37" s="790"/>
      <c r="DY37" s="790"/>
      <c r="DZ37" s="790"/>
      <c r="EA37" s="790"/>
      <c r="EB37" s="790"/>
      <c r="EC37" s="790"/>
      <c r="ED37" s="790"/>
      <c r="EE37" s="790"/>
      <c r="EF37" s="790"/>
      <c r="EG37" s="790"/>
      <c r="EH37" s="790"/>
      <c r="EI37" s="790"/>
      <c r="EJ37" s="790"/>
      <c r="EK37" s="790"/>
      <c r="EL37" s="790"/>
      <c r="EM37" s="790"/>
      <c r="EN37" s="790"/>
      <c r="EO37" s="790"/>
      <c r="EP37" s="790"/>
      <c r="EQ37" s="790"/>
      <c r="ER37" s="790"/>
      <c r="ES37" s="790"/>
      <c r="ET37" s="790"/>
      <c r="EU37" s="790"/>
      <c r="EV37" s="790"/>
      <c r="EW37" s="790"/>
      <c r="EX37" s="790"/>
      <c r="EY37" s="790"/>
      <c r="EZ37" s="790"/>
      <c r="FA37" s="790"/>
      <c r="FB37" s="790"/>
      <c r="FC37" s="790"/>
      <c r="FD37" s="790"/>
      <c r="FE37" s="790"/>
      <c r="FF37" s="790"/>
      <c r="FG37" s="790"/>
      <c r="FH37" s="790"/>
      <c r="FI37" s="790"/>
      <c r="FJ37" s="790"/>
      <c r="FK37" s="790"/>
      <c r="FL37" s="790"/>
      <c r="FM37" s="790"/>
      <c r="FN37" s="790"/>
      <c r="FO37" s="790"/>
      <c r="FP37" s="790"/>
      <c r="FQ37" s="790"/>
      <c r="FR37" s="790"/>
      <c r="FS37" s="790"/>
      <c r="FT37" s="790"/>
      <c r="FU37" s="790"/>
      <c r="FV37" s="790"/>
      <c r="FW37" s="790"/>
      <c r="FX37" s="790"/>
      <c r="FY37" s="790"/>
      <c r="FZ37" s="790"/>
      <c r="GA37" s="790"/>
      <c r="GB37" s="790"/>
      <c r="GC37" s="790"/>
      <c r="GD37" s="790"/>
      <c r="GE37" s="790"/>
      <c r="GF37" s="790"/>
      <c r="GG37" s="790"/>
      <c r="GH37" s="790"/>
      <c r="GI37" s="790"/>
      <c r="GJ37" s="790"/>
      <c r="GK37" s="790"/>
      <c r="GL37" s="790"/>
      <c r="GM37" s="790"/>
      <c r="GN37" s="790"/>
      <c r="GO37" s="790"/>
      <c r="GP37" s="790"/>
      <c r="GQ37" s="790"/>
      <c r="GR37" s="790"/>
      <c r="GS37" s="790"/>
      <c r="GT37" s="790"/>
      <c r="GU37" s="790"/>
      <c r="GV37" s="790"/>
      <c r="GW37" s="790"/>
      <c r="GX37" s="790"/>
      <c r="GY37" s="790"/>
      <c r="GZ37" s="790"/>
      <c r="HA37" s="790"/>
      <c r="HB37" s="790"/>
      <c r="HC37" s="790"/>
      <c r="HD37" s="790"/>
      <c r="HE37" s="790"/>
      <c r="HF37" s="790"/>
      <c r="HG37" s="790"/>
      <c r="HH37" s="790"/>
      <c r="HI37" s="790"/>
      <c r="HJ37" s="790"/>
      <c r="HK37" s="790"/>
      <c r="HL37" s="790"/>
      <c r="HM37" s="790"/>
      <c r="HN37" s="790"/>
      <c r="HO37" s="790"/>
      <c r="HP37" s="790"/>
      <c r="HQ37" s="790"/>
      <c r="HR37" s="790"/>
      <c r="HS37" s="790"/>
      <c r="HT37" s="790"/>
      <c r="HU37" s="790"/>
      <c r="HV37" s="790"/>
      <c r="HW37" s="790"/>
      <c r="HX37" s="790"/>
      <c r="HY37" s="790"/>
      <c r="HZ37" s="790"/>
      <c r="IA37" s="790"/>
      <c r="IB37" s="790"/>
      <c r="IC37" s="790"/>
      <c r="ID37" s="790"/>
      <c r="IE37" s="790"/>
      <c r="IF37" s="790"/>
      <c r="IG37" s="790"/>
      <c r="IH37" s="790"/>
      <c r="II37" s="790"/>
      <c r="IJ37" s="790"/>
      <c r="IK37" s="790"/>
      <c r="IL37" s="790"/>
      <c r="IM37" s="790"/>
      <c r="IN37" s="790"/>
      <c r="IO37" s="790"/>
      <c r="IP37" s="790"/>
      <c r="IQ37" s="790"/>
      <c r="IR37" s="790"/>
      <c r="IS37" s="790"/>
      <c r="IT37" s="790"/>
      <c r="IU37" s="790"/>
      <c r="IV37" s="790"/>
      <c r="IW37" s="790"/>
      <c r="IX37" s="790"/>
      <c r="IY37" s="790"/>
      <c r="IZ37" s="790"/>
      <c r="JA37" s="790"/>
      <c r="JB37" s="790"/>
      <c r="JC37" s="790"/>
      <c r="JD37" s="790"/>
      <c r="JE37" s="790"/>
      <c r="JF37" s="790"/>
      <c r="JG37" s="790"/>
      <c r="JH37" s="790"/>
      <c r="JI37" s="790"/>
      <c r="JJ37" s="790"/>
      <c r="JK37" s="790"/>
      <c r="JL37" s="790"/>
      <c r="JM37" s="790"/>
      <c r="JN37" s="790"/>
      <c r="JO37" s="790"/>
      <c r="JP37" s="790"/>
      <c r="JQ37" s="790"/>
      <c r="JR37" s="790"/>
      <c r="JS37" s="790"/>
      <c r="JT37" s="790"/>
      <c r="JU37" s="790"/>
      <c r="JV37" s="790"/>
      <c r="JW37" s="790"/>
      <c r="JX37" s="790"/>
      <c r="JY37" s="790"/>
      <c r="JZ37" s="790"/>
      <c r="KA37" s="790"/>
      <c r="KB37" s="790"/>
      <c r="KC37" s="790"/>
      <c r="KD37" s="790"/>
      <c r="KE37" s="790"/>
      <c r="KF37" s="790"/>
      <c r="KG37" s="790"/>
      <c r="KH37" s="790"/>
      <c r="KI37" s="790"/>
      <c r="KJ37" s="790"/>
      <c r="KK37" s="790"/>
      <c r="KL37" s="790"/>
      <c r="KM37" s="790"/>
      <c r="KN37" s="790"/>
      <c r="KO37" s="790"/>
      <c r="KP37" s="790"/>
      <c r="KQ37" s="790"/>
      <c r="KR37" s="790"/>
      <c r="KS37" s="790"/>
      <c r="KT37" s="790"/>
      <c r="KU37" s="790"/>
      <c r="KV37" s="790"/>
      <c r="KW37" s="790"/>
      <c r="KX37" s="790"/>
      <c r="KY37" s="790"/>
      <c r="KZ37" s="790"/>
      <c r="LA37" s="790"/>
      <c r="LB37" s="790"/>
      <c r="LC37" s="790"/>
      <c r="LD37" s="790"/>
      <c r="LE37" s="790"/>
      <c r="LF37" s="790"/>
      <c r="LG37" s="790"/>
      <c r="LH37" s="790"/>
      <c r="LI37" s="790"/>
      <c r="LJ37" s="790"/>
      <c r="LK37" s="790"/>
      <c r="LL37" s="790"/>
      <c r="LM37" s="790"/>
      <c r="LN37" s="790"/>
      <c r="LO37" s="790"/>
      <c r="LP37" s="790"/>
      <c r="LQ37" s="790"/>
      <c r="LR37" s="790"/>
      <c r="LS37" s="790"/>
      <c r="LT37" s="790"/>
      <c r="LU37" s="790"/>
      <c r="LV37" s="790"/>
      <c r="LW37" s="790"/>
      <c r="LX37" s="790"/>
      <c r="LY37" s="790"/>
      <c r="LZ37" s="790"/>
      <c r="MA37" s="790"/>
      <c r="MB37" s="790"/>
      <c r="MC37" s="790"/>
      <c r="MD37" s="790"/>
      <c r="ME37" s="790"/>
      <c r="MF37" s="790"/>
      <c r="MG37" s="790"/>
      <c r="MH37" s="790"/>
      <c r="MI37" s="790"/>
      <c r="MJ37" s="790"/>
      <c r="MK37" s="790"/>
      <c r="ML37" s="790"/>
      <c r="MM37" s="790"/>
      <c r="MN37" s="790"/>
      <c r="MO37" s="790"/>
      <c r="MP37" s="790"/>
      <c r="MQ37" s="790"/>
      <c r="MR37" s="790"/>
      <c r="MS37" s="790"/>
      <c r="MT37" s="790"/>
      <c r="MU37" s="790"/>
      <c r="MV37" s="790"/>
      <c r="MW37" s="790"/>
      <c r="MX37" s="790"/>
      <c r="MY37" s="790"/>
      <c r="MZ37" s="790"/>
      <c r="NA37" s="790"/>
      <c r="NB37" s="790"/>
      <c r="NC37" s="790"/>
      <c r="ND37" s="790"/>
      <c r="NE37" s="790"/>
      <c r="NF37" s="790"/>
      <c r="NG37" s="790"/>
      <c r="NH37" s="790"/>
      <c r="NI37" s="790"/>
      <c r="NJ37" s="790"/>
      <c r="NK37" s="790"/>
      <c r="NL37" s="790"/>
      <c r="NM37" s="790"/>
      <c r="NN37" s="790"/>
      <c r="NO37" s="790"/>
      <c r="NP37" s="790"/>
      <c r="NQ37" s="790"/>
      <c r="NR37" s="790"/>
      <c r="NS37" s="790"/>
      <c r="NT37" s="790"/>
      <c r="NU37" s="790"/>
      <c r="NV37" s="790"/>
      <c r="NW37" s="790"/>
      <c r="NX37" s="790"/>
      <c r="NY37" s="790"/>
      <c r="NZ37" s="790"/>
      <c r="OA37" s="790"/>
      <c r="OB37" s="790"/>
      <c r="OC37" s="790"/>
      <c r="OD37" s="790"/>
      <c r="OE37" s="790"/>
      <c r="OF37" s="790"/>
      <c r="OG37" s="790"/>
      <c r="OH37" s="790"/>
      <c r="OI37" s="790"/>
      <c r="OJ37" s="790"/>
      <c r="OK37" s="790"/>
      <c r="OL37" s="790"/>
      <c r="OM37" s="790"/>
      <c r="ON37" s="790"/>
      <c r="OO37" s="790"/>
      <c r="OP37" s="790"/>
      <c r="OQ37" s="790"/>
      <c r="OR37" s="790"/>
      <c r="OS37" s="790"/>
      <c r="OT37" s="790"/>
      <c r="OU37" s="790"/>
      <c r="OV37" s="790"/>
      <c r="OW37" s="790"/>
      <c r="OX37" s="790"/>
      <c r="OY37" s="790"/>
      <c r="OZ37" s="790"/>
      <c r="PA37" s="790"/>
      <c r="PB37" s="790"/>
      <c r="PC37" s="790"/>
      <c r="PD37" s="790"/>
      <c r="PE37" s="790"/>
      <c r="PF37" s="790"/>
      <c r="PG37" s="790"/>
      <c r="PH37" s="790"/>
      <c r="PI37" s="790"/>
      <c r="PJ37" s="790"/>
      <c r="PK37" s="790"/>
      <c r="PL37" s="790"/>
      <c r="PM37" s="790"/>
      <c r="PN37" s="790"/>
      <c r="PO37" s="790"/>
      <c r="PP37" s="790"/>
      <c r="PQ37" s="790"/>
      <c r="PR37" s="790"/>
      <c r="PS37" s="790"/>
      <c r="PT37" s="790"/>
      <c r="PU37" s="790"/>
      <c r="PV37" s="790"/>
      <c r="PW37" s="790"/>
      <c r="PX37" s="790"/>
      <c r="PY37" s="790"/>
      <c r="PZ37" s="790"/>
      <c r="QA37" s="790"/>
      <c r="QB37" s="790"/>
      <c r="QC37" s="790"/>
      <c r="QD37" s="790"/>
      <c r="QE37" s="790"/>
      <c r="QF37" s="790"/>
      <c r="QG37" s="790"/>
      <c r="QH37" s="790"/>
      <c r="QI37" s="790"/>
      <c r="QJ37" s="790"/>
      <c r="QK37" s="790"/>
      <c r="QL37" s="790"/>
      <c r="QM37" s="790"/>
      <c r="QN37" s="790"/>
      <c r="QO37" s="790"/>
      <c r="QP37" s="790"/>
      <c r="QQ37" s="790"/>
      <c r="QR37" s="790"/>
      <c r="QS37" s="790"/>
      <c r="QT37" s="790"/>
      <c r="QU37" s="790"/>
      <c r="QV37" s="790"/>
      <c r="QW37" s="790"/>
      <c r="QX37" s="790"/>
      <c r="QY37" s="790"/>
      <c r="QZ37" s="790"/>
      <c r="RA37" s="790"/>
      <c r="RB37" s="790"/>
      <c r="RC37" s="790"/>
      <c r="RD37" s="790"/>
      <c r="RE37" s="790"/>
      <c r="RF37" s="790"/>
      <c r="RG37" s="790"/>
      <c r="RH37" s="790"/>
      <c r="RI37" s="790"/>
      <c r="RJ37" s="790"/>
      <c r="RK37" s="790"/>
      <c r="RL37" s="790"/>
      <c r="RM37" s="790"/>
      <c r="RN37" s="790"/>
      <c r="RO37" s="790"/>
      <c r="RP37" s="790"/>
      <c r="RQ37" s="790"/>
      <c r="RR37" s="790"/>
      <c r="RS37" s="790"/>
      <c r="RT37" s="790"/>
      <c r="RU37" s="790"/>
      <c r="RV37" s="790"/>
      <c r="RW37" s="790"/>
      <c r="RX37" s="790"/>
    </row>
    <row r="38" spans="1:492" s="166" customFormat="1">
      <c r="A38" s="790"/>
      <c r="B38" s="790"/>
      <c r="C38" s="790"/>
      <c r="D38" s="790"/>
      <c r="E38" s="790"/>
      <c r="F38" s="790"/>
      <c r="G38" s="790"/>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6"/>
      <c r="AN38" s="796"/>
      <c r="AO38" s="796"/>
      <c r="AP38" s="173"/>
      <c r="AQ38" s="781"/>
      <c r="AR38" s="781"/>
      <c r="AS38" s="781"/>
      <c r="AT38" s="781"/>
      <c r="AU38" s="781"/>
      <c r="AV38" s="781"/>
      <c r="AW38" s="796"/>
      <c r="AX38" s="796"/>
      <c r="AY38" s="796"/>
      <c r="AZ38" s="796"/>
      <c r="BA38" s="781"/>
      <c r="BB38" s="781"/>
      <c r="BC38" s="781"/>
      <c r="BD38" s="781"/>
      <c r="BE38" s="781"/>
      <c r="BF38" s="781"/>
      <c r="BG38" s="781"/>
      <c r="BH38" s="781"/>
      <c r="BI38" s="781"/>
      <c r="BJ38" s="781"/>
      <c r="BK38" s="781"/>
      <c r="BL38" s="781"/>
      <c r="BM38" s="781"/>
      <c r="BN38" s="781"/>
      <c r="BO38" s="781"/>
      <c r="BP38" s="781"/>
      <c r="BQ38" s="781"/>
      <c r="BR38" s="781"/>
      <c r="BS38" s="781"/>
      <c r="BT38" s="781"/>
      <c r="BU38" s="781"/>
      <c r="BV38" s="790"/>
      <c r="BW38" s="790"/>
      <c r="BX38" s="790"/>
      <c r="BY38" s="790"/>
      <c r="BZ38" s="790"/>
      <c r="CA38" s="790"/>
      <c r="CB38" s="790"/>
      <c r="CC38" s="790"/>
      <c r="CD38" s="790"/>
      <c r="CE38" s="790"/>
      <c r="CF38" s="790"/>
      <c r="CG38" s="790"/>
      <c r="CH38" s="790"/>
      <c r="CI38" s="790"/>
      <c r="CJ38" s="790"/>
      <c r="CK38" s="790"/>
      <c r="CL38" s="790"/>
      <c r="CM38" s="790"/>
      <c r="CN38" s="790"/>
      <c r="CO38" s="790"/>
      <c r="CP38" s="790"/>
      <c r="CQ38" s="790"/>
      <c r="CR38" s="790"/>
      <c r="CS38" s="790"/>
      <c r="CT38" s="790"/>
      <c r="CU38" s="790"/>
      <c r="CV38" s="790"/>
      <c r="CW38" s="790"/>
      <c r="CX38" s="790"/>
      <c r="CY38" s="790"/>
      <c r="CZ38" s="790"/>
      <c r="DA38" s="790"/>
      <c r="DB38" s="790"/>
      <c r="DC38" s="790"/>
      <c r="DD38" s="790"/>
      <c r="DE38" s="790"/>
      <c r="DF38" s="790"/>
      <c r="DG38" s="790"/>
      <c r="DH38" s="790"/>
      <c r="DI38" s="790"/>
      <c r="DJ38" s="790"/>
      <c r="DK38" s="790"/>
      <c r="DL38" s="790"/>
      <c r="DM38" s="790"/>
      <c r="DN38" s="790"/>
      <c r="DO38" s="790"/>
      <c r="DP38" s="790"/>
      <c r="DQ38" s="790"/>
      <c r="DR38" s="790"/>
      <c r="DS38" s="790"/>
      <c r="DT38" s="790"/>
      <c r="DU38" s="790"/>
      <c r="DV38" s="790"/>
      <c r="DW38" s="790"/>
      <c r="DX38" s="790"/>
      <c r="DY38" s="790"/>
      <c r="DZ38" s="790"/>
      <c r="EA38" s="790"/>
      <c r="EB38" s="790"/>
      <c r="EC38" s="790"/>
      <c r="ED38" s="790"/>
      <c r="EE38" s="790"/>
      <c r="EF38" s="790"/>
      <c r="EG38" s="790"/>
      <c r="EH38" s="790"/>
      <c r="EI38" s="790"/>
      <c r="EJ38" s="790"/>
      <c r="EK38" s="790"/>
      <c r="EL38" s="790"/>
      <c r="EM38" s="790"/>
      <c r="EN38" s="790"/>
      <c r="EO38" s="790"/>
      <c r="EP38" s="790"/>
      <c r="EQ38" s="790"/>
      <c r="ER38" s="790"/>
      <c r="ES38" s="790"/>
      <c r="ET38" s="790"/>
      <c r="EU38" s="790"/>
      <c r="EV38" s="790"/>
      <c r="EW38" s="790"/>
      <c r="EX38" s="790"/>
      <c r="EY38" s="790"/>
      <c r="EZ38" s="790"/>
      <c r="FA38" s="790"/>
      <c r="FB38" s="790"/>
      <c r="FC38" s="790"/>
      <c r="FD38" s="790"/>
      <c r="FE38" s="790"/>
      <c r="FF38" s="790"/>
      <c r="FG38" s="790"/>
      <c r="FH38" s="790"/>
      <c r="FI38" s="790"/>
      <c r="FJ38" s="790"/>
      <c r="FK38" s="790"/>
      <c r="FL38" s="790"/>
      <c r="FM38" s="790"/>
      <c r="FN38" s="790"/>
      <c r="FO38" s="790"/>
      <c r="FP38" s="790"/>
      <c r="FQ38" s="790"/>
      <c r="FR38" s="790"/>
      <c r="FS38" s="790"/>
      <c r="FT38" s="790"/>
      <c r="FU38" s="790"/>
      <c r="FV38" s="790"/>
      <c r="FW38" s="790"/>
      <c r="FX38" s="790"/>
      <c r="FY38" s="790"/>
      <c r="FZ38" s="790"/>
      <c r="GA38" s="790"/>
      <c r="GB38" s="790"/>
      <c r="GC38" s="790"/>
      <c r="GD38" s="790"/>
      <c r="GE38" s="790"/>
      <c r="GF38" s="790"/>
      <c r="GG38" s="790"/>
      <c r="GH38" s="790"/>
      <c r="GI38" s="790"/>
      <c r="GJ38" s="790"/>
      <c r="GK38" s="790"/>
      <c r="GL38" s="790"/>
      <c r="GM38" s="790"/>
      <c r="GN38" s="790"/>
      <c r="GO38" s="790"/>
      <c r="GP38" s="790"/>
      <c r="GQ38" s="790"/>
      <c r="GR38" s="790"/>
      <c r="GS38" s="790"/>
      <c r="GT38" s="790"/>
      <c r="GU38" s="790"/>
      <c r="GV38" s="790"/>
      <c r="GW38" s="790"/>
      <c r="GX38" s="790"/>
      <c r="GY38" s="790"/>
      <c r="GZ38" s="790"/>
      <c r="HA38" s="790"/>
      <c r="HB38" s="790"/>
      <c r="HC38" s="790"/>
      <c r="HD38" s="790"/>
      <c r="HE38" s="790"/>
      <c r="HF38" s="790"/>
      <c r="HG38" s="790"/>
      <c r="HH38" s="790"/>
      <c r="HI38" s="790"/>
      <c r="HJ38" s="790"/>
      <c r="HK38" s="790"/>
      <c r="HL38" s="790"/>
      <c r="HM38" s="790"/>
      <c r="HN38" s="790"/>
      <c r="HO38" s="790"/>
      <c r="HP38" s="790"/>
      <c r="HQ38" s="790"/>
      <c r="HR38" s="790"/>
      <c r="HS38" s="790"/>
      <c r="HT38" s="790"/>
      <c r="HU38" s="790"/>
      <c r="HV38" s="790"/>
      <c r="HW38" s="790"/>
      <c r="HX38" s="790"/>
      <c r="HY38" s="790"/>
      <c r="HZ38" s="790"/>
      <c r="IA38" s="790"/>
      <c r="IB38" s="790"/>
      <c r="IC38" s="790"/>
      <c r="ID38" s="790"/>
      <c r="IE38" s="790"/>
      <c r="IF38" s="790"/>
      <c r="IG38" s="790"/>
      <c r="IH38" s="790"/>
      <c r="II38" s="790"/>
      <c r="IJ38" s="790"/>
      <c r="IK38" s="790"/>
      <c r="IL38" s="790"/>
      <c r="IM38" s="790"/>
      <c r="IN38" s="790"/>
      <c r="IO38" s="790"/>
      <c r="IP38" s="790"/>
      <c r="IQ38" s="790"/>
      <c r="IR38" s="790"/>
      <c r="IS38" s="790"/>
      <c r="IT38" s="790"/>
      <c r="IU38" s="790"/>
      <c r="IV38" s="790"/>
      <c r="IW38" s="790"/>
      <c r="IX38" s="790"/>
      <c r="IY38" s="790"/>
      <c r="IZ38" s="790"/>
      <c r="JA38" s="790"/>
      <c r="JB38" s="790"/>
      <c r="JC38" s="790"/>
      <c r="JD38" s="790"/>
      <c r="JE38" s="790"/>
      <c r="JF38" s="790"/>
      <c r="JG38" s="790"/>
      <c r="JH38" s="790"/>
      <c r="JI38" s="790"/>
      <c r="JJ38" s="790"/>
      <c r="JK38" s="790"/>
      <c r="JL38" s="790"/>
      <c r="JM38" s="790"/>
      <c r="JN38" s="790"/>
      <c r="JO38" s="790"/>
      <c r="JP38" s="790"/>
      <c r="JQ38" s="790"/>
      <c r="JR38" s="790"/>
      <c r="JS38" s="790"/>
      <c r="JT38" s="790"/>
      <c r="JU38" s="790"/>
      <c r="JV38" s="790"/>
      <c r="JW38" s="790"/>
      <c r="JX38" s="790"/>
      <c r="JY38" s="790"/>
      <c r="JZ38" s="790"/>
      <c r="KA38" s="790"/>
      <c r="KB38" s="790"/>
      <c r="KC38" s="790"/>
      <c r="KD38" s="790"/>
      <c r="KE38" s="790"/>
      <c r="KF38" s="790"/>
      <c r="KG38" s="790"/>
      <c r="KH38" s="790"/>
      <c r="KI38" s="790"/>
      <c r="KJ38" s="790"/>
      <c r="KK38" s="790"/>
      <c r="KL38" s="790"/>
      <c r="KM38" s="790"/>
      <c r="KN38" s="790"/>
      <c r="KO38" s="790"/>
      <c r="KP38" s="790"/>
      <c r="KQ38" s="790"/>
      <c r="KR38" s="790"/>
      <c r="KS38" s="790"/>
      <c r="KT38" s="790"/>
      <c r="KU38" s="790"/>
      <c r="KV38" s="790"/>
      <c r="KW38" s="790"/>
      <c r="KX38" s="790"/>
      <c r="KY38" s="790"/>
      <c r="KZ38" s="790"/>
      <c r="LA38" s="790"/>
      <c r="LB38" s="790"/>
      <c r="LC38" s="790"/>
      <c r="LD38" s="790"/>
      <c r="LE38" s="790"/>
      <c r="LF38" s="790"/>
      <c r="LG38" s="790"/>
      <c r="LH38" s="790"/>
      <c r="LI38" s="790"/>
      <c r="LJ38" s="790"/>
      <c r="LK38" s="790"/>
      <c r="LL38" s="790"/>
      <c r="LM38" s="790"/>
      <c r="LN38" s="790"/>
      <c r="LO38" s="790"/>
      <c r="LP38" s="790"/>
      <c r="LQ38" s="790"/>
      <c r="LR38" s="790"/>
      <c r="LS38" s="790"/>
      <c r="LT38" s="790"/>
      <c r="LU38" s="790"/>
      <c r="LV38" s="790"/>
      <c r="LW38" s="790"/>
      <c r="LX38" s="790"/>
      <c r="LY38" s="790"/>
      <c r="LZ38" s="790"/>
      <c r="MA38" s="790"/>
      <c r="MB38" s="790"/>
      <c r="MC38" s="790"/>
      <c r="MD38" s="790"/>
      <c r="ME38" s="790"/>
      <c r="MF38" s="790"/>
      <c r="MG38" s="790"/>
      <c r="MH38" s="790"/>
      <c r="MI38" s="790"/>
      <c r="MJ38" s="790"/>
      <c r="MK38" s="790"/>
      <c r="ML38" s="790"/>
      <c r="MM38" s="790"/>
      <c r="MN38" s="790"/>
      <c r="MO38" s="790"/>
      <c r="MP38" s="790"/>
      <c r="MQ38" s="790"/>
      <c r="MR38" s="790"/>
      <c r="MS38" s="790"/>
      <c r="MT38" s="790"/>
      <c r="MU38" s="790"/>
      <c r="MV38" s="790"/>
      <c r="MW38" s="790"/>
      <c r="MX38" s="790"/>
      <c r="MY38" s="790"/>
      <c r="MZ38" s="790"/>
      <c r="NA38" s="790"/>
      <c r="NB38" s="790"/>
      <c r="NC38" s="790"/>
      <c r="ND38" s="790"/>
      <c r="NE38" s="790"/>
      <c r="NF38" s="790"/>
      <c r="NG38" s="790"/>
      <c r="NH38" s="790"/>
      <c r="NI38" s="790"/>
      <c r="NJ38" s="790"/>
      <c r="NK38" s="790"/>
      <c r="NL38" s="790"/>
      <c r="NM38" s="790"/>
      <c r="NN38" s="790"/>
      <c r="NO38" s="790"/>
      <c r="NP38" s="790"/>
      <c r="NQ38" s="790"/>
      <c r="NR38" s="790"/>
      <c r="NS38" s="790"/>
      <c r="NT38" s="790"/>
      <c r="NU38" s="790"/>
      <c r="NV38" s="790"/>
      <c r="NW38" s="790"/>
      <c r="NX38" s="790"/>
      <c r="NY38" s="790"/>
      <c r="NZ38" s="790"/>
      <c r="OA38" s="790"/>
      <c r="OB38" s="790"/>
      <c r="OC38" s="790"/>
      <c r="OD38" s="790"/>
      <c r="OE38" s="790"/>
      <c r="OF38" s="790"/>
      <c r="OG38" s="790"/>
      <c r="OH38" s="790"/>
      <c r="OI38" s="790"/>
      <c r="OJ38" s="790"/>
      <c r="OK38" s="790"/>
      <c r="OL38" s="790"/>
      <c r="OM38" s="790"/>
      <c r="ON38" s="790"/>
      <c r="OO38" s="790"/>
      <c r="OP38" s="790"/>
      <c r="OQ38" s="790"/>
      <c r="OR38" s="790"/>
      <c r="OS38" s="790"/>
      <c r="OT38" s="790"/>
      <c r="OU38" s="790"/>
      <c r="OV38" s="790"/>
      <c r="OW38" s="790"/>
      <c r="OX38" s="790"/>
      <c r="OY38" s="790"/>
      <c r="OZ38" s="790"/>
      <c r="PA38" s="790"/>
      <c r="PB38" s="790"/>
      <c r="PC38" s="790"/>
      <c r="PD38" s="790"/>
      <c r="PE38" s="790"/>
      <c r="PF38" s="790"/>
      <c r="PG38" s="790"/>
      <c r="PH38" s="790"/>
      <c r="PI38" s="790"/>
      <c r="PJ38" s="790"/>
      <c r="PK38" s="790"/>
      <c r="PL38" s="790"/>
      <c r="PM38" s="790"/>
      <c r="PN38" s="790"/>
      <c r="PO38" s="790"/>
      <c r="PP38" s="790"/>
      <c r="PQ38" s="790"/>
      <c r="PR38" s="790"/>
      <c r="PS38" s="790"/>
      <c r="PT38" s="790"/>
      <c r="PU38" s="790"/>
      <c r="PV38" s="790"/>
      <c r="PW38" s="790"/>
      <c r="PX38" s="790"/>
      <c r="PY38" s="790"/>
      <c r="PZ38" s="790"/>
      <c r="QA38" s="790"/>
      <c r="QB38" s="790"/>
      <c r="QC38" s="790"/>
      <c r="QD38" s="790"/>
      <c r="QE38" s="790"/>
      <c r="QF38" s="790"/>
      <c r="QG38" s="790"/>
      <c r="QH38" s="790"/>
      <c r="QI38" s="790"/>
      <c r="QJ38" s="790"/>
      <c r="QK38" s="790"/>
      <c r="QL38" s="790"/>
      <c r="QM38" s="790"/>
      <c r="QN38" s="790"/>
      <c r="QO38" s="790"/>
      <c r="QP38" s="790"/>
      <c r="QQ38" s="790"/>
      <c r="QR38" s="790"/>
      <c r="QS38" s="790"/>
      <c r="QT38" s="790"/>
      <c r="QU38" s="790"/>
      <c r="QV38" s="790"/>
      <c r="QW38" s="790"/>
      <c r="QX38" s="790"/>
      <c r="QY38" s="790"/>
      <c r="QZ38" s="790"/>
      <c r="RA38" s="790"/>
      <c r="RB38" s="790"/>
      <c r="RC38" s="790"/>
      <c r="RD38" s="790"/>
      <c r="RE38" s="790"/>
      <c r="RF38" s="790"/>
      <c r="RG38" s="790"/>
      <c r="RH38" s="790"/>
      <c r="RI38" s="790"/>
      <c r="RJ38" s="790"/>
      <c r="RK38" s="790"/>
      <c r="RL38" s="790"/>
      <c r="RM38" s="790"/>
      <c r="RN38" s="790"/>
      <c r="RO38" s="790"/>
      <c r="RP38" s="790"/>
      <c r="RQ38" s="790"/>
      <c r="RR38" s="790"/>
      <c r="RS38" s="790"/>
      <c r="RT38" s="790"/>
      <c r="RU38" s="790"/>
      <c r="RV38" s="790"/>
      <c r="RW38" s="790"/>
      <c r="RX38" s="790"/>
    </row>
    <row r="39" spans="1:492" s="166" customFormat="1">
      <c r="A39" s="790"/>
      <c r="B39" s="790"/>
      <c r="C39" s="790"/>
      <c r="D39" s="790"/>
      <c r="E39" s="790"/>
      <c r="F39" s="790"/>
      <c r="G39" s="790"/>
      <c r="H39" s="790"/>
      <c r="I39" s="790"/>
      <c r="J39" s="790"/>
      <c r="K39" s="790"/>
      <c r="L39" s="790"/>
      <c r="M39" s="790"/>
      <c r="N39" s="790"/>
      <c r="O39" s="790"/>
      <c r="P39" s="790"/>
      <c r="Q39" s="790"/>
      <c r="R39" s="790"/>
      <c r="S39" s="790"/>
      <c r="T39" s="790"/>
      <c r="U39" s="790"/>
      <c r="V39" s="790"/>
      <c r="W39" s="790"/>
      <c r="X39" s="790"/>
      <c r="Y39" s="790"/>
      <c r="Z39" s="790"/>
      <c r="AA39" s="790"/>
      <c r="AB39" s="790"/>
      <c r="AC39" s="790"/>
      <c r="AD39" s="790"/>
      <c r="AE39" s="790"/>
      <c r="AF39" s="790"/>
      <c r="AG39" s="790"/>
      <c r="AH39" s="790"/>
      <c r="AI39" s="790"/>
      <c r="AJ39" s="790"/>
      <c r="AK39" s="790"/>
      <c r="AL39" s="790"/>
      <c r="AM39" s="796"/>
      <c r="AN39" s="796"/>
      <c r="AO39" s="796"/>
      <c r="AP39" s="173"/>
      <c r="AQ39" s="781"/>
      <c r="AR39" s="781"/>
      <c r="AS39" s="781"/>
      <c r="AT39" s="781"/>
      <c r="AU39" s="781"/>
      <c r="AV39" s="781"/>
      <c r="AW39" s="796"/>
      <c r="AX39" s="796"/>
      <c r="AY39" s="796"/>
      <c r="AZ39" s="174"/>
      <c r="BA39" s="781"/>
      <c r="BB39" s="781"/>
      <c r="BC39" s="781"/>
      <c r="BD39" s="781"/>
      <c r="BE39" s="781"/>
      <c r="BF39" s="781"/>
      <c r="BG39" s="781"/>
      <c r="BH39" s="781"/>
      <c r="BI39" s="781"/>
      <c r="BJ39" s="781"/>
      <c r="BK39" s="781"/>
      <c r="BL39" s="781"/>
      <c r="BM39" s="781"/>
      <c r="BN39" s="781"/>
      <c r="BO39" s="781"/>
      <c r="BP39" s="781"/>
      <c r="BQ39" s="781"/>
      <c r="BR39" s="781"/>
      <c r="BS39" s="781"/>
      <c r="BT39" s="781"/>
      <c r="BU39" s="781"/>
      <c r="BV39" s="790"/>
      <c r="BW39" s="790"/>
      <c r="BX39" s="790"/>
      <c r="BY39" s="790"/>
      <c r="BZ39" s="790"/>
      <c r="CA39" s="790"/>
      <c r="CB39" s="790"/>
      <c r="CC39" s="790"/>
      <c r="CD39" s="790"/>
      <c r="CE39" s="790"/>
      <c r="CF39" s="790"/>
      <c r="CG39" s="790"/>
      <c r="CH39" s="790"/>
      <c r="CI39" s="790"/>
      <c r="CJ39" s="790"/>
      <c r="CK39" s="790"/>
      <c r="CL39" s="790"/>
      <c r="CM39" s="790"/>
      <c r="CN39" s="790"/>
      <c r="CO39" s="790"/>
      <c r="CP39" s="790"/>
      <c r="CQ39" s="790"/>
      <c r="CR39" s="790"/>
      <c r="CS39" s="790"/>
      <c r="CT39" s="790"/>
      <c r="CU39" s="790"/>
      <c r="CV39" s="790"/>
      <c r="CW39" s="790"/>
      <c r="CX39" s="790"/>
      <c r="CY39" s="790"/>
      <c r="CZ39" s="790"/>
      <c r="DA39" s="790"/>
      <c r="DB39" s="790"/>
      <c r="DC39" s="790"/>
      <c r="DD39" s="790"/>
      <c r="DE39" s="790"/>
      <c r="DF39" s="790"/>
      <c r="DG39" s="790"/>
      <c r="DH39" s="790"/>
      <c r="DI39" s="790"/>
      <c r="DJ39" s="790"/>
      <c r="DK39" s="790"/>
      <c r="DL39" s="790"/>
      <c r="DM39" s="790"/>
      <c r="DN39" s="790"/>
      <c r="DO39" s="790"/>
      <c r="DP39" s="790"/>
      <c r="DQ39" s="790"/>
      <c r="DR39" s="790"/>
      <c r="DS39" s="790"/>
      <c r="DT39" s="790"/>
      <c r="DU39" s="790"/>
      <c r="DV39" s="790"/>
      <c r="DW39" s="790"/>
      <c r="DX39" s="790"/>
      <c r="DY39" s="790"/>
      <c r="DZ39" s="790"/>
      <c r="EA39" s="790"/>
      <c r="EB39" s="790"/>
      <c r="EC39" s="790"/>
      <c r="ED39" s="790"/>
      <c r="EE39" s="790"/>
      <c r="EF39" s="790"/>
      <c r="EG39" s="790"/>
      <c r="EH39" s="790"/>
      <c r="EI39" s="790"/>
      <c r="EJ39" s="790"/>
      <c r="EK39" s="790"/>
      <c r="EL39" s="790"/>
      <c r="EM39" s="790"/>
      <c r="EN39" s="790"/>
      <c r="EO39" s="790"/>
      <c r="EP39" s="790"/>
      <c r="EQ39" s="790"/>
      <c r="ER39" s="790"/>
      <c r="ES39" s="790"/>
      <c r="ET39" s="790"/>
      <c r="EU39" s="790"/>
      <c r="EV39" s="790"/>
      <c r="EW39" s="790"/>
      <c r="EX39" s="790"/>
      <c r="EY39" s="790"/>
      <c r="EZ39" s="790"/>
      <c r="FA39" s="790"/>
      <c r="FB39" s="790"/>
      <c r="FC39" s="790"/>
      <c r="FD39" s="790"/>
      <c r="FE39" s="790"/>
      <c r="FF39" s="790"/>
      <c r="FG39" s="790"/>
      <c r="FH39" s="790"/>
      <c r="FI39" s="790"/>
      <c r="FJ39" s="790"/>
      <c r="FK39" s="790"/>
      <c r="FL39" s="790"/>
      <c r="FM39" s="790"/>
      <c r="FN39" s="790"/>
      <c r="FO39" s="790"/>
      <c r="FP39" s="790"/>
      <c r="FQ39" s="790"/>
      <c r="FR39" s="790"/>
      <c r="FS39" s="790"/>
      <c r="FT39" s="790"/>
      <c r="FU39" s="790"/>
      <c r="FV39" s="790"/>
      <c r="FW39" s="790"/>
      <c r="FX39" s="790"/>
      <c r="FY39" s="790"/>
      <c r="FZ39" s="790"/>
      <c r="GA39" s="790"/>
      <c r="GB39" s="790"/>
      <c r="GC39" s="790"/>
      <c r="GD39" s="790"/>
      <c r="GE39" s="790"/>
      <c r="GF39" s="790"/>
      <c r="GG39" s="790"/>
      <c r="GH39" s="790"/>
      <c r="GI39" s="790"/>
      <c r="GJ39" s="790"/>
      <c r="GK39" s="790"/>
      <c r="GL39" s="790"/>
      <c r="GM39" s="790"/>
      <c r="GN39" s="790"/>
      <c r="GO39" s="790"/>
      <c r="GP39" s="790"/>
      <c r="GQ39" s="790"/>
      <c r="GR39" s="790"/>
      <c r="GS39" s="790"/>
      <c r="GT39" s="790"/>
      <c r="GU39" s="790"/>
      <c r="GV39" s="790"/>
      <c r="GW39" s="790"/>
      <c r="GX39" s="790"/>
      <c r="GY39" s="790"/>
      <c r="GZ39" s="790"/>
      <c r="HA39" s="790"/>
      <c r="HB39" s="790"/>
      <c r="HC39" s="790"/>
      <c r="HD39" s="790"/>
      <c r="HE39" s="790"/>
      <c r="HF39" s="790"/>
      <c r="HG39" s="790"/>
      <c r="HH39" s="790"/>
      <c r="HI39" s="790"/>
      <c r="HJ39" s="790"/>
      <c r="HK39" s="790"/>
      <c r="HL39" s="790"/>
      <c r="HM39" s="790"/>
      <c r="HN39" s="790"/>
      <c r="HO39" s="790"/>
      <c r="HP39" s="790"/>
      <c r="HQ39" s="790"/>
      <c r="HR39" s="790"/>
      <c r="HS39" s="790"/>
      <c r="HT39" s="790"/>
      <c r="HU39" s="790"/>
      <c r="HV39" s="790"/>
      <c r="HW39" s="790"/>
      <c r="HX39" s="790"/>
      <c r="HY39" s="790"/>
      <c r="HZ39" s="790"/>
      <c r="IA39" s="790"/>
      <c r="IB39" s="790"/>
      <c r="IC39" s="790"/>
      <c r="ID39" s="790"/>
      <c r="IE39" s="790"/>
      <c r="IF39" s="790"/>
      <c r="IG39" s="790"/>
      <c r="IH39" s="790"/>
      <c r="II39" s="790"/>
      <c r="IJ39" s="790"/>
      <c r="IK39" s="790"/>
      <c r="IL39" s="790"/>
      <c r="IM39" s="790"/>
      <c r="IN39" s="790"/>
      <c r="IO39" s="790"/>
      <c r="IP39" s="790"/>
      <c r="IQ39" s="790"/>
      <c r="IR39" s="790"/>
      <c r="IS39" s="790"/>
      <c r="IT39" s="790"/>
      <c r="IU39" s="790"/>
      <c r="IV39" s="790"/>
      <c r="IW39" s="790"/>
      <c r="IX39" s="790"/>
      <c r="IY39" s="790"/>
      <c r="IZ39" s="790"/>
      <c r="JA39" s="790"/>
      <c r="JB39" s="790"/>
      <c r="JC39" s="790"/>
      <c r="JD39" s="790"/>
      <c r="JE39" s="790"/>
      <c r="JF39" s="790"/>
      <c r="JG39" s="790"/>
      <c r="JH39" s="790"/>
      <c r="JI39" s="790"/>
      <c r="JJ39" s="790"/>
      <c r="JK39" s="790"/>
      <c r="JL39" s="790"/>
      <c r="JM39" s="790"/>
      <c r="JN39" s="790"/>
      <c r="JO39" s="790"/>
      <c r="JP39" s="790"/>
      <c r="JQ39" s="790"/>
      <c r="JR39" s="790"/>
      <c r="JS39" s="790"/>
      <c r="JT39" s="790"/>
      <c r="JU39" s="790"/>
      <c r="JV39" s="790"/>
      <c r="JW39" s="790"/>
      <c r="JX39" s="790"/>
      <c r="JY39" s="790"/>
      <c r="JZ39" s="790"/>
      <c r="KA39" s="790"/>
      <c r="KB39" s="790"/>
      <c r="KC39" s="790"/>
      <c r="KD39" s="790"/>
      <c r="KE39" s="790"/>
      <c r="KF39" s="790"/>
      <c r="KG39" s="790"/>
      <c r="KH39" s="790"/>
      <c r="KI39" s="790"/>
      <c r="KJ39" s="790"/>
      <c r="KK39" s="790"/>
      <c r="KL39" s="790"/>
      <c r="KM39" s="790"/>
      <c r="KN39" s="790"/>
      <c r="KO39" s="790"/>
      <c r="KP39" s="790"/>
      <c r="KQ39" s="790"/>
      <c r="KR39" s="790"/>
      <c r="KS39" s="790"/>
      <c r="KT39" s="790"/>
      <c r="KU39" s="790"/>
      <c r="KV39" s="790"/>
      <c r="KW39" s="790"/>
      <c r="KX39" s="790"/>
      <c r="KY39" s="790"/>
      <c r="KZ39" s="790"/>
      <c r="LA39" s="790"/>
      <c r="LB39" s="790"/>
      <c r="LC39" s="790"/>
      <c r="LD39" s="790"/>
      <c r="LE39" s="790"/>
      <c r="LF39" s="790"/>
      <c r="LG39" s="790"/>
      <c r="LH39" s="790"/>
      <c r="LI39" s="790"/>
      <c r="LJ39" s="790"/>
      <c r="LK39" s="790"/>
      <c r="LL39" s="790"/>
      <c r="LM39" s="790"/>
      <c r="LN39" s="790"/>
      <c r="LO39" s="790"/>
      <c r="LP39" s="790"/>
      <c r="LQ39" s="790"/>
      <c r="LR39" s="790"/>
      <c r="LS39" s="790"/>
      <c r="LT39" s="790"/>
      <c r="LU39" s="790"/>
      <c r="LV39" s="790"/>
      <c r="LW39" s="790"/>
      <c r="LX39" s="790"/>
      <c r="LY39" s="790"/>
      <c r="LZ39" s="790"/>
      <c r="MA39" s="790"/>
      <c r="MB39" s="790"/>
      <c r="MC39" s="790"/>
      <c r="MD39" s="790"/>
      <c r="ME39" s="790"/>
      <c r="MF39" s="790"/>
      <c r="MG39" s="790"/>
      <c r="MH39" s="790"/>
      <c r="MI39" s="790"/>
      <c r="MJ39" s="790"/>
      <c r="MK39" s="790"/>
      <c r="ML39" s="790"/>
      <c r="MM39" s="790"/>
      <c r="MN39" s="790"/>
      <c r="MO39" s="790"/>
      <c r="MP39" s="790"/>
      <c r="MQ39" s="790"/>
      <c r="MR39" s="790"/>
      <c r="MS39" s="790"/>
      <c r="MT39" s="790"/>
      <c r="MU39" s="790"/>
      <c r="MV39" s="790"/>
      <c r="MW39" s="790"/>
      <c r="MX39" s="790"/>
      <c r="MY39" s="790"/>
      <c r="MZ39" s="790"/>
      <c r="NA39" s="790"/>
      <c r="NB39" s="790"/>
      <c r="NC39" s="790"/>
      <c r="ND39" s="790"/>
      <c r="NE39" s="790"/>
      <c r="NF39" s="790"/>
      <c r="NG39" s="790"/>
      <c r="NH39" s="790"/>
      <c r="NI39" s="790"/>
      <c r="NJ39" s="790"/>
      <c r="NK39" s="790"/>
      <c r="NL39" s="790"/>
      <c r="NM39" s="790"/>
      <c r="NN39" s="790"/>
      <c r="NO39" s="790"/>
      <c r="NP39" s="790"/>
      <c r="NQ39" s="790"/>
      <c r="NR39" s="790"/>
      <c r="NS39" s="790"/>
      <c r="NT39" s="790"/>
      <c r="NU39" s="790"/>
      <c r="NV39" s="790"/>
      <c r="NW39" s="790"/>
      <c r="NX39" s="790"/>
      <c r="NY39" s="790"/>
      <c r="NZ39" s="790"/>
      <c r="OA39" s="790"/>
      <c r="OB39" s="790"/>
      <c r="OC39" s="790"/>
      <c r="OD39" s="790"/>
      <c r="OE39" s="790"/>
      <c r="OF39" s="790"/>
      <c r="OG39" s="790"/>
      <c r="OH39" s="790"/>
      <c r="OI39" s="790"/>
      <c r="OJ39" s="790"/>
      <c r="OK39" s="790"/>
      <c r="OL39" s="790"/>
      <c r="OM39" s="790"/>
      <c r="ON39" s="790"/>
      <c r="OO39" s="790"/>
      <c r="OP39" s="790"/>
      <c r="OQ39" s="790"/>
      <c r="OR39" s="790"/>
      <c r="OS39" s="790"/>
      <c r="OT39" s="790"/>
      <c r="OU39" s="790"/>
      <c r="OV39" s="790"/>
      <c r="OW39" s="790"/>
      <c r="OX39" s="790"/>
      <c r="OY39" s="790"/>
      <c r="OZ39" s="790"/>
      <c r="PA39" s="790"/>
      <c r="PB39" s="790"/>
      <c r="PC39" s="790"/>
      <c r="PD39" s="790"/>
      <c r="PE39" s="790"/>
      <c r="PF39" s="790"/>
      <c r="PG39" s="790"/>
      <c r="PH39" s="790"/>
      <c r="PI39" s="790"/>
      <c r="PJ39" s="790"/>
      <c r="PK39" s="790"/>
      <c r="PL39" s="790"/>
      <c r="PM39" s="790"/>
      <c r="PN39" s="790"/>
      <c r="PO39" s="790"/>
      <c r="PP39" s="790"/>
      <c r="PQ39" s="790"/>
      <c r="PR39" s="790"/>
      <c r="PS39" s="790"/>
      <c r="PT39" s="790"/>
      <c r="PU39" s="790"/>
      <c r="PV39" s="790"/>
      <c r="PW39" s="790"/>
      <c r="PX39" s="790"/>
      <c r="PY39" s="790"/>
      <c r="PZ39" s="790"/>
      <c r="QA39" s="790"/>
      <c r="QB39" s="790"/>
      <c r="QC39" s="790"/>
      <c r="QD39" s="790"/>
      <c r="QE39" s="790"/>
      <c r="QF39" s="790"/>
      <c r="QG39" s="790"/>
      <c r="QH39" s="790"/>
      <c r="QI39" s="790"/>
      <c r="QJ39" s="790"/>
      <c r="QK39" s="790"/>
      <c r="QL39" s="790"/>
      <c r="QM39" s="790"/>
      <c r="QN39" s="790"/>
      <c r="QO39" s="790"/>
      <c r="QP39" s="790"/>
      <c r="QQ39" s="790"/>
      <c r="QR39" s="790"/>
      <c r="QS39" s="790"/>
      <c r="QT39" s="790"/>
      <c r="QU39" s="790"/>
      <c r="QV39" s="790"/>
      <c r="QW39" s="790"/>
      <c r="QX39" s="790"/>
      <c r="QY39" s="790"/>
      <c r="QZ39" s="790"/>
      <c r="RA39" s="790"/>
      <c r="RB39" s="790"/>
      <c r="RC39" s="790"/>
      <c r="RD39" s="790"/>
      <c r="RE39" s="790"/>
      <c r="RF39" s="790"/>
      <c r="RG39" s="790"/>
      <c r="RH39" s="790"/>
      <c r="RI39" s="790"/>
      <c r="RJ39" s="790"/>
      <c r="RK39" s="790"/>
      <c r="RL39" s="790"/>
      <c r="RM39" s="790"/>
      <c r="RN39" s="790"/>
      <c r="RO39" s="790"/>
      <c r="RP39" s="790"/>
      <c r="RQ39" s="790"/>
      <c r="RR39" s="790"/>
      <c r="RS39" s="790"/>
      <c r="RT39" s="790"/>
      <c r="RU39" s="790"/>
      <c r="RV39" s="790"/>
      <c r="RW39" s="790"/>
      <c r="RX39" s="790"/>
    </row>
    <row r="40" spans="1:492" s="166" customFormat="1">
      <c r="A40" s="790"/>
      <c r="B40" s="790"/>
      <c r="C40" s="790"/>
      <c r="D40" s="790"/>
      <c r="E40" s="790"/>
      <c r="F40" s="790"/>
      <c r="G40" s="790"/>
      <c r="H40" s="790"/>
      <c r="I40" s="790"/>
      <c r="J40" s="790"/>
      <c r="K40" s="790"/>
      <c r="L40" s="790"/>
      <c r="M40" s="790"/>
      <c r="N40" s="790"/>
      <c r="O40" s="790"/>
      <c r="P40" s="790"/>
      <c r="Q40" s="790"/>
      <c r="R40" s="790"/>
      <c r="S40" s="790"/>
      <c r="T40" s="790"/>
      <c r="U40" s="790"/>
      <c r="V40" s="790"/>
      <c r="W40" s="790"/>
      <c r="X40" s="790"/>
      <c r="Y40" s="790"/>
      <c r="Z40" s="790"/>
      <c r="AA40" s="790"/>
      <c r="AB40" s="790"/>
      <c r="AC40" s="790"/>
      <c r="AD40" s="790"/>
      <c r="AE40" s="790"/>
      <c r="AF40" s="790"/>
      <c r="AG40" s="790"/>
      <c r="AH40" s="790"/>
      <c r="AI40" s="790"/>
      <c r="AJ40" s="790"/>
      <c r="AK40" s="790"/>
      <c r="AL40" s="790"/>
      <c r="AM40" s="796"/>
      <c r="AN40" s="796"/>
      <c r="AO40" s="796"/>
      <c r="AP40" s="173"/>
      <c r="AQ40" s="781"/>
      <c r="AR40" s="781"/>
      <c r="AS40" s="781"/>
      <c r="AT40" s="781"/>
      <c r="AU40" s="781"/>
      <c r="AV40" s="781"/>
      <c r="AW40" s="796"/>
      <c r="AX40" s="796"/>
      <c r="AY40" s="796"/>
      <c r="AZ40" s="174"/>
      <c r="BA40" s="781"/>
      <c r="BB40" s="796"/>
      <c r="BC40" s="796"/>
      <c r="BD40" s="175"/>
      <c r="BE40" s="175"/>
      <c r="BF40" s="781"/>
      <c r="BG40" s="796"/>
      <c r="BH40" s="796"/>
      <c r="BI40" s="175"/>
      <c r="BJ40" s="175"/>
      <c r="BK40" s="781"/>
      <c r="BL40" s="796"/>
      <c r="BM40" s="796"/>
      <c r="BN40" s="175"/>
      <c r="BO40" s="175"/>
      <c r="BP40" s="781"/>
      <c r="BQ40" s="796"/>
      <c r="BR40" s="796"/>
      <c r="BS40" s="175"/>
      <c r="BT40" s="175"/>
      <c r="BU40" s="781"/>
      <c r="BV40" s="790"/>
      <c r="BW40" s="790"/>
      <c r="BX40" s="790"/>
      <c r="BY40" s="790"/>
      <c r="BZ40" s="790"/>
      <c r="CA40" s="790"/>
      <c r="CB40" s="790"/>
      <c r="CC40" s="790"/>
      <c r="CD40" s="790"/>
      <c r="CE40" s="790"/>
      <c r="CF40" s="790"/>
      <c r="CG40" s="790"/>
      <c r="CH40" s="790"/>
      <c r="CI40" s="790"/>
      <c r="CJ40" s="790"/>
      <c r="CK40" s="790"/>
      <c r="CL40" s="790"/>
      <c r="CM40" s="790"/>
      <c r="CN40" s="790"/>
      <c r="CO40" s="790"/>
      <c r="CP40" s="790"/>
      <c r="CQ40" s="790"/>
      <c r="CR40" s="790"/>
      <c r="CS40" s="790"/>
      <c r="CT40" s="790"/>
      <c r="CU40" s="790"/>
      <c r="CV40" s="790"/>
      <c r="CW40" s="790"/>
      <c r="CX40" s="790"/>
      <c r="CY40" s="790"/>
      <c r="CZ40" s="790"/>
      <c r="DA40" s="790"/>
      <c r="DB40" s="790"/>
      <c r="DC40" s="790"/>
      <c r="DD40" s="790"/>
      <c r="DE40" s="790"/>
      <c r="DF40" s="790"/>
      <c r="DG40" s="790"/>
      <c r="DH40" s="790"/>
      <c r="DI40" s="790"/>
      <c r="DJ40" s="790"/>
      <c r="DK40" s="790"/>
      <c r="DL40" s="790"/>
      <c r="DM40" s="790"/>
      <c r="DN40" s="790"/>
      <c r="DO40" s="790"/>
      <c r="DP40" s="790"/>
      <c r="DQ40" s="790"/>
      <c r="DR40" s="790"/>
      <c r="DS40" s="790"/>
      <c r="DT40" s="790"/>
      <c r="DU40" s="790"/>
      <c r="DV40" s="790"/>
      <c r="DW40" s="790"/>
      <c r="DX40" s="790"/>
      <c r="DY40" s="790"/>
      <c r="DZ40" s="790"/>
      <c r="EA40" s="790"/>
      <c r="EB40" s="790"/>
      <c r="EC40" s="790"/>
      <c r="ED40" s="790"/>
      <c r="EE40" s="790"/>
      <c r="EF40" s="790"/>
      <c r="EG40" s="790"/>
      <c r="EH40" s="790"/>
      <c r="EI40" s="790"/>
      <c r="EJ40" s="790"/>
      <c r="EK40" s="790"/>
      <c r="EL40" s="790"/>
      <c r="EM40" s="790"/>
      <c r="EN40" s="790"/>
      <c r="EO40" s="790"/>
      <c r="EP40" s="790"/>
      <c r="EQ40" s="790"/>
      <c r="ER40" s="790"/>
      <c r="ES40" s="790"/>
      <c r="ET40" s="790"/>
      <c r="EU40" s="790"/>
      <c r="EV40" s="790"/>
      <c r="EW40" s="790"/>
      <c r="EX40" s="790"/>
      <c r="EY40" s="790"/>
      <c r="EZ40" s="790"/>
      <c r="FA40" s="790"/>
      <c r="FB40" s="790"/>
      <c r="FC40" s="790"/>
      <c r="FD40" s="790"/>
      <c r="FE40" s="790"/>
      <c r="FF40" s="790"/>
      <c r="FG40" s="790"/>
      <c r="FH40" s="790"/>
      <c r="FI40" s="790"/>
      <c r="FJ40" s="790"/>
      <c r="FK40" s="790"/>
      <c r="FL40" s="790"/>
      <c r="FM40" s="790"/>
      <c r="FN40" s="790"/>
      <c r="FO40" s="790"/>
      <c r="FP40" s="790"/>
      <c r="FQ40" s="790"/>
      <c r="FR40" s="790"/>
      <c r="FS40" s="790"/>
      <c r="FT40" s="790"/>
      <c r="FU40" s="790"/>
      <c r="FV40" s="790"/>
      <c r="FW40" s="790"/>
      <c r="FX40" s="790"/>
      <c r="FY40" s="790"/>
      <c r="FZ40" s="790"/>
      <c r="GA40" s="790"/>
      <c r="GB40" s="790"/>
      <c r="GC40" s="790"/>
      <c r="GD40" s="790"/>
      <c r="GE40" s="790"/>
      <c r="GF40" s="790"/>
      <c r="GG40" s="790"/>
      <c r="GH40" s="790"/>
      <c r="GI40" s="790"/>
      <c r="GJ40" s="790"/>
      <c r="GK40" s="790"/>
      <c r="GL40" s="790"/>
      <c r="GM40" s="790"/>
      <c r="GN40" s="790"/>
      <c r="GO40" s="790"/>
      <c r="GP40" s="790"/>
      <c r="GQ40" s="790"/>
      <c r="GR40" s="790"/>
      <c r="GS40" s="790"/>
      <c r="GT40" s="790"/>
      <c r="GU40" s="790"/>
      <c r="GV40" s="790"/>
      <c r="GW40" s="790"/>
      <c r="GX40" s="790"/>
      <c r="GY40" s="790"/>
      <c r="GZ40" s="790"/>
      <c r="HA40" s="790"/>
      <c r="HB40" s="790"/>
      <c r="HC40" s="790"/>
      <c r="HD40" s="790"/>
      <c r="HE40" s="790"/>
      <c r="HF40" s="790"/>
      <c r="HG40" s="790"/>
      <c r="HH40" s="790"/>
      <c r="HI40" s="790"/>
      <c r="HJ40" s="790"/>
      <c r="HK40" s="790"/>
      <c r="HL40" s="790"/>
      <c r="HM40" s="790"/>
      <c r="HN40" s="790"/>
      <c r="HO40" s="790"/>
      <c r="HP40" s="790"/>
      <c r="HQ40" s="790"/>
      <c r="HR40" s="790"/>
      <c r="HS40" s="790"/>
      <c r="HT40" s="790"/>
      <c r="HU40" s="790"/>
      <c r="HV40" s="790"/>
      <c r="HW40" s="790"/>
      <c r="HX40" s="790"/>
      <c r="HY40" s="790"/>
      <c r="HZ40" s="790"/>
      <c r="IA40" s="790"/>
      <c r="IB40" s="790"/>
      <c r="IC40" s="790"/>
      <c r="ID40" s="790"/>
      <c r="IE40" s="790"/>
      <c r="IF40" s="790"/>
      <c r="IG40" s="790"/>
      <c r="IH40" s="790"/>
      <c r="II40" s="790"/>
      <c r="IJ40" s="790"/>
      <c r="IK40" s="790"/>
      <c r="IL40" s="790"/>
      <c r="IM40" s="790"/>
      <c r="IN40" s="790"/>
      <c r="IO40" s="790"/>
      <c r="IP40" s="790"/>
      <c r="IQ40" s="790"/>
      <c r="IR40" s="790"/>
      <c r="IS40" s="790"/>
      <c r="IT40" s="790"/>
      <c r="IU40" s="790"/>
      <c r="IV40" s="790"/>
      <c r="IW40" s="790"/>
      <c r="IX40" s="790"/>
      <c r="IY40" s="790"/>
      <c r="IZ40" s="790"/>
      <c r="JA40" s="790"/>
      <c r="JB40" s="790"/>
      <c r="JC40" s="790"/>
      <c r="JD40" s="790"/>
      <c r="JE40" s="790"/>
      <c r="JF40" s="790"/>
      <c r="JG40" s="790"/>
      <c r="JH40" s="790"/>
      <c r="JI40" s="790"/>
      <c r="JJ40" s="790"/>
      <c r="JK40" s="790"/>
      <c r="JL40" s="790"/>
      <c r="JM40" s="790"/>
      <c r="JN40" s="790"/>
      <c r="JO40" s="790"/>
      <c r="JP40" s="790"/>
      <c r="JQ40" s="790"/>
      <c r="JR40" s="790"/>
      <c r="JS40" s="790"/>
      <c r="JT40" s="790"/>
      <c r="JU40" s="790"/>
      <c r="JV40" s="790"/>
      <c r="JW40" s="790"/>
      <c r="JX40" s="790"/>
      <c r="JY40" s="790"/>
      <c r="JZ40" s="790"/>
      <c r="KA40" s="790"/>
      <c r="KB40" s="790"/>
      <c r="KC40" s="790"/>
      <c r="KD40" s="790"/>
      <c r="KE40" s="790"/>
      <c r="KF40" s="790"/>
      <c r="KG40" s="790"/>
      <c r="KH40" s="790"/>
      <c r="KI40" s="790"/>
      <c r="KJ40" s="790"/>
      <c r="KK40" s="790"/>
      <c r="KL40" s="790"/>
      <c r="KM40" s="790"/>
      <c r="KN40" s="790"/>
      <c r="KO40" s="790"/>
      <c r="KP40" s="790"/>
      <c r="KQ40" s="790"/>
      <c r="KR40" s="790"/>
      <c r="KS40" s="790"/>
      <c r="KT40" s="790"/>
      <c r="KU40" s="790"/>
      <c r="KV40" s="790"/>
      <c r="KW40" s="790"/>
      <c r="KX40" s="790"/>
      <c r="KY40" s="790"/>
      <c r="KZ40" s="790"/>
      <c r="LA40" s="790"/>
      <c r="LB40" s="790"/>
      <c r="LC40" s="790"/>
      <c r="LD40" s="790"/>
      <c r="LE40" s="790"/>
      <c r="LF40" s="790"/>
      <c r="LG40" s="790"/>
      <c r="LH40" s="790"/>
      <c r="LI40" s="790"/>
      <c r="LJ40" s="790"/>
      <c r="LK40" s="790"/>
      <c r="LL40" s="790"/>
      <c r="LM40" s="790"/>
      <c r="LN40" s="790"/>
      <c r="LO40" s="790"/>
      <c r="LP40" s="790"/>
      <c r="LQ40" s="790"/>
      <c r="LR40" s="790"/>
      <c r="LS40" s="790"/>
      <c r="LT40" s="790"/>
      <c r="LU40" s="790"/>
      <c r="LV40" s="790"/>
      <c r="LW40" s="790"/>
      <c r="LX40" s="790"/>
      <c r="LY40" s="790"/>
      <c r="LZ40" s="790"/>
      <c r="MA40" s="790"/>
      <c r="MB40" s="790"/>
      <c r="MC40" s="790"/>
      <c r="MD40" s="790"/>
      <c r="ME40" s="790"/>
      <c r="MF40" s="790"/>
      <c r="MG40" s="790"/>
      <c r="MH40" s="790"/>
      <c r="MI40" s="790"/>
      <c r="MJ40" s="790"/>
      <c r="MK40" s="790"/>
      <c r="ML40" s="790"/>
      <c r="MM40" s="790"/>
      <c r="MN40" s="790"/>
      <c r="MO40" s="790"/>
      <c r="MP40" s="790"/>
      <c r="MQ40" s="790"/>
      <c r="MR40" s="790"/>
      <c r="MS40" s="790"/>
      <c r="MT40" s="790"/>
      <c r="MU40" s="790"/>
      <c r="MV40" s="790"/>
      <c r="MW40" s="790"/>
      <c r="MX40" s="790"/>
      <c r="MY40" s="790"/>
      <c r="MZ40" s="790"/>
      <c r="NA40" s="790"/>
      <c r="NB40" s="790"/>
      <c r="NC40" s="790"/>
      <c r="ND40" s="790"/>
      <c r="NE40" s="790"/>
      <c r="NF40" s="790"/>
      <c r="NG40" s="790"/>
      <c r="NH40" s="790"/>
      <c r="NI40" s="790"/>
      <c r="NJ40" s="790"/>
      <c r="NK40" s="790"/>
      <c r="NL40" s="790"/>
      <c r="NM40" s="790"/>
      <c r="NN40" s="790"/>
      <c r="NO40" s="790"/>
      <c r="NP40" s="790"/>
      <c r="NQ40" s="790"/>
      <c r="NR40" s="790"/>
      <c r="NS40" s="790"/>
      <c r="NT40" s="790"/>
      <c r="NU40" s="790"/>
      <c r="NV40" s="790"/>
      <c r="NW40" s="790"/>
      <c r="NX40" s="790"/>
      <c r="NY40" s="790"/>
      <c r="NZ40" s="790"/>
      <c r="OA40" s="790"/>
      <c r="OB40" s="790"/>
      <c r="OC40" s="790"/>
      <c r="OD40" s="790"/>
      <c r="OE40" s="790"/>
      <c r="OF40" s="790"/>
      <c r="OG40" s="790"/>
      <c r="OH40" s="790"/>
      <c r="OI40" s="790"/>
      <c r="OJ40" s="790"/>
      <c r="OK40" s="790"/>
      <c r="OL40" s="790"/>
      <c r="OM40" s="790"/>
      <c r="ON40" s="790"/>
      <c r="OO40" s="790"/>
      <c r="OP40" s="790"/>
      <c r="OQ40" s="790"/>
      <c r="OR40" s="790"/>
      <c r="OS40" s="790"/>
      <c r="OT40" s="790"/>
      <c r="OU40" s="790"/>
      <c r="OV40" s="790"/>
      <c r="OW40" s="790"/>
      <c r="OX40" s="790"/>
      <c r="OY40" s="790"/>
      <c r="OZ40" s="790"/>
      <c r="PA40" s="790"/>
      <c r="PB40" s="790"/>
      <c r="PC40" s="790"/>
      <c r="PD40" s="790"/>
      <c r="PE40" s="790"/>
      <c r="PF40" s="790"/>
      <c r="PG40" s="790"/>
      <c r="PH40" s="790"/>
      <c r="PI40" s="790"/>
      <c r="PJ40" s="790"/>
      <c r="PK40" s="790"/>
      <c r="PL40" s="790"/>
      <c r="PM40" s="790"/>
      <c r="PN40" s="790"/>
      <c r="PO40" s="790"/>
      <c r="PP40" s="790"/>
      <c r="PQ40" s="790"/>
      <c r="PR40" s="790"/>
      <c r="PS40" s="790"/>
      <c r="PT40" s="790"/>
      <c r="PU40" s="790"/>
      <c r="PV40" s="790"/>
      <c r="PW40" s="790"/>
      <c r="PX40" s="790"/>
      <c r="PY40" s="790"/>
      <c r="PZ40" s="790"/>
      <c r="QA40" s="790"/>
      <c r="QB40" s="790"/>
      <c r="QC40" s="790"/>
      <c r="QD40" s="790"/>
      <c r="QE40" s="790"/>
      <c r="QF40" s="790"/>
      <c r="QG40" s="790"/>
      <c r="QH40" s="790"/>
      <c r="QI40" s="790"/>
      <c r="QJ40" s="790"/>
      <c r="QK40" s="790"/>
      <c r="QL40" s="790"/>
      <c r="QM40" s="790"/>
      <c r="QN40" s="790"/>
      <c r="QO40" s="790"/>
      <c r="QP40" s="790"/>
      <c r="QQ40" s="790"/>
      <c r="QR40" s="790"/>
      <c r="QS40" s="790"/>
      <c r="QT40" s="790"/>
      <c r="QU40" s="790"/>
      <c r="QV40" s="790"/>
      <c r="QW40" s="790"/>
      <c r="QX40" s="790"/>
      <c r="QY40" s="790"/>
      <c r="QZ40" s="790"/>
      <c r="RA40" s="790"/>
      <c r="RB40" s="790"/>
      <c r="RC40" s="790"/>
      <c r="RD40" s="790"/>
      <c r="RE40" s="790"/>
      <c r="RF40" s="790"/>
      <c r="RG40" s="790"/>
      <c r="RH40" s="790"/>
      <c r="RI40" s="790"/>
      <c r="RJ40" s="790"/>
      <c r="RK40" s="790"/>
      <c r="RL40" s="790"/>
      <c r="RM40" s="790"/>
      <c r="RN40" s="790"/>
      <c r="RO40" s="790"/>
      <c r="RP40" s="790"/>
      <c r="RQ40" s="790"/>
      <c r="RR40" s="790"/>
      <c r="RS40" s="790"/>
      <c r="RT40" s="790"/>
      <c r="RU40" s="790"/>
      <c r="RV40" s="790"/>
      <c r="RW40" s="790"/>
      <c r="RX40" s="790"/>
    </row>
    <row r="41" spans="1:492" s="166" customFormat="1">
      <c r="A41" s="790"/>
      <c r="B41" s="790"/>
      <c r="C41" s="790"/>
      <c r="D41" s="790"/>
      <c r="E41" s="790"/>
      <c r="F41" s="790"/>
      <c r="G41" s="790"/>
      <c r="H41" s="790"/>
      <c r="I41" s="790"/>
      <c r="J41" s="790"/>
      <c r="K41" s="790"/>
      <c r="L41" s="790"/>
      <c r="M41" s="790"/>
      <c r="N41" s="790"/>
      <c r="O41" s="790"/>
      <c r="P41" s="790"/>
      <c r="Q41" s="790"/>
      <c r="R41" s="790"/>
      <c r="S41" s="790"/>
      <c r="T41" s="790"/>
      <c r="U41" s="790"/>
      <c r="V41" s="790"/>
      <c r="W41" s="790"/>
      <c r="X41" s="790"/>
      <c r="Y41" s="790"/>
      <c r="Z41" s="790"/>
      <c r="AA41" s="790"/>
      <c r="AB41" s="790"/>
      <c r="AC41" s="790"/>
      <c r="AD41" s="790"/>
      <c r="AE41" s="790"/>
      <c r="AF41" s="790"/>
      <c r="AG41" s="790"/>
      <c r="AH41" s="790"/>
      <c r="AI41" s="790"/>
      <c r="AJ41" s="790"/>
      <c r="AK41" s="790"/>
      <c r="AL41" s="790"/>
      <c r="AM41" s="796"/>
      <c r="AN41" s="796"/>
      <c r="AO41" s="796"/>
      <c r="AP41" s="796"/>
      <c r="AQ41" s="781"/>
      <c r="AR41" s="781"/>
      <c r="AS41" s="781"/>
      <c r="AT41" s="781"/>
      <c r="AU41" s="781"/>
      <c r="AV41" s="781"/>
      <c r="AW41" s="796"/>
      <c r="AX41" s="796"/>
      <c r="AY41" s="796"/>
      <c r="AZ41" s="796"/>
      <c r="BA41" s="781"/>
      <c r="BB41" s="781"/>
      <c r="BC41" s="797"/>
      <c r="BD41" s="796"/>
      <c r="BE41" s="796"/>
      <c r="BF41" s="781"/>
      <c r="BG41" s="781"/>
      <c r="BH41" s="797"/>
      <c r="BI41" s="796"/>
      <c r="BJ41" s="796"/>
      <c r="BK41" s="781"/>
      <c r="BL41" s="781"/>
      <c r="BM41" s="797"/>
      <c r="BN41" s="796"/>
      <c r="BO41" s="796"/>
      <c r="BP41" s="781"/>
      <c r="BQ41" s="781"/>
      <c r="BR41" s="797"/>
      <c r="BS41" s="796"/>
      <c r="BT41" s="796"/>
      <c r="BU41" s="781"/>
      <c r="BV41" s="790"/>
      <c r="BW41" s="790"/>
      <c r="BX41" s="790"/>
      <c r="BY41" s="790"/>
      <c r="BZ41" s="790"/>
      <c r="CA41" s="790"/>
      <c r="CB41" s="790"/>
      <c r="CC41" s="790"/>
      <c r="CD41" s="790"/>
      <c r="CE41" s="790"/>
      <c r="CF41" s="790"/>
      <c r="CG41" s="790"/>
      <c r="CH41" s="790"/>
      <c r="CI41" s="790"/>
      <c r="CJ41" s="790"/>
      <c r="CK41" s="790"/>
      <c r="CL41" s="790"/>
      <c r="CM41" s="790"/>
      <c r="CN41" s="790"/>
      <c r="CO41" s="790"/>
      <c r="CP41" s="790"/>
      <c r="CQ41" s="790"/>
      <c r="CR41" s="790"/>
      <c r="CS41" s="790"/>
      <c r="CT41" s="790"/>
      <c r="CU41" s="790"/>
      <c r="CV41" s="790"/>
      <c r="CW41" s="790"/>
      <c r="CX41" s="790"/>
      <c r="CY41" s="790"/>
      <c r="CZ41" s="790"/>
      <c r="DA41" s="790"/>
      <c r="DB41" s="790"/>
      <c r="DC41" s="790"/>
      <c r="DD41" s="790"/>
      <c r="DE41" s="790"/>
      <c r="DF41" s="790"/>
      <c r="DG41" s="790"/>
      <c r="DH41" s="790"/>
      <c r="DI41" s="790"/>
      <c r="DJ41" s="790"/>
      <c r="DK41" s="790"/>
      <c r="DL41" s="790"/>
      <c r="DM41" s="790"/>
      <c r="DN41" s="790"/>
      <c r="DO41" s="790"/>
      <c r="DP41" s="790"/>
      <c r="DQ41" s="790"/>
      <c r="DR41" s="790"/>
      <c r="DS41" s="790"/>
      <c r="DT41" s="790"/>
      <c r="DU41" s="790"/>
      <c r="DV41" s="790"/>
      <c r="DW41" s="790"/>
      <c r="DX41" s="790"/>
      <c r="DY41" s="790"/>
      <c r="DZ41" s="790"/>
      <c r="EA41" s="790"/>
      <c r="EB41" s="790"/>
      <c r="EC41" s="790"/>
      <c r="ED41" s="790"/>
      <c r="EE41" s="790"/>
      <c r="EF41" s="790"/>
      <c r="EG41" s="790"/>
      <c r="EH41" s="790"/>
      <c r="EI41" s="790"/>
      <c r="EJ41" s="790"/>
      <c r="EK41" s="790"/>
      <c r="EL41" s="790"/>
      <c r="EM41" s="790"/>
      <c r="EN41" s="790"/>
      <c r="EO41" s="790"/>
      <c r="EP41" s="790"/>
      <c r="EQ41" s="790"/>
      <c r="ER41" s="790"/>
      <c r="ES41" s="790"/>
      <c r="ET41" s="790"/>
      <c r="EU41" s="790"/>
      <c r="EV41" s="790"/>
      <c r="EW41" s="790"/>
      <c r="EX41" s="790"/>
      <c r="EY41" s="790"/>
      <c r="EZ41" s="790"/>
      <c r="FA41" s="790"/>
      <c r="FB41" s="790"/>
      <c r="FC41" s="790"/>
      <c r="FD41" s="790"/>
      <c r="FE41" s="790"/>
      <c r="FF41" s="790"/>
      <c r="FG41" s="790"/>
      <c r="FH41" s="790"/>
      <c r="FI41" s="790"/>
      <c r="FJ41" s="790"/>
      <c r="FK41" s="790"/>
      <c r="FL41" s="790"/>
      <c r="FM41" s="790"/>
      <c r="FN41" s="790"/>
      <c r="FO41" s="790"/>
      <c r="FP41" s="790"/>
      <c r="FQ41" s="790"/>
      <c r="FR41" s="790"/>
      <c r="FS41" s="790"/>
      <c r="FT41" s="790"/>
      <c r="FU41" s="790"/>
      <c r="FV41" s="790"/>
      <c r="FW41" s="790"/>
      <c r="FX41" s="790"/>
      <c r="FY41" s="790"/>
      <c r="FZ41" s="790"/>
      <c r="GA41" s="790"/>
      <c r="GB41" s="790"/>
      <c r="GC41" s="790"/>
      <c r="GD41" s="790"/>
      <c r="GE41" s="790"/>
      <c r="GF41" s="790"/>
      <c r="GG41" s="790"/>
      <c r="GH41" s="790"/>
      <c r="GI41" s="790"/>
      <c r="GJ41" s="790"/>
      <c r="GK41" s="790"/>
      <c r="GL41" s="790"/>
      <c r="GM41" s="790"/>
      <c r="GN41" s="790"/>
      <c r="GO41" s="790"/>
      <c r="GP41" s="790"/>
      <c r="GQ41" s="790"/>
      <c r="GR41" s="790"/>
      <c r="GS41" s="790"/>
      <c r="GT41" s="790"/>
      <c r="GU41" s="790"/>
      <c r="GV41" s="790"/>
      <c r="GW41" s="790"/>
      <c r="GX41" s="790"/>
      <c r="GY41" s="790"/>
      <c r="GZ41" s="790"/>
      <c r="HA41" s="790"/>
      <c r="HB41" s="790"/>
      <c r="HC41" s="790"/>
      <c r="HD41" s="790"/>
      <c r="HE41" s="790"/>
      <c r="HF41" s="790"/>
      <c r="HG41" s="790"/>
      <c r="HH41" s="790"/>
      <c r="HI41" s="790"/>
      <c r="HJ41" s="790"/>
      <c r="HK41" s="790"/>
      <c r="HL41" s="790"/>
      <c r="HM41" s="790"/>
      <c r="HN41" s="790"/>
      <c r="HO41" s="790"/>
      <c r="HP41" s="790"/>
      <c r="HQ41" s="790"/>
      <c r="HR41" s="790"/>
      <c r="HS41" s="790"/>
      <c r="HT41" s="790"/>
      <c r="HU41" s="790"/>
      <c r="HV41" s="790"/>
      <c r="HW41" s="790"/>
      <c r="HX41" s="790"/>
      <c r="HY41" s="790"/>
      <c r="HZ41" s="790"/>
      <c r="IA41" s="790"/>
      <c r="IB41" s="790"/>
      <c r="IC41" s="790"/>
      <c r="ID41" s="790"/>
      <c r="IE41" s="790"/>
      <c r="IF41" s="790"/>
      <c r="IG41" s="790"/>
      <c r="IH41" s="790"/>
      <c r="II41" s="790"/>
      <c r="IJ41" s="790"/>
      <c r="IK41" s="790"/>
      <c r="IL41" s="790"/>
      <c r="IM41" s="790"/>
      <c r="IN41" s="790"/>
      <c r="IO41" s="790"/>
      <c r="IP41" s="790"/>
      <c r="IQ41" s="790"/>
      <c r="IR41" s="790"/>
      <c r="IS41" s="790"/>
      <c r="IT41" s="790"/>
      <c r="IU41" s="790"/>
      <c r="IV41" s="790"/>
      <c r="IW41" s="790"/>
      <c r="IX41" s="790"/>
      <c r="IY41" s="790"/>
      <c r="IZ41" s="790"/>
      <c r="JA41" s="790"/>
      <c r="JB41" s="790"/>
      <c r="JC41" s="790"/>
      <c r="JD41" s="790"/>
      <c r="JE41" s="790"/>
      <c r="JF41" s="790"/>
      <c r="JG41" s="790"/>
      <c r="JH41" s="790"/>
      <c r="JI41" s="790"/>
      <c r="JJ41" s="790"/>
      <c r="JK41" s="790"/>
      <c r="JL41" s="790"/>
      <c r="JM41" s="790"/>
      <c r="JN41" s="790"/>
      <c r="JO41" s="790"/>
      <c r="JP41" s="790"/>
      <c r="JQ41" s="790"/>
      <c r="JR41" s="790"/>
      <c r="JS41" s="790"/>
      <c r="JT41" s="790"/>
      <c r="JU41" s="790"/>
      <c r="JV41" s="790"/>
      <c r="JW41" s="790"/>
      <c r="JX41" s="790"/>
      <c r="JY41" s="790"/>
      <c r="JZ41" s="790"/>
      <c r="KA41" s="790"/>
      <c r="KB41" s="790"/>
      <c r="KC41" s="790"/>
      <c r="KD41" s="790"/>
      <c r="KE41" s="790"/>
      <c r="KF41" s="790"/>
      <c r="KG41" s="790"/>
      <c r="KH41" s="790"/>
      <c r="KI41" s="790"/>
      <c r="KJ41" s="790"/>
      <c r="KK41" s="790"/>
      <c r="KL41" s="790"/>
      <c r="KM41" s="790"/>
      <c r="KN41" s="790"/>
      <c r="KO41" s="790"/>
      <c r="KP41" s="790"/>
      <c r="KQ41" s="790"/>
      <c r="KR41" s="790"/>
      <c r="KS41" s="790"/>
      <c r="KT41" s="790"/>
      <c r="KU41" s="790"/>
      <c r="KV41" s="790"/>
      <c r="KW41" s="790"/>
      <c r="KX41" s="790"/>
      <c r="KY41" s="790"/>
      <c r="KZ41" s="790"/>
      <c r="LA41" s="790"/>
      <c r="LB41" s="790"/>
      <c r="LC41" s="790"/>
      <c r="LD41" s="790"/>
      <c r="LE41" s="790"/>
      <c r="LF41" s="790"/>
      <c r="LG41" s="790"/>
      <c r="LH41" s="790"/>
      <c r="LI41" s="790"/>
      <c r="LJ41" s="790"/>
      <c r="LK41" s="790"/>
      <c r="LL41" s="790"/>
      <c r="LM41" s="790"/>
      <c r="LN41" s="790"/>
      <c r="LO41" s="790"/>
      <c r="LP41" s="790"/>
      <c r="LQ41" s="790"/>
      <c r="LR41" s="790"/>
      <c r="LS41" s="790"/>
      <c r="LT41" s="790"/>
      <c r="LU41" s="790"/>
      <c r="LV41" s="790"/>
      <c r="LW41" s="790"/>
      <c r="LX41" s="790"/>
      <c r="LY41" s="790"/>
      <c r="LZ41" s="790"/>
      <c r="MA41" s="790"/>
      <c r="MB41" s="790"/>
      <c r="MC41" s="790"/>
      <c r="MD41" s="790"/>
      <c r="ME41" s="790"/>
      <c r="MF41" s="790"/>
      <c r="MG41" s="790"/>
      <c r="MH41" s="790"/>
      <c r="MI41" s="790"/>
      <c r="MJ41" s="790"/>
      <c r="MK41" s="790"/>
      <c r="ML41" s="790"/>
      <c r="MM41" s="790"/>
      <c r="MN41" s="790"/>
      <c r="MO41" s="790"/>
      <c r="MP41" s="790"/>
      <c r="MQ41" s="790"/>
      <c r="MR41" s="790"/>
      <c r="MS41" s="790"/>
      <c r="MT41" s="790"/>
      <c r="MU41" s="790"/>
      <c r="MV41" s="790"/>
      <c r="MW41" s="790"/>
      <c r="MX41" s="790"/>
      <c r="MY41" s="790"/>
      <c r="MZ41" s="790"/>
      <c r="NA41" s="790"/>
      <c r="NB41" s="790"/>
      <c r="NC41" s="790"/>
      <c r="ND41" s="790"/>
      <c r="NE41" s="790"/>
      <c r="NF41" s="790"/>
      <c r="NG41" s="790"/>
      <c r="NH41" s="790"/>
      <c r="NI41" s="790"/>
      <c r="NJ41" s="790"/>
      <c r="NK41" s="790"/>
      <c r="NL41" s="790"/>
      <c r="NM41" s="790"/>
      <c r="NN41" s="790"/>
      <c r="NO41" s="790"/>
      <c r="NP41" s="790"/>
      <c r="NQ41" s="790"/>
      <c r="NR41" s="790"/>
      <c r="NS41" s="790"/>
      <c r="NT41" s="790"/>
      <c r="NU41" s="790"/>
      <c r="NV41" s="790"/>
      <c r="NW41" s="790"/>
      <c r="NX41" s="790"/>
      <c r="NY41" s="790"/>
      <c r="NZ41" s="790"/>
      <c r="OA41" s="790"/>
      <c r="OB41" s="790"/>
      <c r="OC41" s="790"/>
      <c r="OD41" s="790"/>
      <c r="OE41" s="790"/>
      <c r="OF41" s="790"/>
      <c r="OG41" s="790"/>
      <c r="OH41" s="790"/>
      <c r="OI41" s="790"/>
      <c r="OJ41" s="790"/>
      <c r="OK41" s="790"/>
      <c r="OL41" s="790"/>
      <c r="OM41" s="790"/>
      <c r="ON41" s="790"/>
      <c r="OO41" s="790"/>
      <c r="OP41" s="790"/>
      <c r="OQ41" s="790"/>
      <c r="OR41" s="790"/>
      <c r="OS41" s="790"/>
      <c r="OT41" s="790"/>
      <c r="OU41" s="790"/>
      <c r="OV41" s="790"/>
      <c r="OW41" s="790"/>
      <c r="OX41" s="790"/>
      <c r="OY41" s="790"/>
      <c r="OZ41" s="790"/>
      <c r="PA41" s="790"/>
      <c r="PB41" s="790"/>
      <c r="PC41" s="790"/>
      <c r="PD41" s="790"/>
      <c r="PE41" s="790"/>
      <c r="PF41" s="790"/>
      <c r="PG41" s="790"/>
      <c r="PH41" s="790"/>
      <c r="PI41" s="790"/>
      <c r="PJ41" s="790"/>
      <c r="PK41" s="790"/>
      <c r="PL41" s="790"/>
      <c r="PM41" s="790"/>
      <c r="PN41" s="790"/>
      <c r="PO41" s="790"/>
      <c r="PP41" s="790"/>
      <c r="PQ41" s="790"/>
      <c r="PR41" s="790"/>
      <c r="PS41" s="790"/>
      <c r="PT41" s="790"/>
      <c r="PU41" s="790"/>
      <c r="PV41" s="790"/>
      <c r="PW41" s="790"/>
      <c r="PX41" s="790"/>
      <c r="PY41" s="790"/>
      <c r="PZ41" s="790"/>
      <c r="QA41" s="790"/>
      <c r="QB41" s="790"/>
      <c r="QC41" s="790"/>
      <c r="QD41" s="790"/>
      <c r="QE41" s="790"/>
      <c r="QF41" s="790"/>
      <c r="QG41" s="790"/>
      <c r="QH41" s="790"/>
      <c r="QI41" s="790"/>
      <c r="QJ41" s="790"/>
      <c r="QK41" s="790"/>
      <c r="QL41" s="790"/>
      <c r="QM41" s="790"/>
      <c r="QN41" s="790"/>
      <c r="QO41" s="790"/>
      <c r="QP41" s="790"/>
      <c r="QQ41" s="790"/>
      <c r="QR41" s="790"/>
      <c r="QS41" s="790"/>
      <c r="QT41" s="790"/>
      <c r="QU41" s="790"/>
      <c r="QV41" s="790"/>
      <c r="QW41" s="790"/>
      <c r="QX41" s="790"/>
      <c r="QY41" s="790"/>
      <c r="QZ41" s="790"/>
      <c r="RA41" s="790"/>
      <c r="RB41" s="790"/>
      <c r="RC41" s="790"/>
      <c r="RD41" s="790"/>
      <c r="RE41" s="790"/>
      <c r="RF41" s="790"/>
      <c r="RG41" s="790"/>
      <c r="RH41" s="790"/>
      <c r="RI41" s="790"/>
      <c r="RJ41" s="790"/>
      <c r="RK41" s="790"/>
      <c r="RL41" s="790"/>
      <c r="RM41" s="790"/>
      <c r="RN41" s="790"/>
      <c r="RO41" s="790"/>
      <c r="RP41" s="790"/>
      <c r="RQ41" s="790"/>
      <c r="RR41" s="790"/>
      <c r="RS41" s="790"/>
      <c r="RT41" s="790"/>
      <c r="RU41" s="790"/>
      <c r="RV41" s="790"/>
      <c r="RW41" s="790"/>
      <c r="RX41" s="790"/>
    </row>
    <row r="42" spans="1:492" s="166" customFormat="1">
      <c r="A42" s="790"/>
      <c r="B42" s="790"/>
      <c r="C42" s="790"/>
      <c r="D42" s="790"/>
      <c r="E42" s="790"/>
      <c r="F42" s="790"/>
      <c r="G42" s="790"/>
      <c r="H42" s="790"/>
      <c r="I42" s="790"/>
      <c r="J42" s="790"/>
      <c r="K42" s="790"/>
      <c r="L42" s="790"/>
      <c r="M42" s="790"/>
      <c r="N42" s="790"/>
      <c r="O42" s="790"/>
      <c r="P42" s="790"/>
      <c r="Q42" s="790"/>
      <c r="R42" s="790"/>
      <c r="S42" s="790"/>
      <c r="T42" s="790"/>
      <c r="U42" s="790"/>
      <c r="V42" s="790"/>
      <c r="W42" s="790"/>
      <c r="X42" s="790"/>
      <c r="Y42" s="790"/>
      <c r="Z42" s="790"/>
      <c r="AA42" s="790"/>
      <c r="AB42" s="790"/>
      <c r="AC42" s="790"/>
      <c r="AD42" s="790"/>
      <c r="AE42" s="790"/>
      <c r="AF42" s="790"/>
      <c r="AG42" s="790"/>
      <c r="AH42" s="790"/>
      <c r="AI42" s="790"/>
      <c r="AJ42" s="790"/>
      <c r="AK42" s="790"/>
      <c r="AL42" s="790"/>
      <c r="AM42" s="796"/>
      <c r="AN42" s="796"/>
      <c r="AO42" s="796"/>
      <c r="AP42" s="796"/>
      <c r="AQ42" s="781"/>
      <c r="AR42" s="781"/>
      <c r="AS42" s="781"/>
      <c r="AT42" s="781"/>
      <c r="AU42" s="781"/>
      <c r="AV42" s="781"/>
      <c r="AW42" s="796"/>
      <c r="AX42" s="796"/>
      <c r="AY42" s="796"/>
      <c r="AZ42" s="796"/>
      <c r="BA42" s="781"/>
      <c r="BB42" s="781"/>
      <c r="BC42" s="781"/>
      <c r="BD42" s="796"/>
      <c r="BE42" s="781"/>
      <c r="BF42" s="172"/>
      <c r="BG42" s="781"/>
      <c r="BH42" s="781"/>
      <c r="BI42" s="796"/>
      <c r="BJ42" s="781"/>
      <c r="BK42" s="172"/>
      <c r="BL42" s="781"/>
      <c r="BM42" s="781"/>
      <c r="BN42" s="796"/>
      <c r="BO42" s="781"/>
      <c r="BP42" s="172"/>
      <c r="BQ42" s="781"/>
      <c r="BR42" s="781"/>
      <c r="BS42" s="796"/>
      <c r="BT42" s="781"/>
      <c r="BU42" s="172"/>
      <c r="BV42" s="790"/>
      <c r="BW42" s="790"/>
      <c r="BX42" s="790"/>
      <c r="BY42" s="790"/>
      <c r="BZ42" s="790"/>
      <c r="CA42" s="790"/>
      <c r="CB42" s="790"/>
      <c r="CC42" s="790"/>
      <c r="CD42" s="790"/>
      <c r="CE42" s="790"/>
      <c r="CF42" s="790"/>
      <c r="CG42" s="790"/>
      <c r="CH42" s="790"/>
      <c r="CI42" s="790"/>
      <c r="CJ42" s="790"/>
      <c r="CK42" s="790"/>
      <c r="CL42" s="790"/>
      <c r="CM42" s="790"/>
      <c r="CN42" s="790"/>
      <c r="CO42" s="790"/>
      <c r="CP42" s="790"/>
      <c r="CQ42" s="790"/>
      <c r="CR42" s="790"/>
      <c r="CS42" s="790"/>
      <c r="CT42" s="790"/>
      <c r="CU42" s="790"/>
      <c r="CV42" s="790"/>
      <c r="CW42" s="790"/>
      <c r="CX42" s="790"/>
      <c r="CY42" s="790"/>
      <c r="CZ42" s="790"/>
      <c r="DA42" s="790"/>
      <c r="DB42" s="790"/>
      <c r="DC42" s="790"/>
      <c r="DD42" s="790"/>
      <c r="DE42" s="790"/>
      <c r="DF42" s="790"/>
      <c r="DG42" s="790"/>
      <c r="DH42" s="790"/>
      <c r="DI42" s="790"/>
      <c r="DJ42" s="790"/>
      <c r="DK42" s="790"/>
      <c r="DL42" s="790"/>
      <c r="DM42" s="790"/>
      <c r="DN42" s="790"/>
      <c r="DO42" s="790"/>
      <c r="DP42" s="790"/>
      <c r="DQ42" s="790"/>
      <c r="DR42" s="790"/>
      <c r="DS42" s="790"/>
      <c r="DT42" s="790"/>
      <c r="DU42" s="790"/>
      <c r="DV42" s="790"/>
      <c r="DW42" s="790"/>
      <c r="DX42" s="790"/>
      <c r="DY42" s="790"/>
      <c r="DZ42" s="790"/>
      <c r="EA42" s="790"/>
      <c r="EB42" s="790"/>
      <c r="EC42" s="790"/>
      <c r="ED42" s="790"/>
      <c r="EE42" s="790"/>
      <c r="EF42" s="790"/>
      <c r="EG42" s="790"/>
      <c r="EH42" s="790"/>
      <c r="EI42" s="790"/>
      <c r="EJ42" s="790"/>
      <c r="EK42" s="790"/>
      <c r="EL42" s="790"/>
      <c r="EM42" s="790"/>
      <c r="EN42" s="790"/>
      <c r="EO42" s="790"/>
      <c r="EP42" s="790"/>
      <c r="EQ42" s="790"/>
      <c r="ER42" s="790"/>
      <c r="ES42" s="790"/>
      <c r="ET42" s="790"/>
      <c r="EU42" s="790"/>
      <c r="EV42" s="790"/>
      <c r="EW42" s="790"/>
      <c r="EX42" s="790"/>
      <c r="EY42" s="790"/>
      <c r="EZ42" s="790"/>
      <c r="FA42" s="790"/>
      <c r="FB42" s="790"/>
      <c r="FC42" s="790"/>
      <c r="FD42" s="790"/>
      <c r="FE42" s="790"/>
      <c r="FF42" s="790"/>
      <c r="FG42" s="790"/>
      <c r="FH42" s="790"/>
      <c r="FI42" s="790"/>
      <c r="FJ42" s="790"/>
      <c r="FK42" s="790"/>
      <c r="FL42" s="790"/>
      <c r="FM42" s="790"/>
      <c r="FN42" s="790"/>
      <c r="FO42" s="790"/>
      <c r="FP42" s="790"/>
      <c r="FQ42" s="790"/>
      <c r="FR42" s="790"/>
      <c r="FS42" s="790"/>
      <c r="FT42" s="790"/>
      <c r="FU42" s="790"/>
      <c r="FV42" s="790"/>
      <c r="FW42" s="790"/>
      <c r="FX42" s="790"/>
      <c r="FY42" s="790"/>
      <c r="FZ42" s="790"/>
      <c r="GA42" s="790"/>
      <c r="GB42" s="790"/>
      <c r="GC42" s="790"/>
      <c r="GD42" s="790"/>
      <c r="GE42" s="790"/>
      <c r="GF42" s="790"/>
      <c r="GG42" s="790"/>
      <c r="GH42" s="790"/>
      <c r="GI42" s="790"/>
      <c r="GJ42" s="790"/>
      <c r="GK42" s="790"/>
      <c r="GL42" s="790"/>
      <c r="GM42" s="790"/>
      <c r="GN42" s="790"/>
      <c r="GO42" s="790"/>
      <c r="GP42" s="790"/>
      <c r="GQ42" s="790"/>
      <c r="GR42" s="790"/>
      <c r="GS42" s="790"/>
      <c r="GT42" s="790"/>
      <c r="GU42" s="790"/>
      <c r="GV42" s="790"/>
      <c r="GW42" s="790"/>
      <c r="GX42" s="790"/>
      <c r="GY42" s="790"/>
      <c r="GZ42" s="790"/>
      <c r="HA42" s="790"/>
      <c r="HB42" s="790"/>
      <c r="HC42" s="790"/>
      <c r="HD42" s="790"/>
      <c r="HE42" s="790"/>
      <c r="HF42" s="790"/>
      <c r="HG42" s="790"/>
      <c r="HH42" s="790"/>
      <c r="HI42" s="790"/>
      <c r="HJ42" s="790"/>
      <c r="HK42" s="790"/>
      <c r="HL42" s="790"/>
      <c r="HM42" s="790"/>
      <c r="HN42" s="790"/>
      <c r="HO42" s="790"/>
      <c r="HP42" s="790"/>
      <c r="HQ42" s="790"/>
      <c r="HR42" s="790"/>
      <c r="HS42" s="790"/>
      <c r="HT42" s="790"/>
      <c r="HU42" s="790"/>
      <c r="HV42" s="790"/>
      <c r="HW42" s="790"/>
      <c r="HX42" s="790"/>
      <c r="HY42" s="790"/>
      <c r="HZ42" s="790"/>
      <c r="IA42" s="790"/>
      <c r="IB42" s="790"/>
      <c r="IC42" s="790"/>
      <c r="ID42" s="790"/>
      <c r="IE42" s="790"/>
      <c r="IF42" s="790"/>
      <c r="IG42" s="790"/>
      <c r="IH42" s="790"/>
      <c r="II42" s="790"/>
      <c r="IJ42" s="790"/>
      <c r="IK42" s="790"/>
      <c r="IL42" s="790"/>
      <c r="IM42" s="790"/>
      <c r="IN42" s="790"/>
      <c r="IO42" s="790"/>
      <c r="IP42" s="790"/>
      <c r="IQ42" s="790"/>
      <c r="IR42" s="790"/>
      <c r="IS42" s="790"/>
      <c r="IT42" s="790"/>
      <c r="IU42" s="790"/>
      <c r="IV42" s="790"/>
      <c r="IW42" s="790"/>
      <c r="IX42" s="790"/>
      <c r="IY42" s="790"/>
      <c r="IZ42" s="790"/>
      <c r="JA42" s="790"/>
      <c r="JB42" s="790"/>
      <c r="JC42" s="790"/>
      <c r="JD42" s="790"/>
      <c r="JE42" s="790"/>
      <c r="JF42" s="790"/>
      <c r="JG42" s="790"/>
      <c r="JH42" s="790"/>
      <c r="JI42" s="790"/>
      <c r="JJ42" s="790"/>
      <c r="JK42" s="790"/>
      <c r="JL42" s="790"/>
      <c r="JM42" s="790"/>
      <c r="JN42" s="790"/>
      <c r="JO42" s="790"/>
      <c r="JP42" s="790"/>
      <c r="JQ42" s="790"/>
      <c r="JR42" s="790"/>
      <c r="JS42" s="790"/>
      <c r="JT42" s="790"/>
      <c r="JU42" s="790"/>
      <c r="JV42" s="790"/>
      <c r="JW42" s="790"/>
      <c r="JX42" s="790"/>
      <c r="JY42" s="790"/>
      <c r="JZ42" s="790"/>
      <c r="KA42" s="790"/>
      <c r="KB42" s="790"/>
      <c r="KC42" s="790"/>
      <c r="KD42" s="790"/>
      <c r="KE42" s="790"/>
      <c r="KF42" s="790"/>
      <c r="KG42" s="790"/>
      <c r="KH42" s="790"/>
      <c r="KI42" s="790"/>
      <c r="KJ42" s="790"/>
      <c r="KK42" s="790"/>
      <c r="KL42" s="790"/>
      <c r="KM42" s="790"/>
      <c r="KN42" s="790"/>
      <c r="KO42" s="790"/>
      <c r="KP42" s="790"/>
      <c r="KQ42" s="790"/>
      <c r="KR42" s="790"/>
      <c r="KS42" s="790"/>
      <c r="KT42" s="790"/>
      <c r="KU42" s="790"/>
      <c r="KV42" s="790"/>
      <c r="KW42" s="790"/>
      <c r="KX42" s="790"/>
      <c r="KY42" s="790"/>
      <c r="KZ42" s="790"/>
      <c r="LA42" s="790"/>
      <c r="LB42" s="790"/>
      <c r="LC42" s="790"/>
      <c r="LD42" s="790"/>
      <c r="LE42" s="790"/>
      <c r="LF42" s="790"/>
      <c r="LG42" s="790"/>
      <c r="LH42" s="790"/>
      <c r="LI42" s="790"/>
      <c r="LJ42" s="790"/>
      <c r="LK42" s="790"/>
      <c r="LL42" s="790"/>
      <c r="LM42" s="790"/>
      <c r="LN42" s="790"/>
      <c r="LO42" s="790"/>
      <c r="LP42" s="790"/>
      <c r="LQ42" s="790"/>
      <c r="LR42" s="790"/>
      <c r="LS42" s="790"/>
      <c r="LT42" s="790"/>
      <c r="LU42" s="790"/>
      <c r="LV42" s="790"/>
      <c r="LW42" s="790"/>
      <c r="LX42" s="790"/>
      <c r="LY42" s="790"/>
      <c r="LZ42" s="790"/>
      <c r="MA42" s="790"/>
      <c r="MB42" s="790"/>
      <c r="MC42" s="790"/>
      <c r="MD42" s="790"/>
      <c r="ME42" s="790"/>
      <c r="MF42" s="790"/>
      <c r="MG42" s="790"/>
      <c r="MH42" s="790"/>
      <c r="MI42" s="790"/>
      <c r="MJ42" s="790"/>
      <c r="MK42" s="790"/>
      <c r="ML42" s="790"/>
      <c r="MM42" s="790"/>
      <c r="MN42" s="790"/>
      <c r="MO42" s="790"/>
      <c r="MP42" s="790"/>
      <c r="MQ42" s="790"/>
      <c r="MR42" s="790"/>
      <c r="MS42" s="790"/>
      <c r="MT42" s="790"/>
      <c r="MU42" s="790"/>
      <c r="MV42" s="790"/>
      <c r="MW42" s="790"/>
      <c r="MX42" s="790"/>
      <c r="MY42" s="790"/>
      <c r="MZ42" s="790"/>
      <c r="NA42" s="790"/>
      <c r="NB42" s="790"/>
      <c r="NC42" s="790"/>
      <c r="ND42" s="790"/>
      <c r="NE42" s="790"/>
      <c r="NF42" s="790"/>
      <c r="NG42" s="790"/>
      <c r="NH42" s="790"/>
      <c r="NI42" s="790"/>
      <c r="NJ42" s="790"/>
      <c r="NK42" s="790"/>
      <c r="NL42" s="790"/>
      <c r="NM42" s="790"/>
      <c r="NN42" s="790"/>
      <c r="NO42" s="790"/>
      <c r="NP42" s="790"/>
      <c r="NQ42" s="790"/>
      <c r="NR42" s="790"/>
      <c r="NS42" s="790"/>
      <c r="NT42" s="790"/>
      <c r="NU42" s="790"/>
      <c r="NV42" s="790"/>
      <c r="NW42" s="790"/>
      <c r="NX42" s="790"/>
      <c r="NY42" s="790"/>
      <c r="NZ42" s="790"/>
      <c r="OA42" s="790"/>
      <c r="OB42" s="790"/>
      <c r="OC42" s="790"/>
      <c r="OD42" s="790"/>
      <c r="OE42" s="790"/>
      <c r="OF42" s="790"/>
      <c r="OG42" s="790"/>
      <c r="OH42" s="790"/>
      <c r="OI42" s="790"/>
      <c r="OJ42" s="790"/>
      <c r="OK42" s="790"/>
      <c r="OL42" s="790"/>
      <c r="OM42" s="790"/>
      <c r="ON42" s="790"/>
      <c r="OO42" s="790"/>
      <c r="OP42" s="790"/>
      <c r="OQ42" s="790"/>
      <c r="OR42" s="790"/>
      <c r="OS42" s="790"/>
      <c r="OT42" s="790"/>
      <c r="OU42" s="790"/>
      <c r="OV42" s="790"/>
      <c r="OW42" s="790"/>
      <c r="OX42" s="790"/>
      <c r="OY42" s="790"/>
      <c r="OZ42" s="790"/>
      <c r="PA42" s="790"/>
      <c r="PB42" s="790"/>
      <c r="PC42" s="790"/>
      <c r="PD42" s="790"/>
      <c r="PE42" s="790"/>
      <c r="PF42" s="790"/>
      <c r="PG42" s="790"/>
      <c r="PH42" s="790"/>
      <c r="PI42" s="790"/>
      <c r="PJ42" s="790"/>
      <c r="PK42" s="790"/>
      <c r="PL42" s="790"/>
      <c r="PM42" s="790"/>
      <c r="PN42" s="790"/>
      <c r="PO42" s="790"/>
      <c r="PP42" s="790"/>
      <c r="PQ42" s="790"/>
      <c r="PR42" s="790"/>
      <c r="PS42" s="790"/>
      <c r="PT42" s="790"/>
      <c r="PU42" s="790"/>
      <c r="PV42" s="790"/>
      <c r="PW42" s="790"/>
      <c r="PX42" s="790"/>
      <c r="PY42" s="790"/>
      <c r="PZ42" s="790"/>
      <c r="QA42" s="790"/>
      <c r="QB42" s="790"/>
      <c r="QC42" s="790"/>
      <c r="QD42" s="790"/>
      <c r="QE42" s="790"/>
      <c r="QF42" s="790"/>
      <c r="QG42" s="790"/>
      <c r="QH42" s="790"/>
      <c r="QI42" s="790"/>
      <c r="QJ42" s="790"/>
      <c r="QK42" s="790"/>
      <c r="QL42" s="790"/>
      <c r="QM42" s="790"/>
      <c r="QN42" s="790"/>
      <c r="QO42" s="790"/>
      <c r="QP42" s="790"/>
      <c r="QQ42" s="790"/>
      <c r="QR42" s="790"/>
      <c r="QS42" s="790"/>
      <c r="QT42" s="790"/>
      <c r="QU42" s="790"/>
      <c r="QV42" s="790"/>
      <c r="QW42" s="790"/>
      <c r="QX42" s="790"/>
      <c r="QY42" s="790"/>
      <c r="QZ42" s="790"/>
      <c r="RA42" s="790"/>
      <c r="RB42" s="790"/>
      <c r="RC42" s="790"/>
      <c r="RD42" s="790"/>
      <c r="RE42" s="790"/>
      <c r="RF42" s="790"/>
      <c r="RG42" s="790"/>
      <c r="RH42" s="790"/>
      <c r="RI42" s="790"/>
      <c r="RJ42" s="790"/>
      <c r="RK42" s="790"/>
      <c r="RL42" s="790"/>
      <c r="RM42" s="790"/>
      <c r="RN42" s="790"/>
      <c r="RO42" s="790"/>
      <c r="RP42" s="790"/>
      <c r="RQ42" s="790"/>
      <c r="RR42" s="790"/>
      <c r="RS42" s="790"/>
      <c r="RT42" s="790"/>
      <c r="RU42" s="790"/>
      <c r="RV42" s="790"/>
      <c r="RW42" s="790"/>
      <c r="RX42" s="790"/>
    </row>
    <row r="43" spans="1:492" s="166" customFormat="1">
      <c r="A43" s="790"/>
      <c r="B43" s="790"/>
      <c r="C43" s="790"/>
      <c r="D43" s="790"/>
      <c r="E43" s="790"/>
      <c r="F43" s="790"/>
      <c r="G43" s="790"/>
      <c r="H43" s="790"/>
      <c r="I43" s="790"/>
      <c r="J43" s="790"/>
      <c r="K43" s="790"/>
      <c r="L43" s="790"/>
      <c r="M43" s="790"/>
      <c r="N43" s="790"/>
      <c r="O43" s="790"/>
      <c r="P43" s="790"/>
      <c r="Q43" s="790"/>
      <c r="R43" s="790"/>
      <c r="S43" s="790"/>
      <c r="T43" s="790"/>
      <c r="U43" s="790"/>
      <c r="V43" s="790"/>
      <c r="W43" s="790"/>
      <c r="X43" s="790"/>
      <c r="Y43" s="790"/>
      <c r="Z43" s="790"/>
      <c r="AA43" s="790"/>
      <c r="AB43" s="790"/>
      <c r="AC43" s="790"/>
      <c r="AD43" s="790"/>
      <c r="AE43" s="790"/>
      <c r="AF43" s="790"/>
      <c r="AG43" s="790"/>
      <c r="AH43" s="790"/>
      <c r="AI43" s="790"/>
      <c r="AJ43" s="790"/>
      <c r="AK43" s="790"/>
      <c r="AL43" s="790"/>
      <c r="AM43" s="796"/>
      <c r="AN43" s="796"/>
      <c r="AO43" s="796"/>
      <c r="AP43" s="796"/>
      <c r="AQ43" s="781"/>
      <c r="AR43" s="781"/>
      <c r="AS43" s="781"/>
      <c r="AT43" s="781"/>
      <c r="AU43" s="781"/>
      <c r="AV43" s="781"/>
      <c r="AW43" s="796"/>
      <c r="AX43" s="796"/>
      <c r="AY43" s="796"/>
      <c r="AZ43" s="796"/>
      <c r="BA43" s="781"/>
      <c r="BB43" s="781"/>
      <c r="BC43" s="781"/>
      <c r="BD43" s="174"/>
      <c r="BE43" s="172"/>
      <c r="BF43" s="781"/>
      <c r="BG43" s="781"/>
      <c r="BH43" s="781"/>
      <c r="BI43" s="174"/>
      <c r="BJ43" s="172"/>
      <c r="BK43" s="781"/>
      <c r="BL43" s="781"/>
      <c r="BM43" s="781"/>
      <c r="BN43" s="174"/>
      <c r="BO43" s="172"/>
      <c r="BP43" s="781"/>
      <c r="BQ43" s="781"/>
      <c r="BR43" s="781"/>
      <c r="BS43" s="174"/>
      <c r="BT43" s="172"/>
      <c r="BU43" s="781"/>
      <c r="BV43" s="790"/>
      <c r="BW43" s="790"/>
      <c r="BX43" s="790"/>
      <c r="BY43" s="790"/>
      <c r="BZ43" s="790"/>
      <c r="CA43" s="790"/>
      <c r="CB43" s="790"/>
      <c r="CC43" s="790"/>
      <c r="CD43" s="790"/>
      <c r="CE43" s="790"/>
      <c r="CF43" s="790"/>
      <c r="CG43" s="790"/>
      <c r="CH43" s="790"/>
      <c r="CI43" s="790"/>
      <c r="CJ43" s="790"/>
      <c r="CK43" s="790"/>
      <c r="CL43" s="790"/>
      <c r="CM43" s="790"/>
      <c r="CN43" s="790"/>
      <c r="CO43" s="790"/>
      <c r="CP43" s="790"/>
      <c r="CQ43" s="790"/>
      <c r="CR43" s="790"/>
      <c r="CS43" s="790"/>
      <c r="CT43" s="790"/>
      <c r="CU43" s="790"/>
      <c r="CV43" s="790"/>
      <c r="CW43" s="790"/>
      <c r="CX43" s="790"/>
      <c r="CY43" s="790"/>
      <c r="CZ43" s="790"/>
      <c r="DA43" s="790"/>
      <c r="DB43" s="790"/>
      <c r="DC43" s="790"/>
      <c r="DD43" s="790"/>
      <c r="DE43" s="790"/>
      <c r="DF43" s="790"/>
      <c r="DG43" s="790"/>
      <c r="DH43" s="790"/>
      <c r="DI43" s="790"/>
      <c r="DJ43" s="790"/>
      <c r="DK43" s="790"/>
      <c r="DL43" s="790"/>
      <c r="DM43" s="790"/>
      <c r="DN43" s="790"/>
      <c r="DO43" s="790"/>
      <c r="DP43" s="790"/>
      <c r="DQ43" s="790"/>
      <c r="DR43" s="790"/>
      <c r="DS43" s="790"/>
      <c r="DT43" s="790"/>
      <c r="DU43" s="790"/>
      <c r="DV43" s="790"/>
      <c r="DW43" s="790"/>
      <c r="DX43" s="790"/>
      <c r="DY43" s="790"/>
      <c r="DZ43" s="790"/>
      <c r="EA43" s="790"/>
      <c r="EB43" s="790"/>
      <c r="EC43" s="790"/>
      <c r="ED43" s="790"/>
      <c r="EE43" s="790"/>
      <c r="EF43" s="790"/>
      <c r="EG43" s="790"/>
      <c r="EH43" s="790"/>
      <c r="EI43" s="790"/>
      <c r="EJ43" s="790"/>
      <c r="EK43" s="790"/>
      <c r="EL43" s="790"/>
      <c r="EM43" s="790"/>
      <c r="EN43" s="790"/>
      <c r="EO43" s="790"/>
      <c r="EP43" s="790"/>
      <c r="EQ43" s="790"/>
      <c r="ER43" s="790"/>
      <c r="ES43" s="790"/>
      <c r="ET43" s="790"/>
      <c r="EU43" s="790"/>
      <c r="EV43" s="790"/>
      <c r="EW43" s="790"/>
      <c r="EX43" s="790"/>
      <c r="EY43" s="790"/>
      <c r="EZ43" s="790"/>
      <c r="FA43" s="790"/>
      <c r="FB43" s="790"/>
      <c r="FC43" s="790"/>
      <c r="FD43" s="790"/>
      <c r="FE43" s="790"/>
      <c r="FF43" s="790"/>
      <c r="FG43" s="790"/>
      <c r="FH43" s="790"/>
      <c r="FI43" s="790"/>
      <c r="FJ43" s="790"/>
      <c r="FK43" s="790"/>
      <c r="FL43" s="790"/>
      <c r="FM43" s="790"/>
      <c r="FN43" s="790"/>
      <c r="FO43" s="790"/>
      <c r="FP43" s="790"/>
      <c r="FQ43" s="790"/>
      <c r="FR43" s="790"/>
      <c r="FS43" s="790"/>
      <c r="FT43" s="790"/>
      <c r="FU43" s="790"/>
      <c r="FV43" s="790"/>
      <c r="FW43" s="790"/>
      <c r="FX43" s="790"/>
      <c r="FY43" s="790"/>
      <c r="FZ43" s="790"/>
      <c r="GA43" s="790"/>
      <c r="GB43" s="790"/>
      <c r="GC43" s="790"/>
      <c r="GD43" s="790"/>
      <c r="GE43" s="790"/>
      <c r="GF43" s="790"/>
      <c r="GG43" s="790"/>
      <c r="GH43" s="790"/>
      <c r="GI43" s="790"/>
      <c r="GJ43" s="790"/>
      <c r="GK43" s="790"/>
      <c r="GL43" s="790"/>
      <c r="GM43" s="790"/>
      <c r="GN43" s="790"/>
      <c r="GO43" s="790"/>
      <c r="GP43" s="790"/>
      <c r="GQ43" s="790"/>
      <c r="GR43" s="790"/>
      <c r="GS43" s="790"/>
      <c r="GT43" s="790"/>
      <c r="GU43" s="790"/>
      <c r="GV43" s="790"/>
      <c r="GW43" s="790"/>
      <c r="GX43" s="790"/>
      <c r="GY43" s="790"/>
      <c r="GZ43" s="790"/>
      <c r="HA43" s="790"/>
      <c r="HB43" s="790"/>
      <c r="HC43" s="790"/>
      <c r="HD43" s="790"/>
      <c r="HE43" s="790"/>
      <c r="HF43" s="790"/>
      <c r="HG43" s="790"/>
      <c r="HH43" s="790"/>
      <c r="HI43" s="790"/>
      <c r="HJ43" s="790"/>
      <c r="HK43" s="790"/>
      <c r="HL43" s="790"/>
      <c r="HM43" s="790"/>
      <c r="HN43" s="790"/>
      <c r="HO43" s="790"/>
      <c r="HP43" s="790"/>
      <c r="HQ43" s="790"/>
      <c r="HR43" s="790"/>
      <c r="HS43" s="790"/>
      <c r="HT43" s="790"/>
      <c r="HU43" s="790"/>
      <c r="HV43" s="790"/>
      <c r="HW43" s="790"/>
      <c r="HX43" s="790"/>
      <c r="HY43" s="790"/>
      <c r="HZ43" s="790"/>
      <c r="IA43" s="790"/>
      <c r="IB43" s="790"/>
      <c r="IC43" s="790"/>
      <c r="ID43" s="790"/>
      <c r="IE43" s="790"/>
      <c r="IF43" s="790"/>
      <c r="IG43" s="790"/>
      <c r="IH43" s="790"/>
      <c r="II43" s="790"/>
      <c r="IJ43" s="790"/>
      <c r="IK43" s="790"/>
      <c r="IL43" s="790"/>
      <c r="IM43" s="790"/>
      <c r="IN43" s="790"/>
      <c r="IO43" s="790"/>
      <c r="IP43" s="790"/>
      <c r="IQ43" s="790"/>
      <c r="IR43" s="790"/>
      <c r="IS43" s="790"/>
      <c r="IT43" s="790"/>
      <c r="IU43" s="790"/>
      <c r="IV43" s="790"/>
      <c r="IW43" s="790"/>
      <c r="IX43" s="790"/>
      <c r="IY43" s="790"/>
      <c r="IZ43" s="790"/>
      <c r="JA43" s="790"/>
      <c r="JB43" s="790"/>
      <c r="JC43" s="790"/>
      <c r="JD43" s="790"/>
      <c r="JE43" s="790"/>
      <c r="JF43" s="790"/>
      <c r="JG43" s="790"/>
      <c r="JH43" s="790"/>
      <c r="JI43" s="790"/>
      <c r="JJ43" s="790"/>
      <c r="JK43" s="790"/>
      <c r="JL43" s="790"/>
      <c r="JM43" s="790"/>
      <c r="JN43" s="790"/>
      <c r="JO43" s="790"/>
      <c r="JP43" s="790"/>
      <c r="JQ43" s="790"/>
      <c r="JR43" s="790"/>
      <c r="JS43" s="790"/>
      <c r="JT43" s="790"/>
      <c r="JU43" s="790"/>
      <c r="JV43" s="790"/>
      <c r="JW43" s="790"/>
      <c r="JX43" s="790"/>
      <c r="JY43" s="790"/>
      <c r="JZ43" s="790"/>
      <c r="KA43" s="790"/>
      <c r="KB43" s="790"/>
      <c r="KC43" s="790"/>
      <c r="KD43" s="790"/>
      <c r="KE43" s="790"/>
      <c r="KF43" s="790"/>
      <c r="KG43" s="790"/>
      <c r="KH43" s="790"/>
      <c r="KI43" s="790"/>
      <c r="KJ43" s="790"/>
      <c r="KK43" s="790"/>
      <c r="KL43" s="790"/>
      <c r="KM43" s="790"/>
      <c r="KN43" s="790"/>
      <c r="KO43" s="790"/>
      <c r="KP43" s="790"/>
      <c r="KQ43" s="790"/>
      <c r="KR43" s="790"/>
      <c r="KS43" s="790"/>
      <c r="KT43" s="790"/>
      <c r="KU43" s="790"/>
      <c r="KV43" s="790"/>
      <c r="KW43" s="790"/>
      <c r="KX43" s="790"/>
      <c r="KY43" s="790"/>
      <c r="KZ43" s="790"/>
      <c r="LA43" s="790"/>
      <c r="LB43" s="790"/>
      <c r="LC43" s="790"/>
      <c r="LD43" s="790"/>
      <c r="LE43" s="790"/>
      <c r="LF43" s="790"/>
      <c r="LG43" s="790"/>
      <c r="LH43" s="790"/>
      <c r="LI43" s="790"/>
      <c r="LJ43" s="790"/>
      <c r="LK43" s="790"/>
      <c r="LL43" s="790"/>
      <c r="LM43" s="790"/>
      <c r="LN43" s="790"/>
      <c r="LO43" s="790"/>
      <c r="LP43" s="790"/>
      <c r="LQ43" s="790"/>
      <c r="LR43" s="790"/>
      <c r="LS43" s="790"/>
      <c r="LT43" s="790"/>
      <c r="LU43" s="790"/>
      <c r="LV43" s="790"/>
      <c r="LW43" s="790"/>
      <c r="LX43" s="790"/>
      <c r="LY43" s="790"/>
      <c r="LZ43" s="790"/>
      <c r="MA43" s="790"/>
      <c r="MB43" s="790"/>
      <c r="MC43" s="790"/>
      <c r="MD43" s="790"/>
      <c r="ME43" s="790"/>
      <c r="MF43" s="790"/>
      <c r="MG43" s="790"/>
      <c r="MH43" s="790"/>
      <c r="MI43" s="790"/>
      <c r="MJ43" s="790"/>
      <c r="MK43" s="790"/>
      <c r="ML43" s="790"/>
      <c r="MM43" s="790"/>
      <c r="MN43" s="790"/>
      <c r="MO43" s="790"/>
      <c r="MP43" s="790"/>
      <c r="MQ43" s="790"/>
      <c r="MR43" s="790"/>
      <c r="MS43" s="790"/>
      <c r="MT43" s="790"/>
      <c r="MU43" s="790"/>
      <c r="MV43" s="790"/>
      <c r="MW43" s="790"/>
      <c r="MX43" s="790"/>
      <c r="MY43" s="790"/>
      <c r="MZ43" s="790"/>
      <c r="NA43" s="790"/>
      <c r="NB43" s="790"/>
      <c r="NC43" s="790"/>
      <c r="ND43" s="790"/>
      <c r="NE43" s="790"/>
      <c r="NF43" s="790"/>
      <c r="NG43" s="790"/>
      <c r="NH43" s="790"/>
      <c r="NI43" s="790"/>
      <c r="NJ43" s="790"/>
      <c r="NK43" s="790"/>
      <c r="NL43" s="790"/>
      <c r="NM43" s="790"/>
      <c r="NN43" s="790"/>
      <c r="NO43" s="790"/>
      <c r="NP43" s="790"/>
      <c r="NQ43" s="790"/>
      <c r="NR43" s="790"/>
      <c r="NS43" s="790"/>
      <c r="NT43" s="790"/>
      <c r="NU43" s="790"/>
      <c r="NV43" s="790"/>
      <c r="NW43" s="790"/>
      <c r="NX43" s="790"/>
      <c r="NY43" s="790"/>
      <c r="NZ43" s="790"/>
      <c r="OA43" s="790"/>
      <c r="OB43" s="790"/>
      <c r="OC43" s="790"/>
      <c r="OD43" s="790"/>
      <c r="OE43" s="790"/>
      <c r="OF43" s="790"/>
      <c r="OG43" s="790"/>
      <c r="OH43" s="790"/>
      <c r="OI43" s="790"/>
      <c r="OJ43" s="790"/>
      <c r="OK43" s="790"/>
      <c r="OL43" s="790"/>
      <c r="OM43" s="790"/>
      <c r="ON43" s="790"/>
      <c r="OO43" s="790"/>
      <c r="OP43" s="790"/>
      <c r="OQ43" s="790"/>
      <c r="OR43" s="790"/>
      <c r="OS43" s="790"/>
      <c r="OT43" s="790"/>
      <c r="OU43" s="790"/>
      <c r="OV43" s="790"/>
      <c r="OW43" s="790"/>
      <c r="OX43" s="790"/>
      <c r="OY43" s="790"/>
      <c r="OZ43" s="790"/>
      <c r="PA43" s="790"/>
      <c r="PB43" s="790"/>
      <c r="PC43" s="790"/>
      <c r="PD43" s="790"/>
      <c r="PE43" s="790"/>
      <c r="PF43" s="790"/>
      <c r="PG43" s="790"/>
      <c r="PH43" s="790"/>
      <c r="PI43" s="790"/>
      <c r="PJ43" s="790"/>
      <c r="PK43" s="790"/>
      <c r="PL43" s="790"/>
      <c r="PM43" s="790"/>
      <c r="PN43" s="790"/>
      <c r="PO43" s="790"/>
      <c r="PP43" s="790"/>
      <c r="PQ43" s="790"/>
      <c r="PR43" s="790"/>
      <c r="PS43" s="790"/>
      <c r="PT43" s="790"/>
      <c r="PU43" s="790"/>
      <c r="PV43" s="790"/>
      <c r="PW43" s="790"/>
      <c r="PX43" s="790"/>
      <c r="PY43" s="790"/>
      <c r="PZ43" s="790"/>
      <c r="QA43" s="790"/>
      <c r="QB43" s="790"/>
      <c r="QC43" s="790"/>
      <c r="QD43" s="790"/>
      <c r="QE43" s="790"/>
      <c r="QF43" s="790"/>
      <c r="QG43" s="790"/>
      <c r="QH43" s="790"/>
      <c r="QI43" s="790"/>
      <c r="QJ43" s="790"/>
      <c r="QK43" s="790"/>
      <c r="QL43" s="790"/>
      <c r="QM43" s="790"/>
      <c r="QN43" s="790"/>
      <c r="QO43" s="790"/>
      <c r="QP43" s="790"/>
      <c r="QQ43" s="790"/>
      <c r="QR43" s="790"/>
      <c r="QS43" s="790"/>
      <c r="QT43" s="790"/>
      <c r="QU43" s="790"/>
      <c r="QV43" s="790"/>
      <c r="QW43" s="790"/>
      <c r="QX43" s="790"/>
      <c r="QY43" s="790"/>
      <c r="QZ43" s="790"/>
      <c r="RA43" s="790"/>
      <c r="RB43" s="790"/>
      <c r="RC43" s="790"/>
      <c r="RD43" s="790"/>
      <c r="RE43" s="790"/>
      <c r="RF43" s="790"/>
      <c r="RG43" s="790"/>
      <c r="RH43" s="790"/>
      <c r="RI43" s="790"/>
      <c r="RJ43" s="790"/>
      <c r="RK43" s="790"/>
      <c r="RL43" s="790"/>
      <c r="RM43" s="790"/>
      <c r="RN43" s="790"/>
      <c r="RO43" s="790"/>
      <c r="RP43" s="790"/>
      <c r="RQ43" s="790"/>
      <c r="RR43" s="790"/>
      <c r="RS43" s="790"/>
      <c r="RT43" s="790"/>
      <c r="RU43" s="790"/>
      <c r="RV43" s="790"/>
      <c r="RW43" s="790"/>
      <c r="RX43" s="790"/>
    </row>
    <row r="44" spans="1:492" s="166" customFormat="1">
      <c r="A44" s="790"/>
      <c r="B44" s="790"/>
      <c r="C44" s="790"/>
      <c r="D44" s="790"/>
      <c r="E44" s="790"/>
      <c r="F44" s="790"/>
      <c r="G44" s="790"/>
      <c r="H44" s="790"/>
      <c r="I44" s="790"/>
      <c r="J44" s="790"/>
      <c r="K44" s="790"/>
      <c r="L44" s="790"/>
      <c r="M44" s="790"/>
      <c r="N44" s="790"/>
      <c r="O44" s="790"/>
      <c r="P44" s="790"/>
      <c r="Q44" s="790"/>
      <c r="R44" s="790"/>
      <c r="S44" s="790"/>
      <c r="T44" s="790"/>
      <c r="U44" s="790"/>
      <c r="V44" s="790"/>
      <c r="W44" s="790"/>
      <c r="X44" s="790"/>
      <c r="Y44" s="790"/>
      <c r="Z44" s="790"/>
      <c r="AA44" s="790"/>
      <c r="AB44" s="790"/>
      <c r="AC44" s="790"/>
      <c r="AD44" s="790"/>
      <c r="AE44" s="790"/>
      <c r="AF44" s="790"/>
      <c r="AG44" s="790"/>
      <c r="AH44" s="790"/>
      <c r="AI44" s="790"/>
      <c r="AJ44" s="790"/>
      <c r="AK44" s="790"/>
      <c r="AL44" s="790"/>
      <c r="AM44" s="781"/>
      <c r="AN44" s="781"/>
      <c r="AO44" s="781"/>
      <c r="AP44" s="781"/>
      <c r="AQ44" s="781"/>
      <c r="AR44" s="781"/>
      <c r="AS44" s="781"/>
      <c r="AT44" s="781"/>
      <c r="AU44" s="781"/>
      <c r="AV44" s="781"/>
      <c r="AW44" s="781"/>
      <c r="AX44" s="781"/>
      <c r="AY44" s="781"/>
      <c r="AZ44" s="781"/>
      <c r="BA44" s="781"/>
      <c r="BB44" s="781"/>
      <c r="BC44" s="781"/>
      <c r="BD44" s="781"/>
      <c r="BE44" s="781"/>
      <c r="BF44" s="781"/>
      <c r="BG44" s="781"/>
      <c r="BH44" s="781"/>
      <c r="BI44" s="781"/>
      <c r="BJ44" s="781"/>
      <c r="BK44" s="781"/>
      <c r="BL44" s="781"/>
      <c r="BM44" s="781"/>
      <c r="BN44" s="781"/>
      <c r="BO44" s="781"/>
      <c r="BP44" s="781"/>
      <c r="BQ44" s="781"/>
      <c r="BR44" s="781"/>
      <c r="BS44" s="781"/>
      <c r="BT44" s="781"/>
      <c r="BU44" s="781"/>
      <c r="BV44" s="790"/>
      <c r="BW44" s="790"/>
      <c r="BX44" s="790"/>
      <c r="BY44" s="790"/>
      <c r="BZ44" s="790"/>
      <c r="CA44" s="790"/>
      <c r="CB44" s="790"/>
      <c r="CC44" s="790"/>
      <c r="CD44" s="790"/>
      <c r="CE44" s="790"/>
      <c r="CF44" s="790"/>
      <c r="CG44" s="790"/>
      <c r="CH44" s="790"/>
      <c r="CI44" s="790"/>
      <c r="CJ44" s="790"/>
      <c r="CK44" s="790"/>
      <c r="CL44" s="790"/>
      <c r="CM44" s="790"/>
      <c r="CN44" s="790"/>
      <c r="CO44" s="790"/>
      <c r="CP44" s="790"/>
      <c r="CQ44" s="790"/>
      <c r="CR44" s="790"/>
      <c r="CS44" s="790"/>
      <c r="CT44" s="790"/>
      <c r="CU44" s="790"/>
      <c r="CV44" s="790"/>
      <c r="CW44" s="790"/>
      <c r="CX44" s="790"/>
      <c r="CY44" s="790"/>
      <c r="CZ44" s="790"/>
      <c r="DA44" s="790"/>
      <c r="DB44" s="790"/>
      <c r="DC44" s="790"/>
      <c r="DD44" s="790"/>
      <c r="DE44" s="790"/>
      <c r="DF44" s="790"/>
      <c r="DG44" s="790"/>
      <c r="DH44" s="790"/>
      <c r="DI44" s="790"/>
      <c r="DJ44" s="790"/>
      <c r="DK44" s="790"/>
      <c r="DL44" s="790"/>
      <c r="DM44" s="790"/>
      <c r="DN44" s="790"/>
      <c r="DO44" s="790"/>
      <c r="DP44" s="790"/>
      <c r="DQ44" s="790"/>
      <c r="DR44" s="790"/>
      <c r="DS44" s="790"/>
      <c r="DT44" s="790"/>
      <c r="DU44" s="790"/>
      <c r="DV44" s="790"/>
      <c r="DW44" s="790"/>
      <c r="DX44" s="790"/>
      <c r="DY44" s="790"/>
      <c r="DZ44" s="790"/>
      <c r="EA44" s="790"/>
      <c r="EB44" s="790"/>
      <c r="EC44" s="790"/>
      <c r="ED44" s="790"/>
      <c r="EE44" s="790"/>
      <c r="EF44" s="790"/>
      <c r="EG44" s="790"/>
      <c r="EH44" s="790"/>
      <c r="EI44" s="790"/>
      <c r="EJ44" s="790"/>
      <c r="EK44" s="790"/>
      <c r="EL44" s="790"/>
      <c r="EM44" s="790"/>
      <c r="EN44" s="790"/>
      <c r="EO44" s="790"/>
      <c r="EP44" s="790"/>
      <c r="EQ44" s="790"/>
      <c r="ER44" s="790"/>
      <c r="ES44" s="790"/>
      <c r="ET44" s="790"/>
      <c r="EU44" s="790"/>
      <c r="EV44" s="790"/>
      <c r="EW44" s="790"/>
      <c r="EX44" s="790"/>
      <c r="EY44" s="790"/>
      <c r="EZ44" s="790"/>
      <c r="FA44" s="790"/>
      <c r="FB44" s="790"/>
      <c r="FC44" s="790"/>
      <c r="FD44" s="790"/>
      <c r="FE44" s="790"/>
      <c r="FF44" s="790"/>
      <c r="FG44" s="790"/>
      <c r="FH44" s="790"/>
      <c r="FI44" s="790"/>
      <c r="FJ44" s="790"/>
      <c r="FK44" s="790"/>
      <c r="FL44" s="790"/>
      <c r="FM44" s="790"/>
      <c r="FN44" s="790"/>
      <c r="FO44" s="790"/>
      <c r="FP44" s="790"/>
      <c r="FQ44" s="790"/>
      <c r="FR44" s="790"/>
      <c r="FS44" s="790"/>
      <c r="FT44" s="790"/>
      <c r="FU44" s="790"/>
      <c r="FV44" s="790"/>
      <c r="FW44" s="790"/>
      <c r="FX44" s="790"/>
      <c r="FY44" s="790"/>
      <c r="FZ44" s="790"/>
      <c r="GA44" s="790"/>
      <c r="GB44" s="790"/>
      <c r="GC44" s="790"/>
      <c r="GD44" s="790"/>
      <c r="GE44" s="790"/>
      <c r="GF44" s="790"/>
      <c r="GG44" s="790"/>
      <c r="GH44" s="790"/>
      <c r="GI44" s="790"/>
      <c r="GJ44" s="790"/>
      <c r="GK44" s="790"/>
      <c r="GL44" s="790"/>
      <c r="GM44" s="790"/>
      <c r="GN44" s="790"/>
      <c r="GO44" s="790"/>
      <c r="GP44" s="790"/>
      <c r="GQ44" s="790"/>
      <c r="GR44" s="790"/>
      <c r="GS44" s="790"/>
      <c r="GT44" s="790"/>
      <c r="GU44" s="790"/>
      <c r="GV44" s="790"/>
      <c r="GW44" s="790"/>
      <c r="GX44" s="790"/>
      <c r="GY44" s="790"/>
      <c r="GZ44" s="790"/>
      <c r="HA44" s="790"/>
      <c r="HB44" s="790"/>
      <c r="HC44" s="790"/>
      <c r="HD44" s="790"/>
      <c r="HE44" s="790"/>
      <c r="HF44" s="790"/>
      <c r="HG44" s="790"/>
      <c r="HH44" s="790"/>
      <c r="HI44" s="790"/>
      <c r="HJ44" s="790"/>
      <c r="HK44" s="790"/>
      <c r="HL44" s="790"/>
      <c r="HM44" s="790"/>
      <c r="HN44" s="790"/>
      <c r="HO44" s="790"/>
      <c r="HP44" s="790"/>
      <c r="HQ44" s="790"/>
      <c r="HR44" s="790"/>
      <c r="HS44" s="790"/>
      <c r="HT44" s="790"/>
      <c r="HU44" s="790"/>
      <c r="HV44" s="790"/>
      <c r="HW44" s="790"/>
      <c r="HX44" s="790"/>
      <c r="HY44" s="790"/>
      <c r="HZ44" s="790"/>
      <c r="IA44" s="790"/>
      <c r="IB44" s="790"/>
      <c r="IC44" s="790"/>
      <c r="ID44" s="790"/>
      <c r="IE44" s="790"/>
      <c r="IF44" s="790"/>
      <c r="IG44" s="790"/>
      <c r="IH44" s="790"/>
      <c r="II44" s="790"/>
      <c r="IJ44" s="790"/>
      <c r="IK44" s="790"/>
      <c r="IL44" s="790"/>
      <c r="IM44" s="790"/>
      <c r="IN44" s="790"/>
      <c r="IO44" s="790"/>
      <c r="IP44" s="790"/>
      <c r="IQ44" s="790"/>
      <c r="IR44" s="790"/>
      <c r="IS44" s="790"/>
      <c r="IT44" s="790"/>
      <c r="IU44" s="790"/>
      <c r="IV44" s="790"/>
      <c r="IW44" s="790"/>
      <c r="IX44" s="790"/>
      <c r="IY44" s="790"/>
      <c r="IZ44" s="790"/>
      <c r="JA44" s="790"/>
      <c r="JB44" s="790"/>
      <c r="JC44" s="790"/>
      <c r="JD44" s="790"/>
      <c r="JE44" s="790"/>
      <c r="JF44" s="790"/>
      <c r="JG44" s="790"/>
      <c r="JH44" s="790"/>
      <c r="JI44" s="790"/>
      <c r="JJ44" s="790"/>
      <c r="JK44" s="790"/>
      <c r="JL44" s="790"/>
      <c r="JM44" s="790"/>
      <c r="JN44" s="790"/>
      <c r="JO44" s="790"/>
      <c r="JP44" s="790"/>
      <c r="JQ44" s="790"/>
      <c r="JR44" s="790"/>
      <c r="JS44" s="790"/>
      <c r="JT44" s="790"/>
      <c r="JU44" s="790"/>
      <c r="JV44" s="790"/>
      <c r="JW44" s="790"/>
      <c r="JX44" s="790"/>
      <c r="JY44" s="790"/>
      <c r="JZ44" s="790"/>
      <c r="KA44" s="790"/>
      <c r="KB44" s="790"/>
      <c r="KC44" s="790"/>
      <c r="KD44" s="790"/>
      <c r="KE44" s="790"/>
      <c r="KF44" s="790"/>
      <c r="KG44" s="790"/>
      <c r="KH44" s="790"/>
      <c r="KI44" s="790"/>
      <c r="KJ44" s="790"/>
      <c r="KK44" s="790"/>
      <c r="KL44" s="790"/>
      <c r="KM44" s="790"/>
      <c r="KN44" s="790"/>
      <c r="KO44" s="790"/>
      <c r="KP44" s="790"/>
      <c r="KQ44" s="790"/>
      <c r="KR44" s="790"/>
      <c r="KS44" s="790"/>
      <c r="KT44" s="790"/>
      <c r="KU44" s="790"/>
      <c r="KV44" s="790"/>
      <c r="KW44" s="790"/>
      <c r="KX44" s="790"/>
      <c r="KY44" s="790"/>
      <c r="KZ44" s="790"/>
      <c r="LA44" s="790"/>
      <c r="LB44" s="790"/>
      <c r="LC44" s="790"/>
      <c r="LD44" s="790"/>
      <c r="LE44" s="790"/>
      <c r="LF44" s="790"/>
      <c r="LG44" s="790"/>
      <c r="LH44" s="790"/>
      <c r="LI44" s="790"/>
      <c r="LJ44" s="790"/>
      <c r="LK44" s="790"/>
      <c r="LL44" s="790"/>
      <c r="LM44" s="790"/>
      <c r="LN44" s="790"/>
      <c r="LO44" s="790"/>
      <c r="LP44" s="790"/>
      <c r="LQ44" s="790"/>
      <c r="LR44" s="790"/>
      <c r="LS44" s="790"/>
      <c r="LT44" s="790"/>
      <c r="LU44" s="790"/>
      <c r="LV44" s="790"/>
      <c r="LW44" s="790"/>
      <c r="LX44" s="790"/>
      <c r="LY44" s="790"/>
      <c r="LZ44" s="790"/>
      <c r="MA44" s="790"/>
      <c r="MB44" s="790"/>
      <c r="MC44" s="790"/>
      <c r="MD44" s="790"/>
      <c r="ME44" s="790"/>
      <c r="MF44" s="790"/>
      <c r="MG44" s="790"/>
      <c r="MH44" s="790"/>
      <c r="MI44" s="790"/>
      <c r="MJ44" s="790"/>
      <c r="MK44" s="790"/>
      <c r="ML44" s="790"/>
      <c r="MM44" s="790"/>
      <c r="MN44" s="790"/>
      <c r="MO44" s="790"/>
      <c r="MP44" s="790"/>
      <c r="MQ44" s="790"/>
      <c r="MR44" s="790"/>
      <c r="MS44" s="790"/>
      <c r="MT44" s="790"/>
      <c r="MU44" s="790"/>
      <c r="MV44" s="790"/>
      <c r="MW44" s="790"/>
      <c r="MX44" s="790"/>
      <c r="MY44" s="790"/>
      <c r="MZ44" s="790"/>
      <c r="NA44" s="790"/>
      <c r="NB44" s="790"/>
      <c r="NC44" s="790"/>
      <c r="ND44" s="790"/>
      <c r="NE44" s="790"/>
      <c r="NF44" s="790"/>
      <c r="NG44" s="790"/>
      <c r="NH44" s="790"/>
      <c r="NI44" s="790"/>
      <c r="NJ44" s="790"/>
      <c r="NK44" s="790"/>
      <c r="NL44" s="790"/>
      <c r="NM44" s="790"/>
      <c r="NN44" s="790"/>
      <c r="NO44" s="790"/>
      <c r="NP44" s="790"/>
      <c r="NQ44" s="790"/>
      <c r="NR44" s="790"/>
      <c r="NS44" s="790"/>
      <c r="NT44" s="790"/>
      <c r="NU44" s="790"/>
      <c r="NV44" s="790"/>
      <c r="NW44" s="790"/>
      <c r="NX44" s="790"/>
      <c r="NY44" s="790"/>
      <c r="NZ44" s="790"/>
      <c r="OA44" s="790"/>
      <c r="OB44" s="790"/>
      <c r="OC44" s="790"/>
      <c r="OD44" s="790"/>
      <c r="OE44" s="790"/>
      <c r="OF44" s="790"/>
      <c r="OG44" s="790"/>
      <c r="OH44" s="790"/>
      <c r="OI44" s="790"/>
      <c r="OJ44" s="790"/>
      <c r="OK44" s="790"/>
      <c r="OL44" s="790"/>
      <c r="OM44" s="790"/>
      <c r="ON44" s="790"/>
      <c r="OO44" s="790"/>
      <c r="OP44" s="790"/>
      <c r="OQ44" s="790"/>
      <c r="OR44" s="790"/>
      <c r="OS44" s="790"/>
      <c r="OT44" s="790"/>
      <c r="OU44" s="790"/>
      <c r="OV44" s="790"/>
      <c r="OW44" s="790"/>
      <c r="OX44" s="790"/>
      <c r="OY44" s="790"/>
      <c r="OZ44" s="790"/>
      <c r="PA44" s="790"/>
      <c r="PB44" s="790"/>
      <c r="PC44" s="790"/>
      <c r="PD44" s="790"/>
      <c r="PE44" s="790"/>
      <c r="PF44" s="790"/>
      <c r="PG44" s="790"/>
      <c r="PH44" s="790"/>
      <c r="PI44" s="790"/>
      <c r="PJ44" s="790"/>
      <c r="PK44" s="790"/>
      <c r="PL44" s="790"/>
      <c r="PM44" s="790"/>
      <c r="PN44" s="790"/>
      <c r="PO44" s="790"/>
      <c r="PP44" s="790"/>
      <c r="PQ44" s="790"/>
      <c r="PR44" s="790"/>
      <c r="PS44" s="790"/>
      <c r="PT44" s="790"/>
      <c r="PU44" s="790"/>
      <c r="PV44" s="790"/>
      <c r="PW44" s="790"/>
      <c r="PX44" s="790"/>
      <c r="PY44" s="790"/>
      <c r="PZ44" s="790"/>
      <c r="QA44" s="790"/>
      <c r="QB44" s="790"/>
      <c r="QC44" s="790"/>
      <c r="QD44" s="790"/>
      <c r="QE44" s="790"/>
      <c r="QF44" s="790"/>
      <c r="QG44" s="790"/>
      <c r="QH44" s="790"/>
      <c r="QI44" s="790"/>
      <c r="QJ44" s="790"/>
      <c r="QK44" s="790"/>
      <c r="QL44" s="790"/>
      <c r="QM44" s="790"/>
      <c r="QN44" s="790"/>
      <c r="QO44" s="790"/>
      <c r="QP44" s="790"/>
      <c r="QQ44" s="790"/>
      <c r="QR44" s="790"/>
      <c r="QS44" s="790"/>
      <c r="QT44" s="790"/>
      <c r="QU44" s="790"/>
      <c r="QV44" s="790"/>
      <c r="QW44" s="790"/>
      <c r="QX44" s="790"/>
      <c r="QY44" s="790"/>
      <c r="QZ44" s="790"/>
      <c r="RA44" s="790"/>
      <c r="RB44" s="790"/>
      <c r="RC44" s="790"/>
      <c r="RD44" s="790"/>
      <c r="RE44" s="790"/>
      <c r="RF44" s="790"/>
      <c r="RG44" s="790"/>
      <c r="RH44" s="790"/>
      <c r="RI44" s="790"/>
      <c r="RJ44" s="790"/>
      <c r="RK44" s="790"/>
      <c r="RL44" s="790"/>
      <c r="RM44" s="790"/>
      <c r="RN44" s="790"/>
      <c r="RO44" s="790"/>
      <c r="RP44" s="790"/>
      <c r="RQ44" s="790"/>
      <c r="RR44" s="790"/>
      <c r="RS44" s="790"/>
      <c r="RT44" s="790"/>
      <c r="RU44" s="790"/>
      <c r="RV44" s="790"/>
      <c r="RW44" s="790"/>
      <c r="RX44" s="790"/>
    </row>
    <row r="45" spans="1:492" s="166" customFormat="1">
      <c r="A45" s="790"/>
      <c r="B45" s="790"/>
      <c r="C45" s="790"/>
      <c r="D45" s="790"/>
      <c r="E45" s="790"/>
      <c r="F45" s="790"/>
      <c r="G45" s="790"/>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81"/>
      <c r="AN45" s="781"/>
      <c r="AO45" s="781"/>
      <c r="AP45" s="781"/>
      <c r="AQ45" s="781"/>
      <c r="AR45" s="781"/>
      <c r="AS45" s="781"/>
      <c r="AT45" s="781"/>
      <c r="AU45" s="781"/>
      <c r="AV45" s="781"/>
      <c r="AW45" s="781"/>
      <c r="AX45" s="781"/>
      <c r="AY45" s="781"/>
      <c r="AZ45" s="781"/>
      <c r="BA45" s="781"/>
      <c r="BB45" s="781"/>
      <c r="BC45" s="781"/>
      <c r="BD45" s="781"/>
      <c r="BE45" s="781"/>
      <c r="BF45" s="781"/>
      <c r="BG45" s="781"/>
      <c r="BH45" s="781"/>
      <c r="BI45" s="781"/>
      <c r="BJ45" s="781"/>
      <c r="BK45" s="781"/>
      <c r="BL45" s="781"/>
      <c r="BM45" s="781"/>
      <c r="BN45" s="781"/>
      <c r="BO45" s="781"/>
      <c r="BP45" s="781"/>
      <c r="BQ45" s="781"/>
      <c r="BR45" s="781"/>
      <c r="BS45" s="781"/>
      <c r="BT45" s="781"/>
      <c r="BU45" s="781"/>
      <c r="BV45" s="790"/>
      <c r="BW45" s="790"/>
      <c r="BX45" s="790"/>
      <c r="BY45" s="790"/>
      <c r="BZ45" s="790"/>
      <c r="CA45" s="790"/>
      <c r="CB45" s="790"/>
      <c r="CC45" s="790"/>
      <c r="CD45" s="790"/>
      <c r="CE45" s="790"/>
      <c r="CF45" s="790"/>
      <c r="CG45" s="790"/>
      <c r="CH45" s="790"/>
      <c r="CI45" s="790"/>
      <c r="CJ45" s="790"/>
      <c r="CK45" s="790"/>
      <c r="CL45" s="790"/>
      <c r="CM45" s="790"/>
      <c r="CN45" s="790"/>
      <c r="CO45" s="790"/>
      <c r="CP45" s="790"/>
      <c r="CQ45" s="790"/>
      <c r="CR45" s="790"/>
      <c r="CS45" s="790"/>
      <c r="CT45" s="790"/>
      <c r="CU45" s="790"/>
      <c r="CV45" s="790"/>
      <c r="CW45" s="790"/>
      <c r="CX45" s="790"/>
      <c r="CY45" s="790"/>
      <c r="CZ45" s="790"/>
      <c r="DA45" s="790"/>
      <c r="DB45" s="790"/>
      <c r="DC45" s="790"/>
      <c r="DD45" s="790"/>
      <c r="DE45" s="790"/>
      <c r="DF45" s="790"/>
      <c r="DG45" s="790"/>
      <c r="DH45" s="790"/>
      <c r="DI45" s="790"/>
      <c r="DJ45" s="790"/>
      <c r="DK45" s="790"/>
      <c r="DL45" s="790"/>
      <c r="DM45" s="790"/>
      <c r="DN45" s="790"/>
      <c r="DO45" s="790"/>
      <c r="DP45" s="790"/>
      <c r="DQ45" s="790"/>
      <c r="DR45" s="790"/>
      <c r="DS45" s="790"/>
      <c r="DT45" s="790"/>
      <c r="DU45" s="790"/>
      <c r="DV45" s="790"/>
      <c r="DW45" s="790"/>
      <c r="DX45" s="790"/>
      <c r="DY45" s="790"/>
      <c r="DZ45" s="790"/>
      <c r="EA45" s="790"/>
      <c r="EB45" s="790"/>
      <c r="EC45" s="790"/>
      <c r="ED45" s="790"/>
      <c r="EE45" s="790"/>
      <c r="EF45" s="790"/>
      <c r="EG45" s="790"/>
      <c r="EH45" s="790"/>
      <c r="EI45" s="790"/>
      <c r="EJ45" s="790"/>
      <c r="EK45" s="790"/>
      <c r="EL45" s="790"/>
      <c r="EM45" s="790"/>
      <c r="EN45" s="790"/>
      <c r="EO45" s="790"/>
      <c r="EP45" s="790"/>
      <c r="EQ45" s="790"/>
      <c r="ER45" s="790"/>
      <c r="ES45" s="790"/>
      <c r="ET45" s="790"/>
      <c r="EU45" s="790"/>
      <c r="EV45" s="790"/>
      <c r="EW45" s="790"/>
      <c r="EX45" s="790"/>
      <c r="EY45" s="790"/>
      <c r="EZ45" s="790"/>
      <c r="FA45" s="790"/>
      <c r="FB45" s="790"/>
      <c r="FC45" s="790"/>
      <c r="FD45" s="790"/>
      <c r="FE45" s="790"/>
      <c r="FF45" s="790"/>
      <c r="FG45" s="790"/>
      <c r="FH45" s="790"/>
      <c r="FI45" s="790"/>
      <c r="FJ45" s="790"/>
      <c r="FK45" s="790"/>
      <c r="FL45" s="790"/>
      <c r="FM45" s="790"/>
      <c r="FN45" s="790"/>
      <c r="FO45" s="790"/>
      <c r="FP45" s="790"/>
      <c r="FQ45" s="790"/>
      <c r="FR45" s="790"/>
      <c r="FS45" s="790"/>
      <c r="FT45" s="790"/>
      <c r="FU45" s="790"/>
      <c r="FV45" s="790"/>
      <c r="FW45" s="790"/>
      <c r="FX45" s="790"/>
      <c r="FY45" s="790"/>
      <c r="FZ45" s="790"/>
      <c r="GA45" s="790"/>
      <c r="GB45" s="790"/>
      <c r="GC45" s="790"/>
      <c r="GD45" s="790"/>
      <c r="GE45" s="790"/>
      <c r="GF45" s="790"/>
      <c r="GG45" s="790"/>
      <c r="GH45" s="790"/>
      <c r="GI45" s="790"/>
      <c r="GJ45" s="790"/>
      <c r="GK45" s="790"/>
      <c r="GL45" s="790"/>
      <c r="GM45" s="790"/>
      <c r="GN45" s="790"/>
      <c r="GO45" s="790"/>
      <c r="GP45" s="790"/>
      <c r="GQ45" s="790"/>
      <c r="GR45" s="790"/>
      <c r="GS45" s="790"/>
      <c r="GT45" s="790"/>
      <c r="GU45" s="790"/>
      <c r="GV45" s="790"/>
      <c r="GW45" s="790"/>
      <c r="GX45" s="790"/>
      <c r="GY45" s="790"/>
      <c r="GZ45" s="790"/>
      <c r="HA45" s="790"/>
      <c r="HB45" s="790"/>
      <c r="HC45" s="790"/>
      <c r="HD45" s="790"/>
      <c r="HE45" s="790"/>
      <c r="HF45" s="790"/>
      <c r="HG45" s="790"/>
      <c r="HH45" s="790"/>
      <c r="HI45" s="790"/>
      <c r="HJ45" s="790"/>
      <c r="HK45" s="790"/>
      <c r="HL45" s="790"/>
      <c r="HM45" s="790"/>
      <c r="HN45" s="790"/>
      <c r="HO45" s="790"/>
      <c r="HP45" s="790"/>
      <c r="HQ45" s="790"/>
      <c r="HR45" s="790"/>
      <c r="HS45" s="790"/>
      <c r="HT45" s="790"/>
      <c r="HU45" s="790"/>
      <c r="HV45" s="790"/>
      <c r="HW45" s="790"/>
      <c r="HX45" s="790"/>
      <c r="HY45" s="790"/>
      <c r="HZ45" s="790"/>
      <c r="IA45" s="790"/>
      <c r="IB45" s="790"/>
      <c r="IC45" s="790"/>
      <c r="ID45" s="790"/>
      <c r="IE45" s="790"/>
      <c r="IF45" s="790"/>
      <c r="IG45" s="790"/>
      <c r="IH45" s="790"/>
      <c r="II45" s="790"/>
      <c r="IJ45" s="790"/>
      <c r="IK45" s="790"/>
      <c r="IL45" s="790"/>
      <c r="IM45" s="790"/>
      <c r="IN45" s="790"/>
      <c r="IO45" s="790"/>
      <c r="IP45" s="790"/>
      <c r="IQ45" s="790"/>
      <c r="IR45" s="790"/>
      <c r="IS45" s="790"/>
      <c r="IT45" s="790"/>
      <c r="IU45" s="790"/>
      <c r="IV45" s="790"/>
      <c r="IW45" s="790"/>
      <c r="IX45" s="790"/>
      <c r="IY45" s="790"/>
      <c r="IZ45" s="790"/>
      <c r="JA45" s="790"/>
      <c r="JB45" s="790"/>
      <c r="JC45" s="790"/>
      <c r="JD45" s="790"/>
      <c r="JE45" s="790"/>
      <c r="JF45" s="790"/>
      <c r="JG45" s="790"/>
      <c r="JH45" s="790"/>
      <c r="JI45" s="790"/>
      <c r="JJ45" s="790"/>
      <c r="JK45" s="790"/>
      <c r="JL45" s="790"/>
      <c r="JM45" s="790"/>
      <c r="JN45" s="790"/>
      <c r="JO45" s="790"/>
      <c r="JP45" s="790"/>
      <c r="JQ45" s="790"/>
      <c r="JR45" s="790"/>
      <c r="JS45" s="790"/>
      <c r="JT45" s="790"/>
      <c r="JU45" s="790"/>
      <c r="JV45" s="790"/>
      <c r="JW45" s="790"/>
      <c r="JX45" s="790"/>
      <c r="JY45" s="790"/>
      <c r="JZ45" s="790"/>
      <c r="KA45" s="790"/>
      <c r="KB45" s="790"/>
      <c r="KC45" s="790"/>
      <c r="KD45" s="790"/>
      <c r="KE45" s="790"/>
      <c r="KF45" s="790"/>
      <c r="KG45" s="790"/>
      <c r="KH45" s="790"/>
      <c r="KI45" s="790"/>
      <c r="KJ45" s="790"/>
      <c r="KK45" s="790"/>
      <c r="KL45" s="790"/>
      <c r="KM45" s="790"/>
      <c r="KN45" s="790"/>
      <c r="KO45" s="790"/>
      <c r="KP45" s="790"/>
      <c r="KQ45" s="790"/>
      <c r="KR45" s="790"/>
      <c r="KS45" s="790"/>
      <c r="KT45" s="790"/>
      <c r="KU45" s="790"/>
      <c r="KV45" s="790"/>
      <c r="KW45" s="790"/>
      <c r="KX45" s="790"/>
      <c r="KY45" s="790"/>
      <c r="KZ45" s="790"/>
      <c r="LA45" s="790"/>
      <c r="LB45" s="790"/>
      <c r="LC45" s="790"/>
      <c r="LD45" s="790"/>
      <c r="LE45" s="790"/>
      <c r="LF45" s="790"/>
      <c r="LG45" s="790"/>
      <c r="LH45" s="790"/>
      <c r="LI45" s="790"/>
      <c r="LJ45" s="790"/>
      <c r="LK45" s="790"/>
      <c r="LL45" s="790"/>
      <c r="LM45" s="790"/>
      <c r="LN45" s="790"/>
      <c r="LO45" s="790"/>
      <c r="LP45" s="790"/>
      <c r="LQ45" s="790"/>
      <c r="LR45" s="790"/>
      <c r="LS45" s="790"/>
      <c r="LT45" s="790"/>
      <c r="LU45" s="790"/>
      <c r="LV45" s="790"/>
      <c r="LW45" s="790"/>
      <c r="LX45" s="790"/>
      <c r="LY45" s="790"/>
      <c r="LZ45" s="790"/>
      <c r="MA45" s="790"/>
      <c r="MB45" s="790"/>
      <c r="MC45" s="790"/>
      <c r="MD45" s="790"/>
      <c r="ME45" s="790"/>
      <c r="MF45" s="790"/>
      <c r="MG45" s="790"/>
      <c r="MH45" s="790"/>
      <c r="MI45" s="790"/>
      <c r="MJ45" s="790"/>
      <c r="MK45" s="790"/>
      <c r="ML45" s="790"/>
      <c r="MM45" s="790"/>
      <c r="MN45" s="790"/>
      <c r="MO45" s="790"/>
      <c r="MP45" s="790"/>
      <c r="MQ45" s="790"/>
      <c r="MR45" s="790"/>
      <c r="MS45" s="790"/>
      <c r="MT45" s="790"/>
      <c r="MU45" s="790"/>
      <c r="MV45" s="790"/>
      <c r="MW45" s="790"/>
      <c r="MX45" s="790"/>
      <c r="MY45" s="790"/>
      <c r="MZ45" s="790"/>
      <c r="NA45" s="790"/>
      <c r="NB45" s="790"/>
      <c r="NC45" s="790"/>
      <c r="ND45" s="790"/>
      <c r="NE45" s="790"/>
      <c r="NF45" s="790"/>
      <c r="NG45" s="790"/>
      <c r="NH45" s="790"/>
      <c r="NI45" s="790"/>
      <c r="NJ45" s="790"/>
      <c r="NK45" s="790"/>
      <c r="NL45" s="790"/>
      <c r="NM45" s="790"/>
      <c r="NN45" s="790"/>
      <c r="NO45" s="790"/>
      <c r="NP45" s="790"/>
      <c r="NQ45" s="790"/>
      <c r="NR45" s="790"/>
      <c r="NS45" s="790"/>
      <c r="NT45" s="790"/>
      <c r="NU45" s="790"/>
      <c r="NV45" s="790"/>
      <c r="NW45" s="790"/>
      <c r="NX45" s="790"/>
      <c r="NY45" s="790"/>
      <c r="NZ45" s="790"/>
      <c r="OA45" s="790"/>
      <c r="OB45" s="790"/>
      <c r="OC45" s="790"/>
      <c r="OD45" s="790"/>
      <c r="OE45" s="790"/>
      <c r="OF45" s="790"/>
      <c r="OG45" s="790"/>
      <c r="OH45" s="790"/>
      <c r="OI45" s="790"/>
      <c r="OJ45" s="790"/>
      <c r="OK45" s="790"/>
      <c r="OL45" s="790"/>
      <c r="OM45" s="790"/>
      <c r="ON45" s="790"/>
      <c r="OO45" s="790"/>
      <c r="OP45" s="790"/>
      <c r="OQ45" s="790"/>
      <c r="OR45" s="790"/>
      <c r="OS45" s="790"/>
      <c r="OT45" s="790"/>
      <c r="OU45" s="790"/>
      <c r="OV45" s="790"/>
      <c r="OW45" s="790"/>
      <c r="OX45" s="790"/>
      <c r="OY45" s="790"/>
      <c r="OZ45" s="790"/>
      <c r="PA45" s="790"/>
      <c r="PB45" s="790"/>
      <c r="PC45" s="790"/>
      <c r="PD45" s="790"/>
      <c r="PE45" s="790"/>
      <c r="PF45" s="790"/>
      <c r="PG45" s="790"/>
      <c r="PH45" s="790"/>
      <c r="PI45" s="790"/>
      <c r="PJ45" s="790"/>
      <c r="PK45" s="790"/>
      <c r="PL45" s="790"/>
      <c r="PM45" s="790"/>
      <c r="PN45" s="790"/>
      <c r="PO45" s="790"/>
      <c r="PP45" s="790"/>
      <c r="PQ45" s="790"/>
      <c r="PR45" s="790"/>
      <c r="PS45" s="790"/>
      <c r="PT45" s="790"/>
      <c r="PU45" s="790"/>
      <c r="PV45" s="790"/>
      <c r="PW45" s="790"/>
      <c r="PX45" s="790"/>
      <c r="PY45" s="790"/>
      <c r="PZ45" s="790"/>
      <c r="QA45" s="790"/>
      <c r="QB45" s="790"/>
      <c r="QC45" s="790"/>
      <c r="QD45" s="790"/>
      <c r="QE45" s="790"/>
      <c r="QF45" s="790"/>
      <c r="QG45" s="790"/>
      <c r="QH45" s="790"/>
      <c r="QI45" s="790"/>
      <c r="QJ45" s="790"/>
      <c r="QK45" s="790"/>
      <c r="QL45" s="790"/>
      <c r="QM45" s="790"/>
      <c r="QN45" s="790"/>
      <c r="QO45" s="790"/>
      <c r="QP45" s="790"/>
      <c r="QQ45" s="790"/>
      <c r="QR45" s="790"/>
      <c r="QS45" s="790"/>
      <c r="QT45" s="790"/>
      <c r="QU45" s="790"/>
      <c r="QV45" s="790"/>
      <c r="QW45" s="790"/>
      <c r="QX45" s="790"/>
      <c r="QY45" s="790"/>
      <c r="QZ45" s="790"/>
      <c r="RA45" s="790"/>
      <c r="RB45" s="790"/>
      <c r="RC45" s="790"/>
      <c r="RD45" s="790"/>
      <c r="RE45" s="790"/>
      <c r="RF45" s="790"/>
      <c r="RG45" s="790"/>
      <c r="RH45" s="790"/>
      <c r="RI45" s="790"/>
      <c r="RJ45" s="790"/>
      <c r="RK45" s="790"/>
      <c r="RL45" s="790"/>
      <c r="RM45" s="790"/>
      <c r="RN45" s="790"/>
      <c r="RO45" s="790"/>
      <c r="RP45" s="790"/>
      <c r="RQ45" s="790"/>
      <c r="RR45" s="790"/>
      <c r="RS45" s="790"/>
      <c r="RT45" s="790"/>
      <c r="RU45" s="790"/>
      <c r="RV45" s="790"/>
      <c r="RW45" s="790"/>
      <c r="RX45" s="790"/>
    </row>
    <row r="46" spans="1:492" s="166" customFormat="1">
      <c r="A46" s="790"/>
      <c r="B46" s="790"/>
      <c r="C46" s="790"/>
      <c r="D46" s="790"/>
      <c r="E46" s="790"/>
      <c r="F46" s="790"/>
      <c r="G46" s="790"/>
      <c r="H46" s="790"/>
      <c r="I46" s="790"/>
      <c r="J46" s="790"/>
      <c r="K46" s="790"/>
      <c r="L46" s="790"/>
      <c r="M46" s="790"/>
      <c r="N46" s="790"/>
      <c r="O46" s="790"/>
      <c r="P46" s="790"/>
      <c r="Q46" s="790"/>
      <c r="R46" s="790"/>
      <c r="S46" s="790"/>
      <c r="T46" s="790"/>
      <c r="U46" s="790"/>
      <c r="V46" s="790"/>
      <c r="W46" s="790"/>
      <c r="X46" s="790"/>
      <c r="Y46" s="790"/>
      <c r="Z46" s="790"/>
      <c r="AA46" s="790"/>
      <c r="AB46" s="790"/>
      <c r="AC46" s="790"/>
      <c r="AD46" s="790"/>
      <c r="AE46" s="790"/>
      <c r="AF46" s="790"/>
      <c r="AG46" s="790"/>
      <c r="AH46" s="790"/>
      <c r="AI46" s="790"/>
      <c r="AJ46" s="790"/>
      <c r="AK46" s="790"/>
      <c r="AL46" s="790"/>
      <c r="AM46" s="781"/>
      <c r="AN46" s="781"/>
      <c r="AO46" s="781"/>
      <c r="AP46" s="781"/>
      <c r="AQ46" s="781"/>
      <c r="AR46" s="781"/>
      <c r="AS46" s="781"/>
      <c r="AT46" s="781"/>
      <c r="AU46" s="781"/>
      <c r="AV46" s="781"/>
      <c r="AW46" s="796"/>
      <c r="AX46" s="796"/>
      <c r="AY46" s="796"/>
      <c r="AZ46" s="796"/>
      <c r="BA46" s="781"/>
      <c r="BB46" s="781"/>
      <c r="BC46" s="781"/>
      <c r="BD46" s="781"/>
      <c r="BE46" s="781"/>
      <c r="BF46" s="781"/>
      <c r="BG46" s="781"/>
      <c r="BH46" s="781"/>
      <c r="BI46" s="781"/>
      <c r="BJ46" s="781"/>
      <c r="BK46" s="781"/>
      <c r="BL46" s="781"/>
      <c r="BM46" s="781"/>
      <c r="BN46" s="781"/>
      <c r="BO46" s="781"/>
      <c r="BP46" s="781"/>
      <c r="BQ46" s="781"/>
      <c r="BR46" s="781"/>
      <c r="BS46" s="781"/>
      <c r="BT46" s="781"/>
      <c r="BU46" s="781"/>
      <c r="BV46" s="790"/>
      <c r="BW46" s="790"/>
      <c r="BX46" s="790"/>
      <c r="BY46" s="790"/>
      <c r="BZ46" s="790"/>
      <c r="CA46" s="790"/>
      <c r="CB46" s="790"/>
      <c r="CC46" s="790"/>
      <c r="CD46" s="790"/>
      <c r="CE46" s="790"/>
      <c r="CF46" s="790"/>
      <c r="CG46" s="790"/>
      <c r="CH46" s="790"/>
      <c r="CI46" s="790"/>
      <c r="CJ46" s="790"/>
      <c r="CK46" s="790"/>
      <c r="CL46" s="790"/>
      <c r="CM46" s="790"/>
      <c r="CN46" s="790"/>
      <c r="CO46" s="790"/>
      <c r="CP46" s="790"/>
      <c r="CQ46" s="790"/>
      <c r="CR46" s="790"/>
      <c r="CS46" s="790"/>
      <c r="CT46" s="790"/>
      <c r="CU46" s="790"/>
      <c r="CV46" s="790"/>
      <c r="CW46" s="790"/>
      <c r="CX46" s="790"/>
      <c r="CY46" s="790"/>
      <c r="CZ46" s="790"/>
      <c r="DA46" s="790"/>
      <c r="DB46" s="790"/>
      <c r="DC46" s="790"/>
      <c r="DD46" s="790"/>
      <c r="DE46" s="790"/>
      <c r="DF46" s="790"/>
      <c r="DG46" s="790"/>
      <c r="DH46" s="790"/>
      <c r="DI46" s="790"/>
      <c r="DJ46" s="790"/>
      <c r="DK46" s="790"/>
      <c r="DL46" s="790"/>
      <c r="DM46" s="790"/>
      <c r="DN46" s="790"/>
      <c r="DO46" s="790"/>
      <c r="DP46" s="790"/>
      <c r="DQ46" s="790"/>
      <c r="DR46" s="790"/>
      <c r="DS46" s="790"/>
      <c r="DT46" s="790"/>
      <c r="DU46" s="790"/>
      <c r="DV46" s="790"/>
      <c r="DW46" s="790"/>
      <c r="DX46" s="790"/>
      <c r="DY46" s="790"/>
      <c r="DZ46" s="790"/>
      <c r="EA46" s="790"/>
      <c r="EB46" s="790"/>
      <c r="EC46" s="790"/>
      <c r="ED46" s="790"/>
      <c r="EE46" s="790"/>
      <c r="EF46" s="790"/>
      <c r="EG46" s="790"/>
      <c r="EH46" s="790"/>
      <c r="EI46" s="790"/>
      <c r="EJ46" s="790"/>
      <c r="EK46" s="790"/>
      <c r="EL46" s="790"/>
      <c r="EM46" s="790"/>
      <c r="EN46" s="790"/>
      <c r="EO46" s="790"/>
      <c r="EP46" s="790"/>
      <c r="EQ46" s="790"/>
      <c r="ER46" s="790"/>
      <c r="ES46" s="790"/>
      <c r="ET46" s="790"/>
      <c r="EU46" s="790"/>
      <c r="EV46" s="790"/>
      <c r="EW46" s="790"/>
      <c r="EX46" s="790"/>
      <c r="EY46" s="790"/>
      <c r="EZ46" s="790"/>
      <c r="FA46" s="790"/>
      <c r="FB46" s="790"/>
      <c r="FC46" s="790"/>
      <c r="FD46" s="790"/>
      <c r="FE46" s="790"/>
      <c r="FF46" s="790"/>
      <c r="FG46" s="790"/>
      <c r="FH46" s="790"/>
      <c r="FI46" s="790"/>
      <c r="FJ46" s="790"/>
      <c r="FK46" s="790"/>
      <c r="FL46" s="790"/>
      <c r="FM46" s="790"/>
      <c r="FN46" s="790"/>
      <c r="FO46" s="790"/>
      <c r="FP46" s="790"/>
      <c r="FQ46" s="790"/>
      <c r="FR46" s="790"/>
      <c r="FS46" s="790"/>
      <c r="FT46" s="790"/>
      <c r="FU46" s="790"/>
      <c r="FV46" s="790"/>
      <c r="FW46" s="790"/>
      <c r="FX46" s="790"/>
      <c r="FY46" s="790"/>
      <c r="FZ46" s="790"/>
      <c r="GA46" s="790"/>
      <c r="GB46" s="790"/>
      <c r="GC46" s="790"/>
      <c r="GD46" s="790"/>
      <c r="GE46" s="790"/>
      <c r="GF46" s="790"/>
      <c r="GG46" s="790"/>
      <c r="GH46" s="790"/>
      <c r="GI46" s="790"/>
      <c r="GJ46" s="790"/>
      <c r="GK46" s="790"/>
      <c r="GL46" s="790"/>
      <c r="GM46" s="790"/>
      <c r="GN46" s="790"/>
      <c r="GO46" s="790"/>
      <c r="GP46" s="790"/>
      <c r="GQ46" s="790"/>
      <c r="GR46" s="790"/>
      <c r="GS46" s="790"/>
      <c r="GT46" s="790"/>
      <c r="GU46" s="790"/>
      <c r="GV46" s="790"/>
      <c r="GW46" s="790"/>
      <c r="GX46" s="790"/>
      <c r="GY46" s="790"/>
      <c r="GZ46" s="790"/>
      <c r="HA46" s="790"/>
      <c r="HB46" s="790"/>
      <c r="HC46" s="790"/>
      <c r="HD46" s="790"/>
      <c r="HE46" s="790"/>
      <c r="HF46" s="790"/>
      <c r="HG46" s="790"/>
      <c r="HH46" s="790"/>
      <c r="HI46" s="790"/>
      <c r="HJ46" s="790"/>
      <c r="HK46" s="790"/>
      <c r="HL46" s="790"/>
      <c r="HM46" s="790"/>
      <c r="HN46" s="790"/>
      <c r="HO46" s="790"/>
      <c r="HP46" s="790"/>
      <c r="HQ46" s="790"/>
      <c r="HR46" s="790"/>
      <c r="HS46" s="790"/>
      <c r="HT46" s="790"/>
      <c r="HU46" s="790"/>
      <c r="HV46" s="790"/>
      <c r="HW46" s="790"/>
      <c r="HX46" s="790"/>
      <c r="HY46" s="790"/>
      <c r="HZ46" s="790"/>
      <c r="IA46" s="790"/>
      <c r="IB46" s="790"/>
      <c r="IC46" s="790"/>
      <c r="ID46" s="790"/>
      <c r="IE46" s="790"/>
      <c r="IF46" s="790"/>
      <c r="IG46" s="790"/>
      <c r="IH46" s="790"/>
      <c r="II46" s="790"/>
      <c r="IJ46" s="790"/>
      <c r="IK46" s="790"/>
      <c r="IL46" s="790"/>
      <c r="IM46" s="790"/>
      <c r="IN46" s="790"/>
      <c r="IO46" s="790"/>
      <c r="IP46" s="790"/>
      <c r="IQ46" s="790"/>
      <c r="IR46" s="790"/>
      <c r="IS46" s="790"/>
      <c r="IT46" s="790"/>
      <c r="IU46" s="790"/>
      <c r="IV46" s="790"/>
      <c r="IW46" s="790"/>
      <c r="IX46" s="790"/>
      <c r="IY46" s="790"/>
      <c r="IZ46" s="790"/>
      <c r="JA46" s="790"/>
      <c r="JB46" s="790"/>
      <c r="JC46" s="790"/>
      <c r="JD46" s="790"/>
      <c r="JE46" s="790"/>
      <c r="JF46" s="790"/>
      <c r="JG46" s="790"/>
      <c r="JH46" s="790"/>
      <c r="JI46" s="790"/>
      <c r="JJ46" s="790"/>
      <c r="JK46" s="790"/>
      <c r="JL46" s="790"/>
      <c r="JM46" s="790"/>
      <c r="JN46" s="790"/>
      <c r="JO46" s="790"/>
      <c r="JP46" s="790"/>
      <c r="JQ46" s="790"/>
      <c r="JR46" s="790"/>
      <c r="JS46" s="790"/>
      <c r="JT46" s="790"/>
      <c r="JU46" s="790"/>
      <c r="JV46" s="790"/>
      <c r="JW46" s="790"/>
      <c r="JX46" s="790"/>
      <c r="JY46" s="790"/>
      <c r="JZ46" s="790"/>
      <c r="KA46" s="790"/>
      <c r="KB46" s="790"/>
      <c r="KC46" s="790"/>
      <c r="KD46" s="790"/>
      <c r="KE46" s="790"/>
      <c r="KF46" s="790"/>
      <c r="KG46" s="790"/>
      <c r="KH46" s="790"/>
      <c r="KI46" s="790"/>
      <c r="KJ46" s="790"/>
      <c r="KK46" s="790"/>
      <c r="KL46" s="790"/>
      <c r="KM46" s="790"/>
      <c r="KN46" s="790"/>
      <c r="KO46" s="790"/>
      <c r="KP46" s="790"/>
      <c r="KQ46" s="790"/>
      <c r="KR46" s="790"/>
      <c r="KS46" s="790"/>
      <c r="KT46" s="790"/>
      <c r="KU46" s="790"/>
      <c r="KV46" s="790"/>
      <c r="KW46" s="790"/>
      <c r="KX46" s="790"/>
      <c r="KY46" s="790"/>
      <c r="KZ46" s="790"/>
      <c r="LA46" s="790"/>
      <c r="LB46" s="790"/>
      <c r="LC46" s="790"/>
      <c r="LD46" s="790"/>
      <c r="LE46" s="790"/>
      <c r="LF46" s="790"/>
      <c r="LG46" s="790"/>
      <c r="LH46" s="790"/>
      <c r="LI46" s="790"/>
      <c r="LJ46" s="790"/>
      <c r="LK46" s="790"/>
      <c r="LL46" s="790"/>
      <c r="LM46" s="790"/>
      <c r="LN46" s="790"/>
      <c r="LO46" s="790"/>
      <c r="LP46" s="790"/>
      <c r="LQ46" s="790"/>
      <c r="LR46" s="790"/>
      <c r="LS46" s="790"/>
      <c r="LT46" s="790"/>
      <c r="LU46" s="790"/>
      <c r="LV46" s="790"/>
      <c r="LW46" s="790"/>
      <c r="LX46" s="790"/>
      <c r="LY46" s="790"/>
      <c r="LZ46" s="790"/>
      <c r="MA46" s="790"/>
      <c r="MB46" s="790"/>
      <c r="MC46" s="790"/>
      <c r="MD46" s="790"/>
      <c r="ME46" s="790"/>
      <c r="MF46" s="790"/>
      <c r="MG46" s="790"/>
      <c r="MH46" s="790"/>
      <c r="MI46" s="790"/>
      <c r="MJ46" s="790"/>
      <c r="MK46" s="790"/>
      <c r="ML46" s="790"/>
      <c r="MM46" s="790"/>
      <c r="MN46" s="790"/>
      <c r="MO46" s="790"/>
      <c r="MP46" s="790"/>
      <c r="MQ46" s="790"/>
      <c r="MR46" s="790"/>
      <c r="MS46" s="790"/>
      <c r="MT46" s="790"/>
      <c r="MU46" s="790"/>
      <c r="MV46" s="790"/>
      <c r="MW46" s="790"/>
      <c r="MX46" s="790"/>
      <c r="MY46" s="790"/>
      <c r="MZ46" s="790"/>
      <c r="NA46" s="790"/>
      <c r="NB46" s="790"/>
      <c r="NC46" s="790"/>
      <c r="ND46" s="790"/>
      <c r="NE46" s="790"/>
      <c r="NF46" s="790"/>
      <c r="NG46" s="790"/>
      <c r="NH46" s="790"/>
      <c r="NI46" s="790"/>
      <c r="NJ46" s="790"/>
      <c r="NK46" s="790"/>
      <c r="NL46" s="790"/>
      <c r="NM46" s="790"/>
      <c r="NN46" s="790"/>
      <c r="NO46" s="790"/>
      <c r="NP46" s="790"/>
      <c r="NQ46" s="790"/>
      <c r="NR46" s="790"/>
      <c r="NS46" s="790"/>
      <c r="NT46" s="790"/>
      <c r="NU46" s="790"/>
      <c r="NV46" s="790"/>
      <c r="NW46" s="790"/>
      <c r="NX46" s="790"/>
      <c r="NY46" s="790"/>
      <c r="NZ46" s="790"/>
      <c r="OA46" s="790"/>
      <c r="OB46" s="790"/>
      <c r="OC46" s="790"/>
      <c r="OD46" s="790"/>
      <c r="OE46" s="790"/>
      <c r="OF46" s="790"/>
      <c r="OG46" s="790"/>
      <c r="OH46" s="790"/>
      <c r="OI46" s="790"/>
      <c r="OJ46" s="790"/>
      <c r="OK46" s="790"/>
      <c r="OL46" s="790"/>
      <c r="OM46" s="790"/>
      <c r="ON46" s="790"/>
      <c r="OO46" s="790"/>
      <c r="OP46" s="790"/>
      <c r="OQ46" s="790"/>
      <c r="OR46" s="790"/>
      <c r="OS46" s="790"/>
      <c r="OT46" s="790"/>
      <c r="OU46" s="790"/>
      <c r="OV46" s="790"/>
      <c r="OW46" s="790"/>
      <c r="OX46" s="790"/>
      <c r="OY46" s="790"/>
      <c r="OZ46" s="790"/>
      <c r="PA46" s="790"/>
      <c r="PB46" s="790"/>
      <c r="PC46" s="790"/>
      <c r="PD46" s="790"/>
      <c r="PE46" s="790"/>
      <c r="PF46" s="790"/>
      <c r="PG46" s="790"/>
      <c r="PH46" s="790"/>
      <c r="PI46" s="790"/>
      <c r="PJ46" s="790"/>
      <c r="PK46" s="790"/>
      <c r="PL46" s="790"/>
      <c r="PM46" s="790"/>
      <c r="PN46" s="790"/>
      <c r="PO46" s="790"/>
      <c r="PP46" s="790"/>
      <c r="PQ46" s="790"/>
      <c r="PR46" s="790"/>
      <c r="PS46" s="790"/>
      <c r="PT46" s="790"/>
      <c r="PU46" s="790"/>
      <c r="PV46" s="790"/>
      <c r="PW46" s="790"/>
      <c r="PX46" s="790"/>
      <c r="PY46" s="790"/>
      <c r="PZ46" s="790"/>
      <c r="QA46" s="790"/>
      <c r="QB46" s="790"/>
      <c r="QC46" s="790"/>
      <c r="QD46" s="790"/>
      <c r="QE46" s="790"/>
      <c r="QF46" s="790"/>
      <c r="QG46" s="790"/>
      <c r="QH46" s="790"/>
      <c r="QI46" s="790"/>
      <c r="QJ46" s="790"/>
      <c r="QK46" s="790"/>
      <c r="QL46" s="790"/>
      <c r="QM46" s="790"/>
      <c r="QN46" s="790"/>
      <c r="QO46" s="790"/>
      <c r="QP46" s="790"/>
      <c r="QQ46" s="790"/>
      <c r="QR46" s="790"/>
      <c r="QS46" s="790"/>
      <c r="QT46" s="790"/>
      <c r="QU46" s="790"/>
      <c r="QV46" s="790"/>
      <c r="QW46" s="790"/>
      <c r="QX46" s="790"/>
      <c r="QY46" s="790"/>
      <c r="QZ46" s="790"/>
      <c r="RA46" s="790"/>
      <c r="RB46" s="790"/>
      <c r="RC46" s="790"/>
      <c r="RD46" s="790"/>
      <c r="RE46" s="790"/>
      <c r="RF46" s="790"/>
      <c r="RG46" s="790"/>
      <c r="RH46" s="790"/>
      <c r="RI46" s="790"/>
      <c r="RJ46" s="790"/>
      <c r="RK46" s="790"/>
      <c r="RL46" s="790"/>
      <c r="RM46" s="790"/>
      <c r="RN46" s="790"/>
      <c r="RO46" s="790"/>
      <c r="RP46" s="790"/>
      <c r="RQ46" s="790"/>
      <c r="RR46" s="790"/>
      <c r="RS46" s="790"/>
      <c r="RT46" s="790"/>
      <c r="RU46" s="790"/>
      <c r="RV46" s="790"/>
      <c r="RW46" s="790"/>
      <c r="RX46" s="790"/>
    </row>
    <row r="47" spans="1:492" s="166" customFormat="1">
      <c r="A47" s="790"/>
      <c r="B47" s="790"/>
      <c r="C47" s="790"/>
      <c r="D47" s="790"/>
      <c r="E47" s="790"/>
      <c r="F47" s="790"/>
      <c r="G47" s="790"/>
      <c r="H47" s="790"/>
      <c r="I47" s="790"/>
      <c r="J47" s="790"/>
      <c r="K47" s="790"/>
      <c r="L47" s="790"/>
      <c r="M47" s="790"/>
      <c r="N47" s="790"/>
      <c r="O47" s="790"/>
      <c r="P47" s="790"/>
      <c r="Q47" s="790"/>
      <c r="R47" s="790"/>
      <c r="S47" s="790"/>
      <c r="T47" s="790"/>
      <c r="U47" s="790"/>
      <c r="V47" s="790"/>
      <c r="W47" s="790"/>
      <c r="X47" s="790"/>
      <c r="Y47" s="790"/>
      <c r="Z47" s="790"/>
      <c r="AA47" s="790"/>
      <c r="AB47" s="790"/>
      <c r="AC47" s="790"/>
      <c r="AD47" s="790"/>
      <c r="AE47" s="790"/>
      <c r="AF47" s="790"/>
      <c r="AG47" s="790"/>
      <c r="AH47" s="790"/>
      <c r="AI47" s="790"/>
      <c r="AJ47" s="790"/>
      <c r="AK47" s="790"/>
      <c r="AL47" s="790"/>
      <c r="AM47" s="781"/>
      <c r="AN47" s="781"/>
      <c r="AO47" s="781"/>
      <c r="AP47" s="781"/>
      <c r="AQ47" s="781"/>
      <c r="AR47" s="781"/>
      <c r="AS47" s="781"/>
      <c r="AT47" s="781"/>
      <c r="AU47" s="781"/>
      <c r="AV47" s="781"/>
      <c r="AW47" s="796"/>
      <c r="AX47" s="796"/>
      <c r="AY47" s="796"/>
      <c r="AZ47" s="796"/>
      <c r="BA47" s="781"/>
      <c r="BB47" s="781"/>
      <c r="BC47" s="781"/>
      <c r="BD47" s="781"/>
      <c r="BE47" s="781"/>
      <c r="BF47" s="781"/>
      <c r="BG47" s="781"/>
      <c r="BH47" s="781"/>
      <c r="BI47" s="781"/>
      <c r="BJ47" s="781"/>
      <c r="BK47" s="781"/>
      <c r="BL47" s="781"/>
      <c r="BM47" s="781"/>
      <c r="BN47" s="781"/>
      <c r="BO47" s="781"/>
      <c r="BP47" s="781"/>
      <c r="BQ47" s="781"/>
      <c r="BR47" s="781"/>
      <c r="BS47" s="781"/>
      <c r="BT47" s="781"/>
      <c r="BU47" s="781"/>
      <c r="BV47" s="790"/>
      <c r="BW47" s="790"/>
      <c r="BX47" s="790"/>
      <c r="BY47" s="790"/>
      <c r="BZ47" s="790"/>
      <c r="CA47" s="790"/>
      <c r="CB47" s="790"/>
      <c r="CC47" s="790"/>
      <c r="CD47" s="790"/>
      <c r="CE47" s="790"/>
      <c r="CF47" s="790"/>
      <c r="CG47" s="790"/>
      <c r="CH47" s="790"/>
      <c r="CI47" s="790"/>
      <c r="CJ47" s="790"/>
      <c r="CK47" s="790"/>
      <c r="CL47" s="790"/>
      <c r="CM47" s="790"/>
      <c r="CN47" s="790"/>
      <c r="CO47" s="790"/>
      <c r="CP47" s="790"/>
      <c r="CQ47" s="790"/>
      <c r="CR47" s="790"/>
      <c r="CS47" s="790"/>
      <c r="CT47" s="790"/>
      <c r="CU47" s="790"/>
      <c r="CV47" s="790"/>
      <c r="CW47" s="790"/>
      <c r="CX47" s="790"/>
      <c r="CY47" s="790"/>
      <c r="CZ47" s="790"/>
      <c r="DA47" s="790"/>
      <c r="DB47" s="790"/>
      <c r="DC47" s="790"/>
      <c r="DD47" s="790"/>
      <c r="DE47" s="790"/>
      <c r="DF47" s="790"/>
      <c r="DG47" s="790"/>
      <c r="DH47" s="790"/>
      <c r="DI47" s="790"/>
      <c r="DJ47" s="790"/>
      <c r="DK47" s="790"/>
      <c r="DL47" s="790"/>
      <c r="DM47" s="790"/>
      <c r="DN47" s="790"/>
      <c r="DO47" s="790"/>
      <c r="DP47" s="790"/>
      <c r="DQ47" s="790"/>
      <c r="DR47" s="790"/>
      <c r="DS47" s="790"/>
      <c r="DT47" s="790"/>
      <c r="DU47" s="790"/>
      <c r="DV47" s="790"/>
      <c r="DW47" s="790"/>
      <c r="DX47" s="790"/>
      <c r="DY47" s="790"/>
      <c r="DZ47" s="790"/>
      <c r="EA47" s="790"/>
      <c r="EB47" s="790"/>
      <c r="EC47" s="790"/>
      <c r="ED47" s="790"/>
      <c r="EE47" s="790"/>
      <c r="EF47" s="790"/>
      <c r="EG47" s="790"/>
      <c r="EH47" s="790"/>
      <c r="EI47" s="790"/>
      <c r="EJ47" s="790"/>
      <c r="EK47" s="790"/>
      <c r="EL47" s="790"/>
      <c r="EM47" s="790"/>
      <c r="EN47" s="790"/>
      <c r="EO47" s="790"/>
      <c r="EP47" s="790"/>
      <c r="EQ47" s="790"/>
      <c r="ER47" s="790"/>
      <c r="ES47" s="790"/>
      <c r="ET47" s="790"/>
      <c r="EU47" s="790"/>
      <c r="EV47" s="790"/>
      <c r="EW47" s="790"/>
      <c r="EX47" s="790"/>
      <c r="EY47" s="790"/>
      <c r="EZ47" s="790"/>
      <c r="FA47" s="790"/>
      <c r="FB47" s="790"/>
      <c r="FC47" s="790"/>
      <c r="FD47" s="790"/>
      <c r="FE47" s="790"/>
      <c r="FF47" s="790"/>
      <c r="FG47" s="790"/>
      <c r="FH47" s="790"/>
      <c r="FI47" s="790"/>
      <c r="FJ47" s="790"/>
      <c r="FK47" s="790"/>
      <c r="FL47" s="790"/>
      <c r="FM47" s="790"/>
      <c r="FN47" s="790"/>
      <c r="FO47" s="790"/>
      <c r="FP47" s="790"/>
      <c r="FQ47" s="790"/>
      <c r="FR47" s="790"/>
      <c r="FS47" s="790"/>
      <c r="FT47" s="790"/>
      <c r="FU47" s="790"/>
      <c r="FV47" s="790"/>
      <c r="FW47" s="790"/>
      <c r="FX47" s="790"/>
      <c r="FY47" s="790"/>
      <c r="FZ47" s="790"/>
      <c r="GA47" s="790"/>
      <c r="GB47" s="790"/>
      <c r="GC47" s="790"/>
      <c r="GD47" s="790"/>
      <c r="GE47" s="790"/>
      <c r="GF47" s="790"/>
      <c r="GG47" s="790"/>
      <c r="GH47" s="790"/>
      <c r="GI47" s="790"/>
      <c r="GJ47" s="790"/>
      <c r="GK47" s="790"/>
      <c r="GL47" s="790"/>
      <c r="GM47" s="790"/>
      <c r="GN47" s="790"/>
      <c r="GO47" s="790"/>
      <c r="GP47" s="790"/>
      <c r="GQ47" s="790"/>
      <c r="GR47" s="790"/>
      <c r="GS47" s="790"/>
      <c r="GT47" s="790"/>
      <c r="GU47" s="790"/>
      <c r="GV47" s="790"/>
      <c r="GW47" s="790"/>
      <c r="GX47" s="790"/>
      <c r="GY47" s="790"/>
      <c r="GZ47" s="790"/>
      <c r="HA47" s="790"/>
      <c r="HB47" s="790"/>
      <c r="HC47" s="790"/>
      <c r="HD47" s="790"/>
      <c r="HE47" s="790"/>
      <c r="HF47" s="790"/>
      <c r="HG47" s="790"/>
      <c r="HH47" s="790"/>
      <c r="HI47" s="790"/>
      <c r="HJ47" s="790"/>
      <c r="HK47" s="790"/>
      <c r="HL47" s="790"/>
      <c r="HM47" s="790"/>
      <c r="HN47" s="790"/>
      <c r="HO47" s="790"/>
      <c r="HP47" s="790"/>
      <c r="HQ47" s="790"/>
      <c r="HR47" s="790"/>
      <c r="HS47" s="790"/>
      <c r="HT47" s="790"/>
      <c r="HU47" s="790"/>
      <c r="HV47" s="790"/>
      <c r="HW47" s="790"/>
      <c r="HX47" s="790"/>
      <c r="HY47" s="790"/>
      <c r="HZ47" s="790"/>
      <c r="IA47" s="790"/>
      <c r="IB47" s="790"/>
      <c r="IC47" s="790"/>
      <c r="ID47" s="790"/>
      <c r="IE47" s="790"/>
      <c r="IF47" s="790"/>
      <c r="IG47" s="790"/>
      <c r="IH47" s="790"/>
      <c r="II47" s="790"/>
      <c r="IJ47" s="790"/>
      <c r="IK47" s="790"/>
      <c r="IL47" s="790"/>
      <c r="IM47" s="790"/>
      <c r="IN47" s="790"/>
      <c r="IO47" s="790"/>
      <c r="IP47" s="790"/>
      <c r="IQ47" s="790"/>
      <c r="IR47" s="790"/>
      <c r="IS47" s="790"/>
      <c r="IT47" s="790"/>
      <c r="IU47" s="790"/>
      <c r="IV47" s="790"/>
      <c r="IW47" s="790"/>
      <c r="IX47" s="790"/>
      <c r="IY47" s="790"/>
      <c r="IZ47" s="790"/>
      <c r="JA47" s="790"/>
      <c r="JB47" s="790"/>
      <c r="JC47" s="790"/>
      <c r="JD47" s="790"/>
      <c r="JE47" s="790"/>
      <c r="JF47" s="790"/>
      <c r="JG47" s="790"/>
      <c r="JH47" s="790"/>
      <c r="JI47" s="790"/>
      <c r="JJ47" s="790"/>
      <c r="JK47" s="790"/>
      <c r="JL47" s="790"/>
      <c r="JM47" s="790"/>
      <c r="JN47" s="790"/>
      <c r="JO47" s="790"/>
      <c r="JP47" s="790"/>
      <c r="JQ47" s="790"/>
      <c r="JR47" s="790"/>
      <c r="JS47" s="790"/>
      <c r="JT47" s="790"/>
      <c r="JU47" s="790"/>
      <c r="JV47" s="790"/>
      <c r="JW47" s="790"/>
      <c r="JX47" s="790"/>
      <c r="JY47" s="790"/>
      <c r="JZ47" s="790"/>
      <c r="KA47" s="790"/>
      <c r="KB47" s="790"/>
      <c r="KC47" s="790"/>
      <c r="KD47" s="790"/>
      <c r="KE47" s="790"/>
      <c r="KF47" s="790"/>
      <c r="KG47" s="790"/>
      <c r="KH47" s="790"/>
      <c r="KI47" s="790"/>
      <c r="KJ47" s="790"/>
      <c r="KK47" s="790"/>
      <c r="KL47" s="790"/>
      <c r="KM47" s="790"/>
      <c r="KN47" s="790"/>
      <c r="KO47" s="790"/>
      <c r="KP47" s="790"/>
      <c r="KQ47" s="790"/>
      <c r="KR47" s="790"/>
      <c r="KS47" s="790"/>
      <c r="KT47" s="790"/>
      <c r="KU47" s="790"/>
      <c r="KV47" s="790"/>
      <c r="KW47" s="790"/>
      <c r="KX47" s="790"/>
      <c r="KY47" s="790"/>
      <c r="KZ47" s="790"/>
      <c r="LA47" s="790"/>
      <c r="LB47" s="790"/>
      <c r="LC47" s="790"/>
      <c r="LD47" s="790"/>
      <c r="LE47" s="790"/>
      <c r="LF47" s="790"/>
      <c r="LG47" s="790"/>
      <c r="LH47" s="790"/>
      <c r="LI47" s="790"/>
      <c r="LJ47" s="790"/>
      <c r="LK47" s="790"/>
      <c r="LL47" s="790"/>
      <c r="LM47" s="790"/>
      <c r="LN47" s="790"/>
      <c r="LO47" s="790"/>
      <c r="LP47" s="790"/>
      <c r="LQ47" s="790"/>
      <c r="LR47" s="790"/>
      <c r="LS47" s="790"/>
      <c r="LT47" s="790"/>
      <c r="LU47" s="790"/>
      <c r="LV47" s="790"/>
      <c r="LW47" s="790"/>
      <c r="LX47" s="790"/>
      <c r="LY47" s="790"/>
      <c r="LZ47" s="790"/>
      <c r="MA47" s="790"/>
      <c r="MB47" s="790"/>
      <c r="MC47" s="790"/>
      <c r="MD47" s="790"/>
      <c r="ME47" s="790"/>
      <c r="MF47" s="790"/>
      <c r="MG47" s="790"/>
      <c r="MH47" s="790"/>
      <c r="MI47" s="790"/>
      <c r="MJ47" s="790"/>
      <c r="MK47" s="790"/>
      <c r="ML47" s="790"/>
      <c r="MM47" s="790"/>
      <c r="MN47" s="790"/>
      <c r="MO47" s="790"/>
      <c r="MP47" s="790"/>
      <c r="MQ47" s="790"/>
      <c r="MR47" s="790"/>
      <c r="MS47" s="790"/>
      <c r="MT47" s="790"/>
      <c r="MU47" s="790"/>
      <c r="MV47" s="790"/>
      <c r="MW47" s="790"/>
      <c r="MX47" s="790"/>
      <c r="MY47" s="790"/>
      <c r="MZ47" s="790"/>
      <c r="NA47" s="790"/>
      <c r="NB47" s="790"/>
      <c r="NC47" s="790"/>
      <c r="ND47" s="790"/>
      <c r="NE47" s="790"/>
      <c r="NF47" s="790"/>
      <c r="NG47" s="790"/>
      <c r="NH47" s="790"/>
      <c r="NI47" s="790"/>
      <c r="NJ47" s="790"/>
      <c r="NK47" s="790"/>
      <c r="NL47" s="790"/>
      <c r="NM47" s="790"/>
      <c r="NN47" s="790"/>
      <c r="NO47" s="790"/>
      <c r="NP47" s="790"/>
      <c r="NQ47" s="790"/>
      <c r="NR47" s="790"/>
      <c r="NS47" s="790"/>
      <c r="NT47" s="790"/>
      <c r="NU47" s="790"/>
      <c r="NV47" s="790"/>
      <c r="NW47" s="790"/>
      <c r="NX47" s="790"/>
      <c r="NY47" s="790"/>
      <c r="NZ47" s="790"/>
      <c r="OA47" s="790"/>
      <c r="OB47" s="790"/>
      <c r="OC47" s="790"/>
      <c r="OD47" s="790"/>
      <c r="OE47" s="790"/>
      <c r="OF47" s="790"/>
      <c r="OG47" s="790"/>
      <c r="OH47" s="790"/>
      <c r="OI47" s="790"/>
      <c r="OJ47" s="790"/>
      <c r="OK47" s="790"/>
      <c r="OL47" s="790"/>
      <c r="OM47" s="790"/>
      <c r="ON47" s="790"/>
      <c r="OO47" s="790"/>
      <c r="OP47" s="790"/>
      <c r="OQ47" s="790"/>
      <c r="OR47" s="790"/>
      <c r="OS47" s="790"/>
      <c r="OT47" s="790"/>
      <c r="OU47" s="790"/>
      <c r="OV47" s="790"/>
      <c r="OW47" s="790"/>
      <c r="OX47" s="790"/>
      <c r="OY47" s="790"/>
      <c r="OZ47" s="790"/>
      <c r="PA47" s="790"/>
      <c r="PB47" s="790"/>
      <c r="PC47" s="790"/>
      <c r="PD47" s="790"/>
      <c r="PE47" s="790"/>
      <c r="PF47" s="790"/>
      <c r="PG47" s="790"/>
      <c r="PH47" s="790"/>
      <c r="PI47" s="790"/>
      <c r="PJ47" s="790"/>
      <c r="PK47" s="790"/>
      <c r="PL47" s="790"/>
      <c r="PM47" s="790"/>
      <c r="PN47" s="790"/>
      <c r="PO47" s="790"/>
      <c r="PP47" s="790"/>
      <c r="PQ47" s="790"/>
      <c r="PR47" s="790"/>
      <c r="PS47" s="790"/>
      <c r="PT47" s="790"/>
      <c r="PU47" s="790"/>
      <c r="PV47" s="790"/>
      <c r="PW47" s="790"/>
      <c r="PX47" s="790"/>
      <c r="PY47" s="790"/>
      <c r="PZ47" s="790"/>
      <c r="QA47" s="790"/>
      <c r="QB47" s="790"/>
      <c r="QC47" s="790"/>
      <c r="QD47" s="790"/>
      <c r="QE47" s="790"/>
      <c r="QF47" s="790"/>
      <c r="QG47" s="790"/>
      <c r="QH47" s="790"/>
      <c r="QI47" s="790"/>
      <c r="QJ47" s="790"/>
      <c r="QK47" s="790"/>
      <c r="QL47" s="790"/>
      <c r="QM47" s="790"/>
      <c r="QN47" s="790"/>
      <c r="QO47" s="790"/>
      <c r="QP47" s="790"/>
      <c r="QQ47" s="790"/>
      <c r="QR47" s="790"/>
      <c r="QS47" s="790"/>
      <c r="QT47" s="790"/>
      <c r="QU47" s="790"/>
      <c r="QV47" s="790"/>
      <c r="QW47" s="790"/>
      <c r="QX47" s="790"/>
      <c r="QY47" s="790"/>
      <c r="QZ47" s="790"/>
      <c r="RA47" s="790"/>
      <c r="RB47" s="790"/>
      <c r="RC47" s="790"/>
      <c r="RD47" s="790"/>
      <c r="RE47" s="790"/>
      <c r="RF47" s="790"/>
      <c r="RG47" s="790"/>
      <c r="RH47" s="790"/>
      <c r="RI47" s="790"/>
      <c r="RJ47" s="790"/>
      <c r="RK47" s="790"/>
      <c r="RL47" s="790"/>
      <c r="RM47" s="790"/>
      <c r="RN47" s="790"/>
      <c r="RO47" s="790"/>
      <c r="RP47" s="790"/>
      <c r="RQ47" s="790"/>
      <c r="RR47" s="790"/>
      <c r="RS47" s="790"/>
      <c r="RT47" s="790"/>
      <c r="RU47" s="790"/>
      <c r="RV47" s="790"/>
      <c r="RW47" s="790"/>
      <c r="RX47" s="790"/>
    </row>
    <row r="48" spans="1:492" s="166" customFormat="1">
      <c r="A48" s="790"/>
      <c r="B48" s="790"/>
      <c r="C48" s="790"/>
      <c r="D48" s="790"/>
      <c r="E48" s="790"/>
      <c r="F48" s="790"/>
      <c r="G48" s="790"/>
      <c r="H48" s="790"/>
      <c r="I48" s="790"/>
      <c r="J48" s="790"/>
      <c r="K48" s="790"/>
      <c r="L48" s="790"/>
      <c r="M48" s="790"/>
      <c r="N48" s="790"/>
      <c r="O48" s="790"/>
      <c r="P48" s="790"/>
      <c r="Q48" s="790"/>
      <c r="R48" s="790"/>
      <c r="S48" s="790"/>
      <c r="T48" s="790"/>
      <c r="U48" s="790"/>
      <c r="V48" s="790"/>
      <c r="W48" s="790"/>
      <c r="X48" s="790"/>
      <c r="Y48" s="790"/>
      <c r="Z48" s="790"/>
      <c r="AA48" s="790"/>
      <c r="AB48" s="790"/>
      <c r="AC48" s="790"/>
      <c r="AD48" s="790"/>
      <c r="AE48" s="790"/>
      <c r="AF48" s="790"/>
      <c r="AG48" s="790"/>
      <c r="AH48" s="790"/>
      <c r="AI48" s="790"/>
      <c r="AJ48" s="790"/>
      <c r="AK48" s="790"/>
      <c r="AL48" s="790"/>
      <c r="AM48" s="781"/>
      <c r="AN48" s="781"/>
      <c r="AO48" s="781"/>
      <c r="AP48" s="781"/>
      <c r="AQ48" s="781"/>
      <c r="AR48" s="781"/>
      <c r="AS48" s="781"/>
      <c r="AT48" s="781"/>
      <c r="AU48" s="781"/>
      <c r="AV48" s="781"/>
      <c r="AW48" s="796"/>
      <c r="AX48" s="796"/>
      <c r="AY48" s="796"/>
      <c r="AZ48" s="796"/>
      <c r="BA48" s="781"/>
      <c r="BB48" s="781"/>
      <c r="BC48" s="781"/>
      <c r="BD48" s="781"/>
      <c r="BE48" s="781"/>
      <c r="BF48" s="781"/>
      <c r="BG48" s="781"/>
      <c r="BH48" s="781"/>
      <c r="BI48" s="781"/>
      <c r="BJ48" s="781"/>
      <c r="BK48" s="781"/>
      <c r="BL48" s="781"/>
      <c r="BM48" s="781"/>
      <c r="BN48" s="781"/>
      <c r="BO48" s="781"/>
      <c r="BP48" s="781"/>
      <c r="BQ48" s="781"/>
      <c r="BR48" s="781"/>
      <c r="BS48" s="781"/>
      <c r="BT48" s="781"/>
      <c r="BU48" s="781"/>
      <c r="BV48" s="790"/>
      <c r="BW48" s="790"/>
      <c r="BX48" s="790"/>
      <c r="BY48" s="790"/>
      <c r="BZ48" s="790"/>
      <c r="CA48" s="790"/>
      <c r="CB48" s="790"/>
      <c r="CC48" s="790"/>
      <c r="CD48" s="790"/>
      <c r="CE48" s="790"/>
      <c r="CF48" s="790"/>
      <c r="CG48" s="790"/>
      <c r="CH48" s="790"/>
      <c r="CI48" s="790"/>
      <c r="CJ48" s="790"/>
      <c r="CK48" s="790"/>
      <c r="CL48" s="790"/>
      <c r="CM48" s="790"/>
      <c r="CN48" s="790"/>
      <c r="CO48" s="790"/>
      <c r="CP48" s="790"/>
      <c r="CQ48" s="790"/>
      <c r="CR48" s="790"/>
      <c r="CS48" s="790"/>
      <c r="CT48" s="790"/>
      <c r="CU48" s="790"/>
      <c r="CV48" s="790"/>
      <c r="CW48" s="790"/>
      <c r="CX48" s="790"/>
      <c r="CY48" s="790"/>
      <c r="CZ48" s="790"/>
      <c r="DA48" s="790"/>
      <c r="DB48" s="790"/>
      <c r="DC48" s="790"/>
      <c r="DD48" s="790"/>
      <c r="DE48" s="790"/>
      <c r="DF48" s="790"/>
      <c r="DG48" s="790"/>
      <c r="DH48" s="790"/>
      <c r="DI48" s="790"/>
      <c r="DJ48" s="790"/>
      <c r="DK48" s="790"/>
      <c r="DL48" s="790"/>
      <c r="DM48" s="790"/>
      <c r="DN48" s="790"/>
      <c r="DO48" s="790"/>
      <c r="DP48" s="790"/>
      <c r="DQ48" s="790"/>
      <c r="DR48" s="790"/>
      <c r="DS48" s="790"/>
      <c r="DT48" s="790"/>
      <c r="DU48" s="790"/>
      <c r="DV48" s="790"/>
      <c r="DW48" s="790"/>
      <c r="DX48" s="790"/>
      <c r="DY48" s="790"/>
      <c r="DZ48" s="790"/>
      <c r="EA48" s="790"/>
      <c r="EB48" s="790"/>
      <c r="EC48" s="790"/>
      <c r="ED48" s="790"/>
      <c r="EE48" s="790"/>
      <c r="EF48" s="790"/>
      <c r="EG48" s="790"/>
      <c r="EH48" s="790"/>
      <c r="EI48" s="790"/>
      <c r="EJ48" s="790"/>
      <c r="EK48" s="790"/>
      <c r="EL48" s="790"/>
      <c r="EM48" s="790"/>
      <c r="EN48" s="790"/>
      <c r="EO48" s="790"/>
      <c r="EP48" s="790"/>
      <c r="EQ48" s="790"/>
      <c r="ER48" s="790"/>
      <c r="ES48" s="790"/>
      <c r="ET48" s="790"/>
      <c r="EU48" s="790"/>
      <c r="EV48" s="790"/>
      <c r="EW48" s="790"/>
      <c r="EX48" s="790"/>
      <c r="EY48" s="790"/>
      <c r="EZ48" s="790"/>
      <c r="FA48" s="790"/>
      <c r="FB48" s="790"/>
      <c r="FC48" s="790"/>
      <c r="FD48" s="790"/>
      <c r="FE48" s="790"/>
      <c r="FF48" s="790"/>
      <c r="FG48" s="790"/>
      <c r="FH48" s="790"/>
      <c r="FI48" s="790"/>
      <c r="FJ48" s="790"/>
      <c r="FK48" s="790"/>
      <c r="FL48" s="790"/>
      <c r="FM48" s="790"/>
      <c r="FN48" s="790"/>
      <c r="FO48" s="790"/>
      <c r="FP48" s="790"/>
      <c r="FQ48" s="790"/>
      <c r="FR48" s="790"/>
      <c r="FS48" s="790"/>
      <c r="FT48" s="790"/>
      <c r="FU48" s="790"/>
      <c r="FV48" s="790"/>
      <c r="FW48" s="790"/>
      <c r="FX48" s="790"/>
      <c r="FY48" s="790"/>
      <c r="FZ48" s="790"/>
      <c r="GA48" s="790"/>
      <c r="GB48" s="790"/>
      <c r="GC48" s="790"/>
      <c r="GD48" s="790"/>
      <c r="GE48" s="790"/>
      <c r="GF48" s="790"/>
      <c r="GG48" s="790"/>
      <c r="GH48" s="790"/>
      <c r="GI48" s="790"/>
      <c r="GJ48" s="790"/>
      <c r="GK48" s="790"/>
      <c r="GL48" s="790"/>
      <c r="GM48" s="790"/>
      <c r="GN48" s="790"/>
      <c r="GO48" s="790"/>
      <c r="GP48" s="790"/>
      <c r="GQ48" s="790"/>
      <c r="GR48" s="790"/>
      <c r="GS48" s="790"/>
      <c r="GT48" s="790"/>
      <c r="GU48" s="790"/>
      <c r="GV48" s="790"/>
      <c r="GW48" s="790"/>
      <c r="GX48" s="790"/>
      <c r="GY48" s="790"/>
      <c r="GZ48" s="790"/>
      <c r="HA48" s="790"/>
      <c r="HB48" s="790"/>
      <c r="HC48" s="790"/>
      <c r="HD48" s="790"/>
      <c r="HE48" s="790"/>
      <c r="HF48" s="790"/>
      <c r="HG48" s="790"/>
      <c r="HH48" s="790"/>
      <c r="HI48" s="790"/>
      <c r="HJ48" s="790"/>
      <c r="HK48" s="790"/>
      <c r="HL48" s="790"/>
      <c r="HM48" s="790"/>
      <c r="HN48" s="790"/>
      <c r="HO48" s="790"/>
      <c r="HP48" s="790"/>
      <c r="HQ48" s="790"/>
      <c r="HR48" s="790"/>
      <c r="HS48" s="790"/>
      <c r="HT48" s="790"/>
      <c r="HU48" s="790"/>
      <c r="HV48" s="790"/>
      <c r="HW48" s="790"/>
      <c r="HX48" s="790"/>
      <c r="HY48" s="790"/>
      <c r="HZ48" s="790"/>
      <c r="IA48" s="790"/>
      <c r="IB48" s="790"/>
      <c r="IC48" s="790"/>
      <c r="ID48" s="790"/>
      <c r="IE48" s="790"/>
      <c r="IF48" s="790"/>
      <c r="IG48" s="790"/>
      <c r="IH48" s="790"/>
      <c r="II48" s="790"/>
      <c r="IJ48" s="790"/>
      <c r="IK48" s="790"/>
      <c r="IL48" s="790"/>
      <c r="IM48" s="790"/>
      <c r="IN48" s="790"/>
      <c r="IO48" s="790"/>
      <c r="IP48" s="790"/>
      <c r="IQ48" s="790"/>
      <c r="IR48" s="790"/>
      <c r="IS48" s="790"/>
      <c r="IT48" s="790"/>
      <c r="IU48" s="790"/>
      <c r="IV48" s="790"/>
      <c r="IW48" s="790"/>
      <c r="IX48" s="790"/>
      <c r="IY48" s="790"/>
      <c r="IZ48" s="790"/>
      <c r="JA48" s="790"/>
      <c r="JB48" s="790"/>
      <c r="JC48" s="790"/>
      <c r="JD48" s="790"/>
      <c r="JE48" s="790"/>
      <c r="JF48" s="790"/>
      <c r="JG48" s="790"/>
      <c r="JH48" s="790"/>
      <c r="JI48" s="790"/>
      <c r="JJ48" s="790"/>
      <c r="JK48" s="790"/>
      <c r="JL48" s="790"/>
      <c r="JM48" s="790"/>
      <c r="JN48" s="790"/>
      <c r="JO48" s="790"/>
      <c r="JP48" s="790"/>
      <c r="JQ48" s="790"/>
      <c r="JR48" s="790"/>
      <c r="JS48" s="790"/>
      <c r="JT48" s="790"/>
      <c r="JU48" s="790"/>
      <c r="JV48" s="790"/>
      <c r="JW48" s="790"/>
      <c r="JX48" s="790"/>
      <c r="JY48" s="790"/>
      <c r="JZ48" s="790"/>
      <c r="KA48" s="790"/>
      <c r="KB48" s="790"/>
      <c r="KC48" s="790"/>
      <c r="KD48" s="790"/>
      <c r="KE48" s="790"/>
      <c r="KF48" s="790"/>
      <c r="KG48" s="790"/>
      <c r="KH48" s="790"/>
      <c r="KI48" s="790"/>
      <c r="KJ48" s="790"/>
      <c r="KK48" s="790"/>
      <c r="KL48" s="790"/>
      <c r="KM48" s="790"/>
      <c r="KN48" s="790"/>
      <c r="KO48" s="790"/>
      <c r="KP48" s="790"/>
      <c r="KQ48" s="790"/>
      <c r="KR48" s="790"/>
      <c r="KS48" s="790"/>
      <c r="KT48" s="790"/>
      <c r="KU48" s="790"/>
      <c r="KV48" s="790"/>
      <c r="KW48" s="790"/>
      <c r="KX48" s="790"/>
      <c r="KY48" s="790"/>
      <c r="KZ48" s="790"/>
      <c r="LA48" s="790"/>
      <c r="LB48" s="790"/>
      <c r="LC48" s="790"/>
      <c r="LD48" s="790"/>
      <c r="LE48" s="790"/>
      <c r="LF48" s="790"/>
      <c r="LG48" s="790"/>
      <c r="LH48" s="790"/>
      <c r="LI48" s="790"/>
      <c r="LJ48" s="790"/>
      <c r="LK48" s="790"/>
      <c r="LL48" s="790"/>
      <c r="LM48" s="790"/>
      <c r="LN48" s="790"/>
      <c r="LO48" s="790"/>
      <c r="LP48" s="790"/>
      <c r="LQ48" s="790"/>
      <c r="LR48" s="790"/>
      <c r="LS48" s="790"/>
      <c r="LT48" s="790"/>
      <c r="LU48" s="790"/>
      <c r="LV48" s="790"/>
      <c r="LW48" s="790"/>
      <c r="LX48" s="790"/>
      <c r="LY48" s="790"/>
      <c r="LZ48" s="790"/>
      <c r="MA48" s="790"/>
      <c r="MB48" s="790"/>
      <c r="MC48" s="790"/>
      <c r="MD48" s="790"/>
      <c r="ME48" s="790"/>
      <c r="MF48" s="790"/>
      <c r="MG48" s="790"/>
      <c r="MH48" s="790"/>
      <c r="MI48" s="790"/>
      <c r="MJ48" s="790"/>
      <c r="MK48" s="790"/>
      <c r="ML48" s="790"/>
      <c r="MM48" s="790"/>
      <c r="MN48" s="790"/>
      <c r="MO48" s="790"/>
      <c r="MP48" s="790"/>
      <c r="MQ48" s="790"/>
      <c r="MR48" s="790"/>
      <c r="MS48" s="790"/>
      <c r="MT48" s="790"/>
      <c r="MU48" s="790"/>
      <c r="MV48" s="790"/>
      <c r="MW48" s="790"/>
      <c r="MX48" s="790"/>
      <c r="MY48" s="790"/>
      <c r="MZ48" s="790"/>
      <c r="NA48" s="790"/>
      <c r="NB48" s="790"/>
      <c r="NC48" s="790"/>
      <c r="ND48" s="790"/>
      <c r="NE48" s="790"/>
      <c r="NF48" s="790"/>
      <c r="NG48" s="790"/>
      <c r="NH48" s="790"/>
      <c r="NI48" s="790"/>
      <c r="NJ48" s="790"/>
      <c r="NK48" s="790"/>
      <c r="NL48" s="790"/>
      <c r="NM48" s="790"/>
      <c r="NN48" s="790"/>
      <c r="NO48" s="790"/>
      <c r="NP48" s="790"/>
      <c r="NQ48" s="790"/>
      <c r="NR48" s="790"/>
      <c r="NS48" s="790"/>
      <c r="NT48" s="790"/>
      <c r="NU48" s="790"/>
      <c r="NV48" s="790"/>
      <c r="NW48" s="790"/>
      <c r="NX48" s="790"/>
      <c r="NY48" s="790"/>
      <c r="NZ48" s="790"/>
      <c r="OA48" s="790"/>
      <c r="OB48" s="790"/>
      <c r="OC48" s="790"/>
      <c r="OD48" s="790"/>
      <c r="OE48" s="790"/>
      <c r="OF48" s="790"/>
      <c r="OG48" s="790"/>
      <c r="OH48" s="790"/>
      <c r="OI48" s="790"/>
      <c r="OJ48" s="790"/>
      <c r="OK48" s="790"/>
      <c r="OL48" s="790"/>
      <c r="OM48" s="790"/>
      <c r="ON48" s="790"/>
      <c r="OO48" s="790"/>
      <c r="OP48" s="790"/>
      <c r="OQ48" s="790"/>
      <c r="OR48" s="790"/>
      <c r="OS48" s="790"/>
      <c r="OT48" s="790"/>
      <c r="OU48" s="790"/>
      <c r="OV48" s="790"/>
      <c r="OW48" s="790"/>
      <c r="OX48" s="790"/>
      <c r="OY48" s="790"/>
      <c r="OZ48" s="790"/>
      <c r="PA48" s="790"/>
      <c r="PB48" s="790"/>
      <c r="PC48" s="790"/>
      <c r="PD48" s="790"/>
      <c r="PE48" s="790"/>
      <c r="PF48" s="790"/>
      <c r="PG48" s="790"/>
      <c r="PH48" s="790"/>
      <c r="PI48" s="790"/>
      <c r="PJ48" s="790"/>
      <c r="PK48" s="790"/>
      <c r="PL48" s="790"/>
      <c r="PM48" s="790"/>
      <c r="PN48" s="790"/>
      <c r="PO48" s="790"/>
      <c r="PP48" s="790"/>
      <c r="PQ48" s="790"/>
      <c r="PR48" s="790"/>
      <c r="PS48" s="790"/>
      <c r="PT48" s="790"/>
      <c r="PU48" s="790"/>
      <c r="PV48" s="790"/>
      <c r="PW48" s="790"/>
      <c r="PX48" s="790"/>
      <c r="PY48" s="790"/>
      <c r="PZ48" s="790"/>
      <c r="QA48" s="790"/>
      <c r="QB48" s="790"/>
      <c r="QC48" s="790"/>
      <c r="QD48" s="790"/>
      <c r="QE48" s="790"/>
      <c r="QF48" s="790"/>
      <c r="QG48" s="790"/>
      <c r="QH48" s="790"/>
      <c r="QI48" s="790"/>
      <c r="QJ48" s="790"/>
      <c r="QK48" s="790"/>
      <c r="QL48" s="790"/>
      <c r="QM48" s="790"/>
      <c r="QN48" s="790"/>
      <c r="QO48" s="790"/>
      <c r="QP48" s="790"/>
      <c r="QQ48" s="790"/>
      <c r="QR48" s="790"/>
      <c r="QS48" s="790"/>
      <c r="QT48" s="790"/>
      <c r="QU48" s="790"/>
      <c r="QV48" s="790"/>
      <c r="QW48" s="790"/>
      <c r="QX48" s="790"/>
      <c r="QY48" s="790"/>
      <c r="QZ48" s="790"/>
      <c r="RA48" s="790"/>
      <c r="RB48" s="790"/>
      <c r="RC48" s="790"/>
      <c r="RD48" s="790"/>
      <c r="RE48" s="790"/>
      <c r="RF48" s="790"/>
      <c r="RG48" s="790"/>
      <c r="RH48" s="790"/>
      <c r="RI48" s="790"/>
      <c r="RJ48" s="790"/>
      <c r="RK48" s="790"/>
      <c r="RL48" s="790"/>
      <c r="RM48" s="790"/>
      <c r="RN48" s="790"/>
      <c r="RO48" s="790"/>
      <c r="RP48" s="790"/>
      <c r="RQ48" s="790"/>
      <c r="RR48" s="790"/>
      <c r="RS48" s="790"/>
      <c r="RT48" s="790"/>
      <c r="RU48" s="790"/>
      <c r="RV48" s="790"/>
      <c r="RW48" s="790"/>
      <c r="RX48" s="790"/>
    </row>
    <row r="49" spans="1:492" s="166" customFormat="1">
      <c r="A49" s="790"/>
      <c r="B49" s="790"/>
      <c r="C49" s="790"/>
      <c r="D49" s="790"/>
      <c r="E49" s="790"/>
      <c r="F49" s="790"/>
      <c r="G49" s="790"/>
      <c r="H49" s="790"/>
      <c r="I49" s="790"/>
      <c r="J49" s="790"/>
      <c r="K49" s="790"/>
      <c r="L49" s="790"/>
      <c r="M49" s="790"/>
      <c r="N49" s="790"/>
      <c r="O49" s="790"/>
      <c r="P49" s="790"/>
      <c r="Q49" s="790"/>
      <c r="R49" s="790"/>
      <c r="S49" s="790"/>
      <c r="T49" s="790"/>
      <c r="U49" s="790"/>
      <c r="V49" s="790"/>
      <c r="W49" s="790"/>
      <c r="X49" s="790"/>
      <c r="Y49" s="790"/>
      <c r="Z49" s="790"/>
      <c r="AA49" s="790"/>
      <c r="AB49" s="790"/>
      <c r="AC49" s="790"/>
      <c r="AD49" s="790"/>
      <c r="AE49" s="790"/>
      <c r="AF49" s="790"/>
      <c r="AG49" s="790"/>
      <c r="AH49" s="790"/>
      <c r="AI49" s="790"/>
      <c r="AJ49" s="790"/>
      <c r="AK49" s="790"/>
      <c r="AL49" s="790"/>
      <c r="AM49" s="781"/>
      <c r="AN49" s="781"/>
      <c r="AO49" s="781"/>
      <c r="AP49" s="781"/>
      <c r="AQ49" s="781"/>
      <c r="AR49" s="781"/>
      <c r="AS49" s="781"/>
      <c r="AT49" s="781"/>
      <c r="AU49" s="781"/>
      <c r="AV49" s="781"/>
      <c r="AW49" s="796"/>
      <c r="AX49" s="796"/>
      <c r="AY49" s="796"/>
      <c r="AZ49" s="796"/>
      <c r="BA49" s="781"/>
      <c r="BB49" s="781"/>
      <c r="BC49" s="781"/>
      <c r="BD49" s="781"/>
      <c r="BE49" s="781"/>
      <c r="BF49" s="781"/>
      <c r="BG49" s="781"/>
      <c r="BH49" s="781"/>
      <c r="BI49" s="781"/>
      <c r="BJ49" s="781"/>
      <c r="BK49" s="781"/>
      <c r="BL49" s="781"/>
      <c r="BM49" s="781"/>
      <c r="BN49" s="781"/>
      <c r="BO49" s="781"/>
      <c r="BP49" s="781"/>
      <c r="BQ49" s="781"/>
      <c r="BR49" s="781"/>
      <c r="BS49" s="781"/>
      <c r="BT49" s="781"/>
      <c r="BU49" s="781"/>
      <c r="BV49" s="790"/>
      <c r="BW49" s="790"/>
      <c r="BX49" s="790"/>
      <c r="BY49" s="790"/>
      <c r="BZ49" s="790"/>
      <c r="CA49" s="790"/>
      <c r="CB49" s="790"/>
      <c r="CC49" s="790"/>
      <c r="CD49" s="790"/>
      <c r="CE49" s="790"/>
      <c r="CF49" s="790"/>
      <c r="CG49" s="790"/>
      <c r="CH49" s="790"/>
      <c r="CI49" s="790"/>
      <c r="CJ49" s="790"/>
      <c r="CK49" s="790"/>
      <c r="CL49" s="790"/>
      <c r="CM49" s="790"/>
      <c r="CN49" s="790"/>
      <c r="CO49" s="790"/>
      <c r="CP49" s="790"/>
      <c r="CQ49" s="790"/>
      <c r="CR49" s="790"/>
      <c r="CS49" s="790"/>
      <c r="CT49" s="790"/>
      <c r="CU49" s="790"/>
      <c r="CV49" s="790"/>
      <c r="CW49" s="790"/>
      <c r="CX49" s="790"/>
      <c r="CY49" s="790"/>
      <c r="CZ49" s="790"/>
      <c r="DA49" s="790"/>
      <c r="DB49" s="790"/>
      <c r="DC49" s="790"/>
      <c r="DD49" s="790"/>
      <c r="DE49" s="790"/>
      <c r="DF49" s="790"/>
      <c r="DG49" s="790"/>
      <c r="DH49" s="790"/>
      <c r="DI49" s="790"/>
      <c r="DJ49" s="790"/>
      <c r="DK49" s="790"/>
      <c r="DL49" s="790"/>
      <c r="DM49" s="790"/>
      <c r="DN49" s="790"/>
      <c r="DO49" s="790"/>
      <c r="DP49" s="790"/>
      <c r="DQ49" s="790"/>
      <c r="DR49" s="790"/>
      <c r="DS49" s="790"/>
      <c r="DT49" s="790"/>
      <c r="DU49" s="790"/>
      <c r="DV49" s="790"/>
      <c r="DW49" s="790"/>
      <c r="DX49" s="790"/>
      <c r="DY49" s="790"/>
      <c r="DZ49" s="790"/>
      <c r="EA49" s="790"/>
      <c r="EB49" s="790"/>
      <c r="EC49" s="790"/>
      <c r="ED49" s="790"/>
      <c r="EE49" s="790"/>
      <c r="EF49" s="790"/>
      <c r="EG49" s="790"/>
      <c r="EH49" s="790"/>
      <c r="EI49" s="790"/>
      <c r="EJ49" s="790"/>
      <c r="EK49" s="790"/>
      <c r="EL49" s="790"/>
      <c r="EM49" s="790"/>
      <c r="EN49" s="790"/>
      <c r="EO49" s="790"/>
      <c r="EP49" s="790"/>
      <c r="EQ49" s="790"/>
      <c r="ER49" s="790"/>
      <c r="ES49" s="790"/>
      <c r="ET49" s="790"/>
      <c r="EU49" s="790"/>
      <c r="EV49" s="790"/>
      <c r="EW49" s="790"/>
      <c r="EX49" s="790"/>
      <c r="EY49" s="790"/>
      <c r="EZ49" s="790"/>
      <c r="FA49" s="790"/>
      <c r="FB49" s="790"/>
      <c r="FC49" s="790"/>
      <c r="FD49" s="790"/>
      <c r="FE49" s="790"/>
      <c r="FF49" s="790"/>
      <c r="FG49" s="790"/>
      <c r="FH49" s="790"/>
      <c r="FI49" s="790"/>
      <c r="FJ49" s="790"/>
      <c r="FK49" s="790"/>
      <c r="FL49" s="790"/>
      <c r="FM49" s="790"/>
      <c r="FN49" s="790"/>
      <c r="FO49" s="790"/>
      <c r="FP49" s="790"/>
      <c r="FQ49" s="790"/>
      <c r="FR49" s="790"/>
      <c r="FS49" s="790"/>
      <c r="FT49" s="790"/>
      <c r="FU49" s="790"/>
      <c r="FV49" s="790"/>
      <c r="FW49" s="790"/>
      <c r="FX49" s="790"/>
      <c r="FY49" s="790"/>
      <c r="FZ49" s="790"/>
      <c r="GA49" s="790"/>
      <c r="GB49" s="790"/>
      <c r="GC49" s="790"/>
      <c r="GD49" s="790"/>
      <c r="GE49" s="790"/>
      <c r="GF49" s="790"/>
      <c r="GG49" s="790"/>
      <c r="GH49" s="790"/>
      <c r="GI49" s="790"/>
      <c r="GJ49" s="790"/>
      <c r="GK49" s="790"/>
      <c r="GL49" s="790"/>
      <c r="GM49" s="790"/>
      <c r="GN49" s="790"/>
      <c r="GO49" s="790"/>
      <c r="GP49" s="790"/>
      <c r="GQ49" s="790"/>
      <c r="GR49" s="790"/>
      <c r="GS49" s="790"/>
      <c r="GT49" s="790"/>
      <c r="GU49" s="790"/>
      <c r="GV49" s="790"/>
      <c r="GW49" s="790"/>
      <c r="GX49" s="790"/>
      <c r="GY49" s="790"/>
      <c r="GZ49" s="790"/>
      <c r="HA49" s="790"/>
      <c r="HB49" s="790"/>
      <c r="HC49" s="790"/>
      <c r="HD49" s="790"/>
      <c r="HE49" s="790"/>
      <c r="HF49" s="790"/>
      <c r="HG49" s="790"/>
      <c r="HH49" s="790"/>
      <c r="HI49" s="790"/>
      <c r="HJ49" s="790"/>
      <c r="HK49" s="790"/>
      <c r="HL49" s="790"/>
      <c r="HM49" s="790"/>
      <c r="HN49" s="790"/>
      <c r="HO49" s="790"/>
      <c r="HP49" s="790"/>
      <c r="HQ49" s="790"/>
      <c r="HR49" s="790"/>
      <c r="HS49" s="790"/>
      <c r="HT49" s="790"/>
      <c r="HU49" s="790"/>
      <c r="HV49" s="790"/>
      <c r="HW49" s="790"/>
      <c r="HX49" s="790"/>
      <c r="HY49" s="790"/>
      <c r="HZ49" s="790"/>
      <c r="IA49" s="790"/>
      <c r="IB49" s="790"/>
      <c r="IC49" s="790"/>
      <c r="ID49" s="790"/>
      <c r="IE49" s="790"/>
      <c r="IF49" s="790"/>
      <c r="IG49" s="790"/>
      <c r="IH49" s="790"/>
      <c r="II49" s="790"/>
      <c r="IJ49" s="790"/>
      <c r="IK49" s="790"/>
      <c r="IL49" s="790"/>
      <c r="IM49" s="790"/>
      <c r="IN49" s="790"/>
      <c r="IO49" s="790"/>
      <c r="IP49" s="790"/>
      <c r="IQ49" s="790"/>
      <c r="IR49" s="790"/>
      <c r="IS49" s="790"/>
      <c r="IT49" s="790"/>
      <c r="IU49" s="790"/>
      <c r="IV49" s="790"/>
      <c r="IW49" s="790"/>
      <c r="IX49" s="790"/>
      <c r="IY49" s="790"/>
      <c r="IZ49" s="790"/>
      <c r="JA49" s="790"/>
      <c r="JB49" s="790"/>
      <c r="JC49" s="790"/>
      <c r="JD49" s="790"/>
      <c r="JE49" s="790"/>
      <c r="JF49" s="790"/>
      <c r="JG49" s="790"/>
      <c r="JH49" s="790"/>
      <c r="JI49" s="790"/>
      <c r="JJ49" s="790"/>
      <c r="JK49" s="790"/>
      <c r="JL49" s="790"/>
      <c r="JM49" s="790"/>
      <c r="JN49" s="790"/>
      <c r="JO49" s="790"/>
      <c r="JP49" s="790"/>
      <c r="JQ49" s="790"/>
      <c r="JR49" s="790"/>
      <c r="JS49" s="790"/>
      <c r="JT49" s="790"/>
      <c r="JU49" s="790"/>
      <c r="JV49" s="790"/>
      <c r="JW49" s="790"/>
      <c r="JX49" s="790"/>
      <c r="JY49" s="790"/>
      <c r="JZ49" s="790"/>
      <c r="KA49" s="790"/>
      <c r="KB49" s="790"/>
      <c r="KC49" s="790"/>
      <c r="KD49" s="790"/>
      <c r="KE49" s="790"/>
      <c r="KF49" s="790"/>
      <c r="KG49" s="790"/>
      <c r="KH49" s="790"/>
      <c r="KI49" s="790"/>
      <c r="KJ49" s="790"/>
      <c r="KK49" s="790"/>
      <c r="KL49" s="790"/>
      <c r="KM49" s="790"/>
      <c r="KN49" s="790"/>
      <c r="KO49" s="790"/>
      <c r="KP49" s="790"/>
      <c r="KQ49" s="790"/>
      <c r="KR49" s="790"/>
      <c r="KS49" s="790"/>
      <c r="KT49" s="790"/>
      <c r="KU49" s="790"/>
      <c r="KV49" s="790"/>
      <c r="KW49" s="790"/>
      <c r="KX49" s="790"/>
      <c r="KY49" s="790"/>
      <c r="KZ49" s="790"/>
      <c r="LA49" s="790"/>
      <c r="LB49" s="790"/>
      <c r="LC49" s="790"/>
      <c r="LD49" s="790"/>
      <c r="LE49" s="790"/>
      <c r="LF49" s="790"/>
      <c r="LG49" s="790"/>
      <c r="LH49" s="790"/>
      <c r="LI49" s="790"/>
      <c r="LJ49" s="790"/>
      <c r="LK49" s="790"/>
      <c r="LL49" s="790"/>
      <c r="LM49" s="790"/>
      <c r="LN49" s="790"/>
      <c r="LO49" s="790"/>
      <c r="LP49" s="790"/>
      <c r="LQ49" s="790"/>
      <c r="LR49" s="790"/>
      <c r="LS49" s="790"/>
      <c r="LT49" s="790"/>
      <c r="LU49" s="790"/>
      <c r="LV49" s="790"/>
      <c r="LW49" s="790"/>
      <c r="LX49" s="790"/>
      <c r="LY49" s="790"/>
      <c r="LZ49" s="790"/>
      <c r="MA49" s="790"/>
      <c r="MB49" s="790"/>
      <c r="MC49" s="790"/>
      <c r="MD49" s="790"/>
      <c r="ME49" s="790"/>
      <c r="MF49" s="790"/>
      <c r="MG49" s="790"/>
      <c r="MH49" s="790"/>
      <c r="MI49" s="790"/>
      <c r="MJ49" s="790"/>
      <c r="MK49" s="790"/>
      <c r="ML49" s="790"/>
      <c r="MM49" s="790"/>
      <c r="MN49" s="790"/>
      <c r="MO49" s="790"/>
      <c r="MP49" s="790"/>
      <c r="MQ49" s="790"/>
      <c r="MR49" s="790"/>
      <c r="MS49" s="790"/>
      <c r="MT49" s="790"/>
      <c r="MU49" s="790"/>
      <c r="MV49" s="790"/>
      <c r="MW49" s="790"/>
      <c r="MX49" s="790"/>
      <c r="MY49" s="790"/>
      <c r="MZ49" s="790"/>
      <c r="NA49" s="790"/>
      <c r="NB49" s="790"/>
      <c r="NC49" s="790"/>
      <c r="ND49" s="790"/>
      <c r="NE49" s="790"/>
      <c r="NF49" s="790"/>
      <c r="NG49" s="790"/>
      <c r="NH49" s="790"/>
      <c r="NI49" s="790"/>
      <c r="NJ49" s="790"/>
      <c r="NK49" s="790"/>
      <c r="NL49" s="790"/>
      <c r="NM49" s="790"/>
      <c r="NN49" s="790"/>
      <c r="NO49" s="790"/>
      <c r="NP49" s="790"/>
      <c r="NQ49" s="790"/>
      <c r="NR49" s="790"/>
      <c r="NS49" s="790"/>
      <c r="NT49" s="790"/>
      <c r="NU49" s="790"/>
      <c r="NV49" s="790"/>
      <c r="NW49" s="790"/>
      <c r="NX49" s="790"/>
      <c r="NY49" s="790"/>
      <c r="NZ49" s="790"/>
      <c r="OA49" s="790"/>
      <c r="OB49" s="790"/>
      <c r="OC49" s="790"/>
      <c r="OD49" s="790"/>
      <c r="OE49" s="790"/>
      <c r="OF49" s="790"/>
      <c r="OG49" s="790"/>
      <c r="OH49" s="790"/>
      <c r="OI49" s="790"/>
      <c r="OJ49" s="790"/>
      <c r="OK49" s="790"/>
      <c r="OL49" s="790"/>
      <c r="OM49" s="790"/>
      <c r="ON49" s="790"/>
      <c r="OO49" s="790"/>
      <c r="OP49" s="790"/>
      <c r="OQ49" s="790"/>
      <c r="OR49" s="790"/>
      <c r="OS49" s="790"/>
      <c r="OT49" s="790"/>
      <c r="OU49" s="790"/>
      <c r="OV49" s="790"/>
      <c r="OW49" s="790"/>
      <c r="OX49" s="790"/>
      <c r="OY49" s="790"/>
      <c r="OZ49" s="790"/>
      <c r="PA49" s="790"/>
      <c r="PB49" s="790"/>
      <c r="PC49" s="790"/>
      <c r="PD49" s="790"/>
      <c r="PE49" s="790"/>
      <c r="PF49" s="790"/>
      <c r="PG49" s="790"/>
      <c r="PH49" s="790"/>
      <c r="PI49" s="790"/>
      <c r="PJ49" s="790"/>
      <c r="PK49" s="790"/>
      <c r="PL49" s="790"/>
      <c r="PM49" s="790"/>
      <c r="PN49" s="790"/>
      <c r="PO49" s="790"/>
      <c r="PP49" s="790"/>
      <c r="PQ49" s="790"/>
      <c r="PR49" s="790"/>
      <c r="PS49" s="790"/>
      <c r="PT49" s="790"/>
      <c r="PU49" s="790"/>
      <c r="PV49" s="790"/>
      <c r="PW49" s="790"/>
      <c r="PX49" s="790"/>
      <c r="PY49" s="790"/>
      <c r="PZ49" s="790"/>
      <c r="QA49" s="790"/>
      <c r="QB49" s="790"/>
      <c r="QC49" s="790"/>
      <c r="QD49" s="790"/>
      <c r="QE49" s="790"/>
      <c r="QF49" s="790"/>
      <c r="QG49" s="790"/>
      <c r="QH49" s="790"/>
      <c r="QI49" s="790"/>
      <c r="QJ49" s="790"/>
      <c r="QK49" s="790"/>
      <c r="QL49" s="790"/>
      <c r="QM49" s="790"/>
      <c r="QN49" s="790"/>
      <c r="QO49" s="790"/>
      <c r="QP49" s="790"/>
      <c r="QQ49" s="790"/>
      <c r="QR49" s="790"/>
      <c r="QS49" s="790"/>
      <c r="QT49" s="790"/>
      <c r="QU49" s="790"/>
      <c r="QV49" s="790"/>
      <c r="QW49" s="790"/>
      <c r="QX49" s="790"/>
      <c r="QY49" s="790"/>
      <c r="QZ49" s="790"/>
      <c r="RA49" s="790"/>
      <c r="RB49" s="790"/>
      <c r="RC49" s="790"/>
      <c r="RD49" s="790"/>
      <c r="RE49" s="790"/>
      <c r="RF49" s="790"/>
      <c r="RG49" s="790"/>
      <c r="RH49" s="790"/>
      <c r="RI49" s="790"/>
      <c r="RJ49" s="790"/>
      <c r="RK49" s="790"/>
      <c r="RL49" s="790"/>
      <c r="RM49" s="790"/>
      <c r="RN49" s="790"/>
      <c r="RO49" s="790"/>
      <c r="RP49" s="790"/>
      <c r="RQ49" s="790"/>
      <c r="RR49" s="790"/>
      <c r="RS49" s="790"/>
      <c r="RT49" s="790"/>
      <c r="RU49" s="790"/>
      <c r="RV49" s="790"/>
      <c r="RW49" s="790"/>
      <c r="RX49" s="790"/>
    </row>
    <row r="50" spans="1:492" s="166" customFormat="1">
      <c r="A50" s="790"/>
      <c r="B50" s="790"/>
      <c r="C50" s="790"/>
      <c r="D50" s="790"/>
      <c r="E50" s="790"/>
      <c r="F50" s="790"/>
      <c r="G50" s="790"/>
      <c r="H50" s="790"/>
      <c r="I50" s="790"/>
      <c r="J50" s="790"/>
      <c r="K50" s="790"/>
      <c r="L50" s="790"/>
      <c r="M50" s="790"/>
      <c r="N50" s="790"/>
      <c r="O50" s="790"/>
      <c r="P50" s="790"/>
      <c r="Q50" s="790"/>
      <c r="R50" s="790"/>
      <c r="S50" s="790"/>
      <c r="T50" s="790"/>
      <c r="U50" s="790"/>
      <c r="V50" s="790"/>
      <c r="W50" s="790"/>
      <c r="X50" s="790"/>
      <c r="Y50" s="790"/>
      <c r="Z50" s="790"/>
      <c r="AA50" s="790"/>
      <c r="AB50" s="790"/>
      <c r="AC50" s="790"/>
      <c r="AD50" s="790"/>
      <c r="AE50" s="790"/>
      <c r="AF50" s="790"/>
      <c r="AG50" s="790"/>
      <c r="AH50" s="790"/>
      <c r="AI50" s="790"/>
      <c r="AJ50" s="790"/>
      <c r="AK50" s="790"/>
      <c r="AL50" s="790"/>
      <c r="AM50" s="781"/>
      <c r="AN50" s="781"/>
      <c r="AO50" s="781"/>
      <c r="AP50" s="781"/>
      <c r="AQ50" s="781"/>
      <c r="AR50" s="781"/>
      <c r="AS50" s="781"/>
      <c r="AT50" s="781"/>
      <c r="AU50" s="781"/>
      <c r="AV50" s="781"/>
      <c r="AW50" s="796"/>
      <c r="AX50" s="796"/>
      <c r="AY50" s="796"/>
      <c r="AZ50" s="796"/>
      <c r="BA50" s="781"/>
      <c r="BB50" s="781"/>
      <c r="BC50" s="781"/>
      <c r="BD50" s="781"/>
      <c r="BE50" s="781"/>
      <c r="BF50" s="781"/>
      <c r="BG50" s="781"/>
      <c r="BH50" s="781"/>
      <c r="BI50" s="781"/>
      <c r="BJ50" s="781"/>
      <c r="BK50" s="781"/>
      <c r="BL50" s="781"/>
      <c r="BM50" s="781"/>
      <c r="BN50" s="781"/>
      <c r="BO50" s="781"/>
      <c r="BP50" s="781"/>
      <c r="BQ50" s="781"/>
      <c r="BR50" s="781"/>
      <c r="BS50" s="781"/>
      <c r="BT50" s="781"/>
      <c r="BU50" s="781"/>
      <c r="BV50" s="790"/>
      <c r="BW50" s="790"/>
      <c r="BX50" s="790"/>
      <c r="BY50" s="790"/>
      <c r="BZ50" s="790"/>
      <c r="CA50" s="790"/>
      <c r="CB50" s="790"/>
      <c r="CC50" s="790"/>
      <c r="CD50" s="790"/>
      <c r="CE50" s="790"/>
      <c r="CF50" s="790"/>
      <c r="CG50" s="790"/>
      <c r="CH50" s="790"/>
      <c r="CI50" s="790"/>
      <c r="CJ50" s="790"/>
      <c r="CK50" s="790"/>
      <c r="CL50" s="790"/>
      <c r="CM50" s="790"/>
      <c r="CN50" s="790"/>
      <c r="CO50" s="790"/>
      <c r="CP50" s="790"/>
      <c r="CQ50" s="790"/>
      <c r="CR50" s="790"/>
      <c r="CS50" s="790"/>
      <c r="CT50" s="790"/>
      <c r="CU50" s="790"/>
      <c r="CV50" s="790"/>
      <c r="CW50" s="790"/>
      <c r="CX50" s="790"/>
      <c r="CY50" s="790"/>
      <c r="CZ50" s="790"/>
      <c r="DA50" s="790"/>
      <c r="DB50" s="790"/>
      <c r="DC50" s="790"/>
      <c r="DD50" s="790"/>
      <c r="DE50" s="790"/>
      <c r="DF50" s="790"/>
      <c r="DG50" s="790"/>
      <c r="DH50" s="790"/>
      <c r="DI50" s="790"/>
      <c r="DJ50" s="790"/>
      <c r="DK50" s="790"/>
      <c r="DL50" s="790"/>
      <c r="DM50" s="790"/>
      <c r="DN50" s="790"/>
      <c r="DO50" s="790"/>
      <c r="DP50" s="790"/>
      <c r="DQ50" s="790"/>
      <c r="DR50" s="790"/>
      <c r="DS50" s="790"/>
      <c r="DT50" s="790"/>
      <c r="DU50" s="790"/>
      <c r="DV50" s="790"/>
      <c r="DW50" s="790"/>
      <c r="DX50" s="790"/>
      <c r="DY50" s="790"/>
      <c r="DZ50" s="790"/>
      <c r="EA50" s="790"/>
      <c r="EB50" s="790"/>
      <c r="EC50" s="790"/>
      <c r="ED50" s="790"/>
      <c r="EE50" s="790"/>
      <c r="EF50" s="790"/>
      <c r="EG50" s="790"/>
      <c r="EH50" s="790"/>
      <c r="EI50" s="790"/>
      <c r="EJ50" s="790"/>
      <c r="EK50" s="790"/>
      <c r="EL50" s="790"/>
      <c r="EM50" s="790"/>
      <c r="EN50" s="790"/>
      <c r="EO50" s="790"/>
      <c r="EP50" s="790"/>
      <c r="EQ50" s="790"/>
      <c r="ER50" s="790"/>
      <c r="ES50" s="790"/>
      <c r="ET50" s="790"/>
      <c r="EU50" s="790"/>
      <c r="EV50" s="790"/>
      <c r="EW50" s="790"/>
      <c r="EX50" s="790"/>
      <c r="EY50" s="790"/>
      <c r="EZ50" s="790"/>
      <c r="FA50" s="790"/>
      <c r="FB50" s="790"/>
      <c r="FC50" s="790"/>
      <c r="FD50" s="790"/>
      <c r="FE50" s="790"/>
      <c r="FF50" s="790"/>
      <c r="FG50" s="790"/>
      <c r="FH50" s="790"/>
      <c r="FI50" s="790"/>
      <c r="FJ50" s="790"/>
      <c r="FK50" s="790"/>
      <c r="FL50" s="790"/>
      <c r="FM50" s="790"/>
      <c r="FN50" s="790"/>
      <c r="FO50" s="790"/>
      <c r="FP50" s="790"/>
      <c r="FQ50" s="790"/>
      <c r="FR50" s="790"/>
      <c r="FS50" s="790"/>
      <c r="FT50" s="790"/>
      <c r="FU50" s="790"/>
      <c r="FV50" s="790"/>
      <c r="FW50" s="790"/>
      <c r="FX50" s="790"/>
      <c r="FY50" s="790"/>
      <c r="FZ50" s="790"/>
      <c r="GA50" s="790"/>
      <c r="GB50" s="790"/>
      <c r="GC50" s="790"/>
      <c r="GD50" s="790"/>
      <c r="GE50" s="790"/>
      <c r="GF50" s="790"/>
      <c r="GG50" s="790"/>
      <c r="GH50" s="790"/>
      <c r="GI50" s="790"/>
      <c r="GJ50" s="790"/>
      <c r="GK50" s="790"/>
      <c r="GL50" s="790"/>
      <c r="GM50" s="790"/>
      <c r="GN50" s="790"/>
      <c r="GO50" s="790"/>
      <c r="GP50" s="790"/>
      <c r="GQ50" s="790"/>
      <c r="GR50" s="790"/>
      <c r="GS50" s="790"/>
      <c r="GT50" s="790"/>
      <c r="GU50" s="790"/>
      <c r="GV50" s="790"/>
      <c r="GW50" s="790"/>
      <c r="GX50" s="790"/>
      <c r="GY50" s="790"/>
      <c r="GZ50" s="790"/>
      <c r="HA50" s="790"/>
      <c r="HB50" s="790"/>
      <c r="HC50" s="790"/>
      <c r="HD50" s="790"/>
      <c r="HE50" s="790"/>
      <c r="HF50" s="790"/>
      <c r="HG50" s="790"/>
      <c r="HH50" s="790"/>
      <c r="HI50" s="790"/>
      <c r="HJ50" s="790"/>
      <c r="HK50" s="790"/>
      <c r="HL50" s="790"/>
      <c r="HM50" s="790"/>
      <c r="HN50" s="790"/>
      <c r="HO50" s="790"/>
      <c r="HP50" s="790"/>
      <c r="HQ50" s="790"/>
      <c r="HR50" s="790"/>
      <c r="HS50" s="790"/>
      <c r="HT50" s="790"/>
      <c r="HU50" s="790"/>
      <c r="HV50" s="790"/>
      <c r="HW50" s="790"/>
      <c r="HX50" s="790"/>
      <c r="HY50" s="790"/>
      <c r="HZ50" s="790"/>
      <c r="IA50" s="790"/>
      <c r="IB50" s="790"/>
      <c r="IC50" s="790"/>
      <c r="ID50" s="790"/>
      <c r="IE50" s="790"/>
      <c r="IF50" s="790"/>
      <c r="IG50" s="790"/>
      <c r="IH50" s="790"/>
      <c r="II50" s="790"/>
      <c r="IJ50" s="790"/>
      <c r="IK50" s="790"/>
      <c r="IL50" s="790"/>
      <c r="IM50" s="790"/>
      <c r="IN50" s="790"/>
      <c r="IO50" s="790"/>
      <c r="IP50" s="790"/>
      <c r="IQ50" s="790"/>
      <c r="IR50" s="790"/>
      <c r="IS50" s="790"/>
      <c r="IT50" s="790"/>
      <c r="IU50" s="790"/>
      <c r="IV50" s="790"/>
      <c r="IW50" s="790"/>
      <c r="IX50" s="790"/>
      <c r="IY50" s="790"/>
      <c r="IZ50" s="790"/>
      <c r="JA50" s="790"/>
      <c r="JB50" s="790"/>
      <c r="JC50" s="790"/>
      <c r="JD50" s="790"/>
      <c r="JE50" s="790"/>
      <c r="JF50" s="790"/>
      <c r="JG50" s="790"/>
      <c r="JH50" s="790"/>
      <c r="JI50" s="790"/>
      <c r="JJ50" s="790"/>
      <c r="JK50" s="790"/>
      <c r="JL50" s="790"/>
      <c r="JM50" s="790"/>
      <c r="JN50" s="790"/>
      <c r="JO50" s="790"/>
      <c r="JP50" s="790"/>
      <c r="JQ50" s="790"/>
      <c r="JR50" s="790"/>
      <c r="JS50" s="790"/>
      <c r="JT50" s="790"/>
      <c r="JU50" s="790"/>
      <c r="JV50" s="790"/>
      <c r="JW50" s="790"/>
      <c r="JX50" s="790"/>
      <c r="JY50" s="790"/>
      <c r="JZ50" s="790"/>
      <c r="KA50" s="790"/>
      <c r="KB50" s="790"/>
      <c r="KC50" s="790"/>
      <c r="KD50" s="790"/>
      <c r="KE50" s="790"/>
      <c r="KF50" s="790"/>
      <c r="KG50" s="790"/>
      <c r="KH50" s="790"/>
      <c r="KI50" s="790"/>
      <c r="KJ50" s="790"/>
      <c r="KK50" s="790"/>
      <c r="KL50" s="790"/>
      <c r="KM50" s="790"/>
      <c r="KN50" s="790"/>
      <c r="KO50" s="790"/>
      <c r="KP50" s="790"/>
      <c r="KQ50" s="790"/>
      <c r="KR50" s="790"/>
      <c r="KS50" s="790"/>
      <c r="KT50" s="790"/>
      <c r="KU50" s="790"/>
      <c r="KV50" s="790"/>
      <c r="KW50" s="790"/>
      <c r="KX50" s="790"/>
      <c r="KY50" s="790"/>
      <c r="KZ50" s="790"/>
      <c r="LA50" s="790"/>
      <c r="LB50" s="790"/>
      <c r="LC50" s="790"/>
      <c r="LD50" s="790"/>
      <c r="LE50" s="790"/>
      <c r="LF50" s="790"/>
      <c r="LG50" s="790"/>
      <c r="LH50" s="790"/>
      <c r="LI50" s="790"/>
      <c r="LJ50" s="790"/>
      <c r="LK50" s="790"/>
      <c r="LL50" s="790"/>
      <c r="LM50" s="790"/>
      <c r="LN50" s="790"/>
      <c r="LO50" s="790"/>
      <c r="LP50" s="790"/>
      <c r="LQ50" s="790"/>
      <c r="LR50" s="790"/>
      <c r="LS50" s="790"/>
      <c r="LT50" s="790"/>
      <c r="LU50" s="790"/>
      <c r="LV50" s="790"/>
      <c r="LW50" s="790"/>
      <c r="LX50" s="790"/>
      <c r="LY50" s="790"/>
      <c r="LZ50" s="790"/>
      <c r="MA50" s="790"/>
      <c r="MB50" s="790"/>
      <c r="MC50" s="790"/>
      <c r="MD50" s="790"/>
      <c r="ME50" s="790"/>
      <c r="MF50" s="790"/>
      <c r="MG50" s="790"/>
      <c r="MH50" s="790"/>
      <c r="MI50" s="790"/>
      <c r="MJ50" s="790"/>
      <c r="MK50" s="790"/>
      <c r="ML50" s="790"/>
      <c r="MM50" s="790"/>
      <c r="MN50" s="790"/>
      <c r="MO50" s="790"/>
      <c r="MP50" s="790"/>
      <c r="MQ50" s="790"/>
      <c r="MR50" s="790"/>
      <c r="MS50" s="790"/>
      <c r="MT50" s="790"/>
      <c r="MU50" s="790"/>
      <c r="MV50" s="790"/>
      <c r="MW50" s="790"/>
      <c r="MX50" s="790"/>
      <c r="MY50" s="790"/>
      <c r="MZ50" s="790"/>
      <c r="NA50" s="790"/>
      <c r="NB50" s="790"/>
      <c r="NC50" s="790"/>
      <c r="ND50" s="790"/>
      <c r="NE50" s="790"/>
      <c r="NF50" s="790"/>
      <c r="NG50" s="790"/>
      <c r="NH50" s="790"/>
      <c r="NI50" s="790"/>
      <c r="NJ50" s="790"/>
      <c r="NK50" s="790"/>
      <c r="NL50" s="790"/>
      <c r="NM50" s="790"/>
      <c r="NN50" s="790"/>
      <c r="NO50" s="790"/>
      <c r="NP50" s="790"/>
      <c r="NQ50" s="790"/>
      <c r="NR50" s="790"/>
      <c r="NS50" s="790"/>
      <c r="NT50" s="790"/>
      <c r="NU50" s="790"/>
      <c r="NV50" s="790"/>
      <c r="NW50" s="790"/>
      <c r="NX50" s="790"/>
      <c r="NY50" s="790"/>
      <c r="NZ50" s="790"/>
      <c r="OA50" s="790"/>
      <c r="OB50" s="790"/>
      <c r="OC50" s="790"/>
      <c r="OD50" s="790"/>
      <c r="OE50" s="790"/>
      <c r="OF50" s="790"/>
      <c r="OG50" s="790"/>
      <c r="OH50" s="790"/>
      <c r="OI50" s="790"/>
      <c r="OJ50" s="790"/>
      <c r="OK50" s="790"/>
      <c r="OL50" s="790"/>
      <c r="OM50" s="790"/>
      <c r="ON50" s="790"/>
      <c r="OO50" s="790"/>
      <c r="OP50" s="790"/>
      <c r="OQ50" s="790"/>
      <c r="OR50" s="790"/>
      <c r="OS50" s="790"/>
      <c r="OT50" s="790"/>
      <c r="OU50" s="790"/>
      <c r="OV50" s="790"/>
      <c r="OW50" s="790"/>
      <c r="OX50" s="790"/>
      <c r="OY50" s="790"/>
      <c r="OZ50" s="790"/>
      <c r="PA50" s="790"/>
      <c r="PB50" s="790"/>
      <c r="PC50" s="790"/>
      <c r="PD50" s="790"/>
      <c r="PE50" s="790"/>
      <c r="PF50" s="790"/>
      <c r="PG50" s="790"/>
      <c r="PH50" s="790"/>
      <c r="PI50" s="790"/>
      <c r="PJ50" s="790"/>
      <c r="PK50" s="790"/>
      <c r="PL50" s="790"/>
      <c r="PM50" s="790"/>
      <c r="PN50" s="790"/>
      <c r="PO50" s="790"/>
      <c r="PP50" s="790"/>
      <c r="PQ50" s="790"/>
      <c r="PR50" s="790"/>
      <c r="PS50" s="790"/>
      <c r="PT50" s="790"/>
      <c r="PU50" s="790"/>
      <c r="PV50" s="790"/>
      <c r="PW50" s="790"/>
      <c r="PX50" s="790"/>
      <c r="PY50" s="790"/>
      <c r="PZ50" s="790"/>
      <c r="QA50" s="790"/>
      <c r="QB50" s="790"/>
      <c r="QC50" s="790"/>
      <c r="QD50" s="790"/>
      <c r="QE50" s="790"/>
      <c r="QF50" s="790"/>
      <c r="QG50" s="790"/>
      <c r="QH50" s="790"/>
      <c r="QI50" s="790"/>
      <c r="QJ50" s="790"/>
      <c r="QK50" s="790"/>
      <c r="QL50" s="790"/>
      <c r="QM50" s="790"/>
      <c r="QN50" s="790"/>
      <c r="QO50" s="790"/>
      <c r="QP50" s="790"/>
      <c r="QQ50" s="790"/>
      <c r="QR50" s="790"/>
      <c r="QS50" s="790"/>
      <c r="QT50" s="790"/>
      <c r="QU50" s="790"/>
      <c r="QV50" s="790"/>
      <c r="QW50" s="790"/>
      <c r="QX50" s="790"/>
      <c r="QY50" s="790"/>
      <c r="QZ50" s="790"/>
      <c r="RA50" s="790"/>
      <c r="RB50" s="790"/>
      <c r="RC50" s="790"/>
      <c r="RD50" s="790"/>
      <c r="RE50" s="790"/>
      <c r="RF50" s="790"/>
      <c r="RG50" s="790"/>
      <c r="RH50" s="790"/>
      <c r="RI50" s="790"/>
      <c r="RJ50" s="790"/>
      <c r="RK50" s="790"/>
      <c r="RL50" s="790"/>
      <c r="RM50" s="790"/>
      <c r="RN50" s="790"/>
      <c r="RO50" s="790"/>
      <c r="RP50" s="790"/>
      <c r="RQ50" s="790"/>
      <c r="RR50" s="790"/>
      <c r="RS50" s="790"/>
      <c r="RT50" s="790"/>
      <c r="RU50" s="790"/>
      <c r="RV50" s="790"/>
      <c r="RW50" s="790"/>
      <c r="RX50" s="790"/>
    </row>
    <row r="51" spans="1:492" s="166" customFormat="1">
      <c r="A51" s="790"/>
      <c r="B51" s="790"/>
      <c r="C51" s="790"/>
      <c r="D51" s="790"/>
      <c r="E51" s="790"/>
      <c r="F51" s="790"/>
      <c r="G51" s="790"/>
      <c r="H51" s="790"/>
      <c r="I51" s="790"/>
      <c r="J51" s="790"/>
      <c r="K51" s="790"/>
      <c r="L51" s="790"/>
      <c r="M51" s="790"/>
      <c r="N51" s="790"/>
      <c r="O51" s="790"/>
      <c r="P51" s="790"/>
      <c r="Q51" s="790"/>
      <c r="R51" s="790"/>
      <c r="S51" s="790"/>
      <c r="T51" s="790"/>
      <c r="U51" s="790"/>
      <c r="V51" s="790"/>
      <c r="W51" s="790"/>
      <c r="X51" s="790"/>
      <c r="Y51" s="790"/>
      <c r="Z51" s="790"/>
      <c r="AA51" s="790"/>
      <c r="AB51" s="790"/>
      <c r="AC51" s="790"/>
      <c r="AD51" s="790"/>
      <c r="AE51" s="790"/>
      <c r="AF51" s="790"/>
      <c r="AG51" s="790"/>
      <c r="AH51" s="790"/>
      <c r="AI51" s="790"/>
      <c r="AJ51" s="790"/>
      <c r="AK51" s="790"/>
      <c r="AL51" s="790"/>
      <c r="AM51" s="781"/>
      <c r="AN51" s="781"/>
      <c r="AO51" s="781"/>
      <c r="AP51" s="781"/>
      <c r="AQ51" s="781"/>
      <c r="AR51" s="781"/>
      <c r="AS51" s="781"/>
      <c r="AT51" s="781"/>
      <c r="AU51" s="781"/>
      <c r="AV51" s="781"/>
      <c r="AW51" s="796"/>
      <c r="AX51" s="796"/>
      <c r="AY51" s="796"/>
      <c r="AZ51" s="796"/>
      <c r="BA51" s="781"/>
      <c r="BB51" s="781"/>
      <c r="BC51" s="781"/>
      <c r="BD51" s="781"/>
      <c r="BE51" s="781"/>
      <c r="BF51" s="781"/>
      <c r="BG51" s="781"/>
      <c r="BH51" s="781"/>
      <c r="BI51" s="781"/>
      <c r="BJ51" s="781"/>
      <c r="BK51" s="781"/>
      <c r="BL51" s="781"/>
      <c r="BM51" s="781"/>
      <c r="BN51" s="781"/>
      <c r="BO51" s="781"/>
      <c r="BP51" s="781"/>
      <c r="BQ51" s="781"/>
      <c r="BR51" s="781"/>
      <c r="BS51" s="781"/>
      <c r="BT51" s="781"/>
      <c r="BU51" s="781"/>
      <c r="BV51" s="790"/>
      <c r="BW51" s="790"/>
      <c r="BX51" s="790"/>
      <c r="BY51" s="790"/>
      <c r="BZ51" s="790"/>
      <c r="CA51" s="790"/>
      <c r="CB51" s="790"/>
      <c r="CC51" s="790"/>
      <c r="CD51" s="790"/>
      <c r="CE51" s="790"/>
      <c r="CF51" s="790"/>
      <c r="CG51" s="790"/>
      <c r="CH51" s="790"/>
      <c r="CI51" s="790"/>
      <c r="CJ51" s="790"/>
      <c r="CK51" s="790"/>
      <c r="CL51" s="790"/>
      <c r="CM51" s="790"/>
      <c r="CN51" s="790"/>
      <c r="CO51" s="790"/>
      <c r="CP51" s="790"/>
      <c r="CQ51" s="790"/>
      <c r="CR51" s="790"/>
      <c r="CS51" s="790"/>
      <c r="CT51" s="790"/>
      <c r="CU51" s="790"/>
      <c r="CV51" s="790"/>
      <c r="CW51" s="790"/>
      <c r="CX51" s="790"/>
      <c r="CY51" s="790"/>
      <c r="CZ51" s="790"/>
      <c r="DA51" s="790"/>
      <c r="DB51" s="790"/>
      <c r="DC51" s="790"/>
      <c r="DD51" s="790"/>
      <c r="DE51" s="790"/>
      <c r="DF51" s="790"/>
      <c r="DG51" s="790"/>
      <c r="DH51" s="790"/>
      <c r="DI51" s="790"/>
      <c r="DJ51" s="790"/>
      <c r="DK51" s="790"/>
      <c r="DL51" s="790"/>
      <c r="DM51" s="790"/>
      <c r="DN51" s="790"/>
      <c r="DO51" s="790"/>
      <c r="DP51" s="790"/>
      <c r="DQ51" s="790"/>
      <c r="DR51" s="790"/>
      <c r="DS51" s="790"/>
      <c r="DT51" s="790"/>
      <c r="DU51" s="790"/>
      <c r="DV51" s="790"/>
      <c r="DW51" s="790"/>
      <c r="DX51" s="790"/>
      <c r="DY51" s="790"/>
      <c r="DZ51" s="790"/>
      <c r="EA51" s="790"/>
      <c r="EB51" s="790"/>
      <c r="EC51" s="790"/>
      <c r="ED51" s="790"/>
      <c r="EE51" s="790"/>
      <c r="EF51" s="790"/>
      <c r="EG51" s="790"/>
      <c r="EH51" s="790"/>
      <c r="EI51" s="790"/>
      <c r="EJ51" s="790"/>
      <c r="EK51" s="790"/>
      <c r="EL51" s="790"/>
      <c r="EM51" s="790"/>
      <c r="EN51" s="790"/>
      <c r="EO51" s="790"/>
      <c r="EP51" s="790"/>
      <c r="EQ51" s="790"/>
      <c r="ER51" s="790"/>
      <c r="ES51" s="790"/>
      <c r="ET51" s="790"/>
      <c r="EU51" s="790"/>
      <c r="EV51" s="790"/>
      <c r="EW51" s="790"/>
      <c r="EX51" s="790"/>
      <c r="EY51" s="790"/>
      <c r="EZ51" s="790"/>
      <c r="FA51" s="790"/>
      <c r="FB51" s="790"/>
      <c r="FC51" s="790"/>
      <c r="FD51" s="790"/>
      <c r="FE51" s="790"/>
      <c r="FF51" s="790"/>
      <c r="FG51" s="790"/>
      <c r="FH51" s="790"/>
      <c r="FI51" s="790"/>
      <c r="FJ51" s="790"/>
      <c r="FK51" s="790"/>
      <c r="FL51" s="790"/>
      <c r="FM51" s="790"/>
      <c r="FN51" s="790"/>
      <c r="FO51" s="790"/>
      <c r="FP51" s="790"/>
      <c r="FQ51" s="790"/>
      <c r="FR51" s="790"/>
      <c r="FS51" s="790"/>
      <c r="FT51" s="790"/>
      <c r="FU51" s="790"/>
      <c r="FV51" s="790"/>
      <c r="FW51" s="790"/>
      <c r="FX51" s="790"/>
      <c r="FY51" s="790"/>
      <c r="FZ51" s="790"/>
      <c r="GA51" s="790"/>
      <c r="GB51" s="790"/>
      <c r="GC51" s="790"/>
      <c r="GD51" s="790"/>
      <c r="GE51" s="790"/>
      <c r="GF51" s="790"/>
      <c r="GG51" s="790"/>
      <c r="GH51" s="790"/>
      <c r="GI51" s="790"/>
      <c r="GJ51" s="790"/>
      <c r="GK51" s="790"/>
      <c r="GL51" s="790"/>
      <c r="GM51" s="790"/>
      <c r="GN51" s="790"/>
      <c r="GO51" s="790"/>
      <c r="GP51" s="790"/>
      <c r="GQ51" s="790"/>
      <c r="GR51" s="790"/>
      <c r="GS51" s="790"/>
      <c r="GT51" s="790"/>
      <c r="GU51" s="790"/>
      <c r="GV51" s="790"/>
      <c r="GW51" s="790"/>
      <c r="GX51" s="790"/>
      <c r="GY51" s="790"/>
      <c r="GZ51" s="790"/>
      <c r="HA51" s="790"/>
      <c r="HB51" s="790"/>
      <c r="HC51" s="790"/>
      <c r="HD51" s="790"/>
      <c r="HE51" s="790"/>
      <c r="HF51" s="790"/>
      <c r="HG51" s="790"/>
      <c r="HH51" s="790"/>
      <c r="HI51" s="790"/>
      <c r="HJ51" s="790"/>
      <c r="HK51" s="790"/>
      <c r="HL51" s="790"/>
      <c r="HM51" s="790"/>
      <c r="HN51" s="790"/>
      <c r="HO51" s="790"/>
      <c r="HP51" s="790"/>
      <c r="HQ51" s="790"/>
      <c r="HR51" s="790"/>
      <c r="HS51" s="790"/>
      <c r="HT51" s="790"/>
      <c r="HU51" s="790"/>
      <c r="HV51" s="790"/>
      <c r="HW51" s="790"/>
      <c r="HX51" s="790"/>
      <c r="HY51" s="790"/>
      <c r="HZ51" s="790"/>
      <c r="IA51" s="790"/>
      <c r="IB51" s="790"/>
      <c r="IC51" s="790"/>
      <c r="ID51" s="790"/>
      <c r="IE51" s="790"/>
      <c r="IF51" s="790"/>
      <c r="IG51" s="790"/>
      <c r="IH51" s="790"/>
      <c r="II51" s="790"/>
      <c r="IJ51" s="790"/>
      <c r="IK51" s="790"/>
      <c r="IL51" s="790"/>
      <c r="IM51" s="790"/>
      <c r="IN51" s="790"/>
      <c r="IO51" s="790"/>
      <c r="IP51" s="790"/>
      <c r="IQ51" s="790"/>
      <c r="IR51" s="790"/>
      <c r="IS51" s="790"/>
      <c r="IT51" s="790"/>
      <c r="IU51" s="790"/>
      <c r="IV51" s="790"/>
      <c r="IW51" s="790"/>
      <c r="IX51" s="790"/>
      <c r="IY51" s="790"/>
      <c r="IZ51" s="790"/>
      <c r="JA51" s="790"/>
      <c r="JB51" s="790"/>
      <c r="JC51" s="790"/>
      <c r="JD51" s="790"/>
      <c r="JE51" s="790"/>
      <c r="JF51" s="790"/>
      <c r="JG51" s="790"/>
      <c r="JH51" s="790"/>
      <c r="JI51" s="790"/>
      <c r="JJ51" s="790"/>
      <c r="JK51" s="790"/>
      <c r="JL51" s="790"/>
      <c r="JM51" s="790"/>
      <c r="JN51" s="790"/>
      <c r="JO51" s="790"/>
      <c r="JP51" s="790"/>
      <c r="JQ51" s="790"/>
      <c r="JR51" s="790"/>
      <c r="JS51" s="790"/>
      <c r="JT51" s="790"/>
      <c r="JU51" s="790"/>
      <c r="JV51" s="790"/>
      <c r="JW51" s="790"/>
      <c r="JX51" s="790"/>
      <c r="JY51" s="790"/>
      <c r="JZ51" s="790"/>
      <c r="KA51" s="790"/>
      <c r="KB51" s="790"/>
      <c r="KC51" s="790"/>
      <c r="KD51" s="790"/>
      <c r="KE51" s="790"/>
      <c r="KF51" s="790"/>
      <c r="KG51" s="790"/>
      <c r="KH51" s="790"/>
      <c r="KI51" s="790"/>
      <c r="KJ51" s="790"/>
      <c r="KK51" s="790"/>
      <c r="KL51" s="790"/>
      <c r="KM51" s="790"/>
      <c r="KN51" s="790"/>
      <c r="KO51" s="790"/>
      <c r="KP51" s="790"/>
      <c r="KQ51" s="790"/>
      <c r="KR51" s="790"/>
      <c r="KS51" s="790"/>
      <c r="KT51" s="790"/>
      <c r="KU51" s="790"/>
      <c r="KV51" s="790"/>
      <c r="KW51" s="790"/>
      <c r="KX51" s="790"/>
      <c r="KY51" s="790"/>
      <c r="KZ51" s="790"/>
      <c r="LA51" s="790"/>
      <c r="LB51" s="790"/>
      <c r="LC51" s="790"/>
      <c r="LD51" s="790"/>
      <c r="LE51" s="790"/>
      <c r="LF51" s="790"/>
      <c r="LG51" s="790"/>
      <c r="LH51" s="790"/>
      <c r="LI51" s="790"/>
      <c r="LJ51" s="790"/>
      <c r="LK51" s="790"/>
      <c r="LL51" s="790"/>
      <c r="LM51" s="790"/>
      <c r="LN51" s="790"/>
      <c r="LO51" s="790"/>
      <c r="LP51" s="790"/>
      <c r="LQ51" s="790"/>
      <c r="LR51" s="790"/>
      <c r="LS51" s="790"/>
      <c r="LT51" s="790"/>
      <c r="LU51" s="790"/>
      <c r="LV51" s="790"/>
      <c r="LW51" s="790"/>
      <c r="LX51" s="790"/>
      <c r="LY51" s="790"/>
      <c r="LZ51" s="790"/>
      <c r="MA51" s="790"/>
      <c r="MB51" s="790"/>
      <c r="MC51" s="790"/>
      <c r="MD51" s="790"/>
      <c r="ME51" s="790"/>
      <c r="MF51" s="790"/>
      <c r="MG51" s="790"/>
      <c r="MH51" s="790"/>
      <c r="MI51" s="790"/>
      <c r="MJ51" s="790"/>
      <c r="MK51" s="790"/>
      <c r="ML51" s="790"/>
      <c r="MM51" s="790"/>
      <c r="MN51" s="790"/>
      <c r="MO51" s="790"/>
      <c r="MP51" s="790"/>
      <c r="MQ51" s="790"/>
      <c r="MR51" s="790"/>
      <c r="MS51" s="790"/>
      <c r="MT51" s="790"/>
      <c r="MU51" s="790"/>
      <c r="MV51" s="790"/>
      <c r="MW51" s="790"/>
      <c r="MX51" s="790"/>
      <c r="MY51" s="790"/>
      <c r="MZ51" s="790"/>
      <c r="NA51" s="790"/>
      <c r="NB51" s="790"/>
      <c r="NC51" s="790"/>
      <c r="ND51" s="790"/>
      <c r="NE51" s="790"/>
      <c r="NF51" s="790"/>
      <c r="NG51" s="790"/>
      <c r="NH51" s="790"/>
      <c r="NI51" s="790"/>
      <c r="NJ51" s="790"/>
      <c r="NK51" s="790"/>
      <c r="NL51" s="790"/>
      <c r="NM51" s="790"/>
      <c r="NN51" s="790"/>
      <c r="NO51" s="790"/>
      <c r="NP51" s="790"/>
      <c r="NQ51" s="790"/>
      <c r="NR51" s="790"/>
      <c r="NS51" s="790"/>
      <c r="NT51" s="790"/>
      <c r="NU51" s="790"/>
      <c r="NV51" s="790"/>
      <c r="NW51" s="790"/>
      <c r="NX51" s="790"/>
      <c r="NY51" s="790"/>
      <c r="NZ51" s="790"/>
      <c r="OA51" s="790"/>
      <c r="OB51" s="790"/>
      <c r="OC51" s="790"/>
      <c r="OD51" s="790"/>
      <c r="OE51" s="790"/>
      <c r="OF51" s="790"/>
      <c r="OG51" s="790"/>
      <c r="OH51" s="790"/>
      <c r="OI51" s="790"/>
      <c r="OJ51" s="790"/>
      <c r="OK51" s="790"/>
      <c r="OL51" s="790"/>
      <c r="OM51" s="790"/>
      <c r="ON51" s="790"/>
      <c r="OO51" s="790"/>
      <c r="OP51" s="790"/>
      <c r="OQ51" s="790"/>
      <c r="OR51" s="790"/>
      <c r="OS51" s="790"/>
      <c r="OT51" s="790"/>
      <c r="OU51" s="790"/>
      <c r="OV51" s="790"/>
      <c r="OW51" s="790"/>
      <c r="OX51" s="790"/>
      <c r="OY51" s="790"/>
      <c r="OZ51" s="790"/>
      <c r="PA51" s="790"/>
      <c r="PB51" s="790"/>
      <c r="PC51" s="790"/>
      <c r="PD51" s="790"/>
      <c r="PE51" s="790"/>
      <c r="PF51" s="790"/>
      <c r="PG51" s="790"/>
      <c r="PH51" s="790"/>
      <c r="PI51" s="790"/>
      <c r="PJ51" s="790"/>
      <c r="PK51" s="790"/>
      <c r="PL51" s="790"/>
      <c r="PM51" s="790"/>
      <c r="PN51" s="790"/>
      <c r="PO51" s="790"/>
      <c r="PP51" s="790"/>
      <c r="PQ51" s="790"/>
      <c r="PR51" s="790"/>
      <c r="PS51" s="790"/>
      <c r="PT51" s="790"/>
      <c r="PU51" s="790"/>
      <c r="PV51" s="790"/>
      <c r="PW51" s="790"/>
      <c r="PX51" s="790"/>
      <c r="PY51" s="790"/>
      <c r="PZ51" s="790"/>
      <c r="QA51" s="790"/>
      <c r="QB51" s="790"/>
      <c r="QC51" s="790"/>
      <c r="QD51" s="790"/>
      <c r="QE51" s="790"/>
      <c r="QF51" s="790"/>
      <c r="QG51" s="790"/>
      <c r="QH51" s="790"/>
      <c r="QI51" s="790"/>
      <c r="QJ51" s="790"/>
      <c r="QK51" s="790"/>
      <c r="QL51" s="790"/>
      <c r="QM51" s="790"/>
      <c r="QN51" s="790"/>
      <c r="QO51" s="790"/>
      <c r="QP51" s="790"/>
      <c r="QQ51" s="790"/>
      <c r="QR51" s="790"/>
      <c r="QS51" s="790"/>
      <c r="QT51" s="790"/>
      <c r="QU51" s="790"/>
      <c r="QV51" s="790"/>
      <c r="QW51" s="790"/>
      <c r="QX51" s="790"/>
      <c r="QY51" s="790"/>
      <c r="QZ51" s="790"/>
      <c r="RA51" s="790"/>
      <c r="RB51" s="790"/>
      <c r="RC51" s="790"/>
      <c r="RD51" s="790"/>
      <c r="RE51" s="790"/>
      <c r="RF51" s="790"/>
      <c r="RG51" s="790"/>
      <c r="RH51" s="790"/>
      <c r="RI51" s="790"/>
      <c r="RJ51" s="790"/>
      <c r="RK51" s="790"/>
      <c r="RL51" s="790"/>
      <c r="RM51" s="790"/>
      <c r="RN51" s="790"/>
      <c r="RO51" s="790"/>
      <c r="RP51" s="790"/>
      <c r="RQ51" s="790"/>
      <c r="RR51" s="790"/>
      <c r="RS51" s="790"/>
      <c r="RT51" s="790"/>
      <c r="RU51" s="790"/>
      <c r="RV51" s="790"/>
      <c r="RW51" s="790"/>
      <c r="RX51" s="790"/>
    </row>
    <row r="52" spans="1:492" s="166" customFormat="1">
      <c r="A52" s="790"/>
      <c r="B52" s="790"/>
      <c r="C52" s="790"/>
      <c r="D52" s="790"/>
      <c r="E52" s="790"/>
      <c r="F52" s="790"/>
      <c r="G52" s="790"/>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81"/>
      <c r="AN52" s="781"/>
      <c r="AO52" s="781"/>
      <c r="AP52" s="781"/>
      <c r="AQ52" s="781"/>
      <c r="AR52" s="781"/>
      <c r="AS52" s="781"/>
      <c r="AT52" s="781"/>
      <c r="AU52" s="781"/>
      <c r="AV52" s="781"/>
      <c r="AW52" s="781"/>
      <c r="AX52" s="781"/>
      <c r="AY52" s="781"/>
      <c r="AZ52" s="781"/>
      <c r="BA52" s="781"/>
      <c r="BB52" s="781"/>
      <c r="BC52" s="781"/>
      <c r="BD52" s="781"/>
      <c r="BE52" s="781"/>
      <c r="BF52" s="781"/>
      <c r="BG52" s="781"/>
      <c r="BH52" s="781"/>
      <c r="BI52" s="781"/>
      <c r="BJ52" s="781"/>
      <c r="BK52" s="781"/>
      <c r="BL52" s="781"/>
      <c r="BM52" s="781"/>
      <c r="BN52" s="781"/>
      <c r="BO52" s="781"/>
      <c r="BP52" s="781"/>
      <c r="BQ52" s="781"/>
      <c r="BR52" s="781"/>
      <c r="BS52" s="781"/>
      <c r="BT52" s="781"/>
      <c r="BU52" s="781"/>
      <c r="BV52" s="790"/>
      <c r="BW52" s="790"/>
      <c r="BX52" s="790"/>
      <c r="BY52" s="790"/>
      <c r="BZ52" s="790"/>
      <c r="CA52" s="790"/>
      <c r="CB52" s="790"/>
      <c r="CC52" s="790"/>
      <c r="CD52" s="790"/>
      <c r="CE52" s="790"/>
      <c r="CF52" s="790"/>
      <c r="CG52" s="790"/>
      <c r="CH52" s="790"/>
      <c r="CI52" s="790"/>
      <c r="CJ52" s="790"/>
      <c r="CK52" s="790"/>
      <c r="CL52" s="790"/>
      <c r="CM52" s="790"/>
      <c r="CN52" s="790"/>
      <c r="CO52" s="790"/>
      <c r="CP52" s="790"/>
      <c r="CQ52" s="790"/>
      <c r="CR52" s="790"/>
      <c r="CS52" s="790"/>
      <c r="CT52" s="790"/>
      <c r="CU52" s="790"/>
      <c r="CV52" s="790"/>
      <c r="CW52" s="790"/>
      <c r="CX52" s="790"/>
      <c r="CY52" s="790"/>
      <c r="CZ52" s="790"/>
      <c r="DA52" s="790"/>
      <c r="DB52" s="790"/>
      <c r="DC52" s="790"/>
      <c r="DD52" s="790"/>
      <c r="DE52" s="790"/>
      <c r="DF52" s="790"/>
      <c r="DG52" s="790"/>
      <c r="DH52" s="790"/>
      <c r="DI52" s="790"/>
      <c r="DJ52" s="790"/>
      <c r="DK52" s="790"/>
      <c r="DL52" s="790"/>
      <c r="DM52" s="790"/>
      <c r="DN52" s="790"/>
      <c r="DO52" s="790"/>
      <c r="DP52" s="790"/>
      <c r="DQ52" s="790"/>
      <c r="DR52" s="790"/>
      <c r="DS52" s="790"/>
      <c r="DT52" s="790"/>
      <c r="DU52" s="790"/>
      <c r="DV52" s="790"/>
      <c r="DW52" s="790"/>
      <c r="DX52" s="790"/>
      <c r="DY52" s="790"/>
      <c r="DZ52" s="790"/>
      <c r="EA52" s="790"/>
      <c r="EB52" s="790"/>
      <c r="EC52" s="790"/>
      <c r="ED52" s="790"/>
      <c r="EE52" s="790"/>
      <c r="EF52" s="790"/>
      <c r="EG52" s="790"/>
      <c r="EH52" s="790"/>
      <c r="EI52" s="790"/>
      <c r="EJ52" s="790"/>
      <c r="EK52" s="790"/>
      <c r="EL52" s="790"/>
      <c r="EM52" s="790"/>
      <c r="EN52" s="790"/>
      <c r="EO52" s="790"/>
      <c r="EP52" s="790"/>
      <c r="EQ52" s="790"/>
      <c r="ER52" s="790"/>
      <c r="ES52" s="790"/>
      <c r="ET52" s="790"/>
      <c r="EU52" s="790"/>
      <c r="EV52" s="790"/>
      <c r="EW52" s="790"/>
      <c r="EX52" s="790"/>
      <c r="EY52" s="790"/>
      <c r="EZ52" s="790"/>
      <c r="FA52" s="790"/>
      <c r="FB52" s="790"/>
      <c r="FC52" s="790"/>
      <c r="FD52" s="790"/>
      <c r="FE52" s="790"/>
      <c r="FF52" s="790"/>
      <c r="FG52" s="790"/>
      <c r="FH52" s="790"/>
      <c r="FI52" s="790"/>
      <c r="FJ52" s="790"/>
      <c r="FK52" s="790"/>
      <c r="FL52" s="790"/>
      <c r="FM52" s="790"/>
      <c r="FN52" s="790"/>
      <c r="FO52" s="790"/>
      <c r="FP52" s="790"/>
      <c r="FQ52" s="790"/>
      <c r="FR52" s="790"/>
      <c r="FS52" s="790"/>
      <c r="FT52" s="790"/>
      <c r="FU52" s="790"/>
      <c r="FV52" s="790"/>
      <c r="FW52" s="790"/>
      <c r="FX52" s="790"/>
      <c r="FY52" s="790"/>
      <c r="FZ52" s="790"/>
      <c r="GA52" s="790"/>
      <c r="GB52" s="790"/>
      <c r="GC52" s="790"/>
      <c r="GD52" s="790"/>
      <c r="GE52" s="790"/>
      <c r="GF52" s="790"/>
      <c r="GG52" s="790"/>
      <c r="GH52" s="790"/>
      <c r="GI52" s="790"/>
      <c r="GJ52" s="790"/>
      <c r="GK52" s="790"/>
      <c r="GL52" s="790"/>
      <c r="GM52" s="790"/>
      <c r="GN52" s="790"/>
      <c r="GO52" s="790"/>
      <c r="GP52" s="790"/>
      <c r="GQ52" s="790"/>
      <c r="GR52" s="790"/>
      <c r="GS52" s="790"/>
      <c r="GT52" s="790"/>
      <c r="GU52" s="790"/>
      <c r="GV52" s="790"/>
      <c r="GW52" s="790"/>
      <c r="GX52" s="790"/>
      <c r="GY52" s="790"/>
      <c r="GZ52" s="790"/>
      <c r="HA52" s="790"/>
      <c r="HB52" s="790"/>
      <c r="HC52" s="790"/>
      <c r="HD52" s="790"/>
      <c r="HE52" s="790"/>
      <c r="HF52" s="790"/>
      <c r="HG52" s="790"/>
      <c r="HH52" s="790"/>
      <c r="HI52" s="790"/>
      <c r="HJ52" s="790"/>
      <c r="HK52" s="790"/>
      <c r="HL52" s="790"/>
      <c r="HM52" s="790"/>
      <c r="HN52" s="790"/>
      <c r="HO52" s="790"/>
      <c r="HP52" s="790"/>
      <c r="HQ52" s="790"/>
      <c r="HR52" s="790"/>
      <c r="HS52" s="790"/>
      <c r="HT52" s="790"/>
      <c r="HU52" s="790"/>
      <c r="HV52" s="790"/>
      <c r="HW52" s="790"/>
      <c r="HX52" s="790"/>
      <c r="HY52" s="790"/>
      <c r="HZ52" s="790"/>
      <c r="IA52" s="790"/>
      <c r="IB52" s="790"/>
      <c r="IC52" s="790"/>
      <c r="ID52" s="790"/>
      <c r="IE52" s="790"/>
      <c r="IF52" s="790"/>
      <c r="IG52" s="790"/>
      <c r="IH52" s="790"/>
      <c r="II52" s="790"/>
      <c r="IJ52" s="790"/>
      <c r="IK52" s="790"/>
      <c r="IL52" s="790"/>
      <c r="IM52" s="790"/>
      <c r="IN52" s="790"/>
      <c r="IO52" s="790"/>
      <c r="IP52" s="790"/>
      <c r="IQ52" s="790"/>
      <c r="IR52" s="790"/>
      <c r="IS52" s="790"/>
      <c r="IT52" s="790"/>
      <c r="IU52" s="790"/>
      <c r="IV52" s="790"/>
      <c r="IW52" s="790"/>
      <c r="IX52" s="790"/>
      <c r="IY52" s="790"/>
      <c r="IZ52" s="790"/>
      <c r="JA52" s="790"/>
      <c r="JB52" s="790"/>
      <c r="JC52" s="790"/>
      <c r="JD52" s="790"/>
      <c r="JE52" s="790"/>
      <c r="JF52" s="790"/>
      <c r="JG52" s="790"/>
      <c r="JH52" s="790"/>
      <c r="JI52" s="790"/>
      <c r="JJ52" s="790"/>
      <c r="JK52" s="790"/>
      <c r="JL52" s="790"/>
      <c r="JM52" s="790"/>
      <c r="JN52" s="790"/>
      <c r="JO52" s="790"/>
      <c r="JP52" s="790"/>
      <c r="JQ52" s="790"/>
      <c r="JR52" s="790"/>
      <c r="JS52" s="790"/>
      <c r="JT52" s="790"/>
      <c r="JU52" s="790"/>
      <c r="JV52" s="790"/>
      <c r="JW52" s="790"/>
      <c r="JX52" s="790"/>
      <c r="JY52" s="790"/>
      <c r="JZ52" s="790"/>
      <c r="KA52" s="790"/>
      <c r="KB52" s="790"/>
      <c r="KC52" s="790"/>
      <c r="KD52" s="790"/>
      <c r="KE52" s="790"/>
      <c r="KF52" s="790"/>
      <c r="KG52" s="790"/>
      <c r="KH52" s="790"/>
      <c r="KI52" s="790"/>
      <c r="KJ52" s="790"/>
      <c r="KK52" s="790"/>
      <c r="KL52" s="790"/>
      <c r="KM52" s="790"/>
      <c r="KN52" s="790"/>
      <c r="KO52" s="790"/>
      <c r="KP52" s="790"/>
      <c r="KQ52" s="790"/>
      <c r="KR52" s="790"/>
      <c r="KS52" s="790"/>
      <c r="KT52" s="790"/>
      <c r="KU52" s="790"/>
      <c r="KV52" s="790"/>
      <c r="KW52" s="790"/>
      <c r="KX52" s="790"/>
      <c r="KY52" s="790"/>
      <c r="KZ52" s="790"/>
      <c r="LA52" s="790"/>
      <c r="LB52" s="790"/>
      <c r="LC52" s="790"/>
      <c r="LD52" s="790"/>
      <c r="LE52" s="790"/>
      <c r="LF52" s="790"/>
      <c r="LG52" s="790"/>
      <c r="LH52" s="790"/>
      <c r="LI52" s="790"/>
      <c r="LJ52" s="790"/>
      <c r="LK52" s="790"/>
      <c r="LL52" s="790"/>
      <c r="LM52" s="790"/>
      <c r="LN52" s="790"/>
      <c r="LO52" s="790"/>
      <c r="LP52" s="790"/>
      <c r="LQ52" s="790"/>
      <c r="LR52" s="790"/>
      <c r="LS52" s="790"/>
      <c r="LT52" s="790"/>
      <c r="LU52" s="790"/>
      <c r="LV52" s="790"/>
      <c r="LW52" s="790"/>
      <c r="LX52" s="790"/>
      <c r="LY52" s="790"/>
      <c r="LZ52" s="790"/>
      <c r="MA52" s="790"/>
      <c r="MB52" s="790"/>
      <c r="MC52" s="790"/>
      <c r="MD52" s="790"/>
      <c r="ME52" s="790"/>
      <c r="MF52" s="790"/>
      <c r="MG52" s="790"/>
      <c r="MH52" s="790"/>
      <c r="MI52" s="790"/>
      <c r="MJ52" s="790"/>
      <c r="MK52" s="790"/>
      <c r="ML52" s="790"/>
      <c r="MM52" s="790"/>
      <c r="MN52" s="790"/>
      <c r="MO52" s="790"/>
      <c r="MP52" s="790"/>
      <c r="MQ52" s="790"/>
      <c r="MR52" s="790"/>
      <c r="MS52" s="790"/>
      <c r="MT52" s="790"/>
      <c r="MU52" s="790"/>
      <c r="MV52" s="790"/>
      <c r="MW52" s="790"/>
      <c r="MX52" s="790"/>
      <c r="MY52" s="790"/>
      <c r="MZ52" s="790"/>
      <c r="NA52" s="790"/>
      <c r="NB52" s="790"/>
      <c r="NC52" s="790"/>
      <c r="ND52" s="790"/>
      <c r="NE52" s="790"/>
      <c r="NF52" s="790"/>
      <c r="NG52" s="790"/>
      <c r="NH52" s="790"/>
      <c r="NI52" s="790"/>
      <c r="NJ52" s="790"/>
      <c r="NK52" s="790"/>
      <c r="NL52" s="790"/>
      <c r="NM52" s="790"/>
      <c r="NN52" s="790"/>
      <c r="NO52" s="790"/>
      <c r="NP52" s="790"/>
      <c r="NQ52" s="790"/>
      <c r="NR52" s="790"/>
      <c r="NS52" s="790"/>
      <c r="NT52" s="790"/>
      <c r="NU52" s="790"/>
      <c r="NV52" s="790"/>
      <c r="NW52" s="790"/>
      <c r="NX52" s="790"/>
      <c r="NY52" s="790"/>
      <c r="NZ52" s="790"/>
      <c r="OA52" s="790"/>
      <c r="OB52" s="790"/>
      <c r="OC52" s="790"/>
      <c r="OD52" s="790"/>
      <c r="OE52" s="790"/>
      <c r="OF52" s="790"/>
      <c r="OG52" s="790"/>
      <c r="OH52" s="790"/>
      <c r="OI52" s="790"/>
      <c r="OJ52" s="790"/>
      <c r="OK52" s="790"/>
      <c r="OL52" s="790"/>
      <c r="OM52" s="790"/>
      <c r="ON52" s="790"/>
      <c r="OO52" s="790"/>
      <c r="OP52" s="790"/>
      <c r="OQ52" s="790"/>
      <c r="OR52" s="790"/>
      <c r="OS52" s="790"/>
      <c r="OT52" s="790"/>
      <c r="OU52" s="790"/>
      <c r="OV52" s="790"/>
      <c r="OW52" s="790"/>
      <c r="OX52" s="790"/>
      <c r="OY52" s="790"/>
      <c r="OZ52" s="790"/>
      <c r="PA52" s="790"/>
      <c r="PB52" s="790"/>
      <c r="PC52" s="790"/>
      <c r="PD52" s="790"/>
      <c r="PE52" s="790"/>
      <c r="PF52" s="790"/>
      <c r="PG52" s="790"/>
      <c r="PH52" s="790"/>
      <c r="PI52" s="790"/>
      <c r="PJ52" s="790"/>
      <c r="PK52" s="790"/>
      <c r="PL52" s="790"/>
      <c r="PM52" s="790"/>
      <c r="PN52" s="790"/>
      <c r="PO52" s="790"/>
      <c r="PP52" s="790"/>
      <c r="PQ52" s="790"/>
      <c r="PR52" s="790"/>
      <c r="PS52" s="790"/>
      <c r="PT52" s="790"/>
      <c r="PU52" s="790"/>
      <c r="PV52" s="790"/>
      <c r="PW52" s="790"/>
      <c r="PX52" s="790"/>
      <c r="PY52" s="790"/>
      <c r="PZ52" s="790"/>
      <c r="QA52" s="790"/>
      <c r="QB52" s="790"/>
      <c r="QC52" s="790"/>
      <c r="QD52" s="790"/>
      <c r="QE52" s="790"/>
      <c r="QF52" s="790"/>
      <c r="QG52" s="790"/>
      <c r="QH52" s="790"/>
      <c r="QI52" s="790"/>
      <c r="QJ52" s="790"/>
      <c r="QK52" s="790"/>
      <c r="QL52" s="790"/>
      <c r="QM52" s="790"/>
      <c r="QN52" s="790"/>
      <c r="QO52" s="790"/>
      <c r="QP52" s="790"/>
      <c r="QQ52" s="790"/>
      <c r="QR52" s="790"/>
      <c r="QS52" s="790"/>
      <c r="QT52" s="790"/>
      <c r="QU52" s="790"/>
      <c r="QV52" s="790"/>
      <c r="QW52" s="790"/>
      <c r="QX52" s="790"/>
      <c r="QY52" s="790"/>
      <c r="QZ52" s="790"/>
      <c r="RA52" s="790"/>
      <c r="RB52" s="790"/>
      <c r="RC52" s="790"/>
      <c r="RD52" s="790"/>
      <c r="RE52" s="790"/>
      <c r="RF52" s="790"/>
      <c r="RG52" s="790"/>
      <c r="RH52" s="790"/>
      <c r="RI52" s="790"/>
      <c r="RJ52" s="790"/>
      <c r="RK52" s="790"/>
      <c r="RL52" s="790"/>
      <c r="RM52" s="790"/>
      <c r="RN52" s="790"/>
      <c r="RO52" s="790"/>
      <c r="RP52" s="790"/>
      <c r="RQ52" s="790"/>
      <c r="RR52" s="790"/>
      <c r="RS52" s="790"/>
      <c r="RT52" s="790"/>
      <c r="RU52" s="790"/>
      <c r="RV52" s="790"/>
      <c r="RW52" s="790"/>
      <c r="RX52" s="790"/>
    </row>
    <row r="53" spans="1:492" s="166" customFormat="1">
      <c r="A53" s="790"/>
      <c r="B53" s="790"/>
      <c r="C53" s="790"/>
      <c r="D53" s="790"/>
      <c r="E53" s="790"/>
      <c r="F53" s="790"/>
      <c r="G53" s="790"/>
      <c r="H53" s="790"/>
      <c r="I53" s="790"/>
      <c r="J53" s="790"/>
      <c r="K53" s="790"/>
      <c r="L53" s="790"/>
      <c r="M53" s="790"/>
      <c r="N53" s="790"/>
      <c r="O53" s="790"/>
      <c r="P53" s="790"/>
      <c r="Q53" s="790"/>
      <c r="R53" s="790"/>
      <c r="S53" s="790"/>
      <c r="T53" s="790"/>
      <c r="U53" s="790"/>
      <c r="V53" s="790"/>
      <c r="W53" s="790"/>
      <c r="X53" s="790"/>
      <c r="Y53" s="790"/>
      <c r="Z53" s="790"/>
      <c r="AA53" s="790"/>
      <c r="AB53" s="790"/>
      <c r="AC53" s="790"/>
      <c r="AD53" s="790"/>
      <c r="AE53" s="790"/>
      <c r="AF53" s="790"/>
      <c r="AG53" s="790"/>
      <c r="AH53" s="790"/>
      <c r="AI53" s="790"/>
      <c r="AJ53" s="790"/>
      <c r="AK53" s="790"/>
      <c r="AL53" s="790"/>
      <c r="AM53" s="781"/>
      <c r="AN53" s="781"/>
      <c r="AO53" s="781"/>
      <c r="AP53" s="781"/>
      <c r="AQ53" s="781"/>
      <c r="AR53" s="781"/>
      <c r="AS53" s="781"/>
      <c r="AT53" s="781"/>
      <c r="AU53" s="781"/>
      <c r="AV53" s="781"/>
      <c r="AW53" s="781"/>
      <c r="AX53" s="781"/>
      <c r="AY53" s="781"/>
      <c r="AZ53" s="781"/>
      <c r="BA53" s="781"/>
      <c r="BB53" s="781"/>
      <c r="BC53" s="781"/>
      <c r="BD53" s="781"/>
      <c r="BE53" s="781"/>
      <c r="BF53" s="781"/>
      <c r="BG53" s="781"/>
      <c r="BH53" s="781"/>
      <c r="BI53" s="781"/>
      <c r="BJ53" s="781"/>
      <c r="BK53" s="781"/>
      <c r="BL53" s="781"/>
      <c r="BM53" s="781"/>
      <c r="BN53" s="781"/>
      <c r="BO53" s="781"/>
      <c r="BP53" s="781"/>
      <c r="BQ53" s="781"/>
      <c r="BR53" s="781"/>
      <c r="BS53" s="781"/>
      <c r="BT53" s="781"/>
      <c r="BU53" s="781"/>
      <c r="BV53" s="790"/>
      <c r="BW53" s="790"/>
      <c r="BX53" s="790"/>
      <c r="BY53" s="790"/>
      <c r="BZ53" s="790"/>
      <c r="CA53" s="790"/>
      <c r="CB53" s="790"/>
      <c r="CC53" s="790"/>
      <c r="CD53" s="790"/>
      <c r="CE53" s="790"/>
      <c r="CF53" s="790"/>
      <c r="CG53" s="790"/>
      <c r="CH53" s="790"/>
      <c r="CI53" s="790"/>
      <c r="CJ53" s="790"/>
      <c r="CK53" s="790"/>
      <c r="CL53" s="790"/>
      <c r="CM53" s="790"/>
      <c r="CN53" s="790"/>
      <c r="CO53" s="790"/>
      <c r="CP53" s="790"/>
      <c r="CQ53" s="790"/>
      <c r="CR53" s="790"/>
      <c r="CS53" s="790"/>
      <c r="CT53" s="790"/>
      <c r="CU53" s="790"/>
      <c r="CV53" s="790"/>
      <c r="CW53" s="790"/>
      <c r="CX53" s="790"/>
      <c r="CY53" s="790"/>
      <c r="CZ53" s="790"/>
      <c r="DA53" s="790"/>
      <c r="DB53" s="790"/>
      <c r="DC53" s="790"/>
      <c r="DD53" s="790"/>
      <c r="DE53" s="790"/>
      <c r="DF53" s="790"/>
      <c r="DG53" s="790"/>
      <c r="DH53" s="790"/>
      <c r="DI53" s="790"/>
      <c r="DJ53" s="790"/>
      <c r="DK53" s="790"/>
      <c r="DL53" s="790"/>
      <c r="DM53" s="790"/>
      <c r="DN53" s="790"/>
      <c r="DO53" s="790"/>
      <c r="DP53" s="790"/>
      <c r="DQ53" s="790"/>
      <c r="DR53" s="790"/>
      <c r="DS53" s="790"/>
      <c r="DT53" s="790"/>
      <c r="DU53" s="790"/>
      <c r="DV53" s="790"/>
      <c r="DW53" s="790"/>
      <c r="DX53" s="790"/>
      <c r="DY53" s="790"/>
      <c r="DZ53" s="790"/>
      <c r="EA53" s="790"/>
      <c r="EB53" s="790"/>
      <c r="EC53" s="790"/>
      <c r="ED53" s="790"/>
      <c r="EE53" s="790"/>
      <c r="EF53" s="790"/>
      <c r="EG53" s="790"/>
      <c r="EH53" s="790"/>
      <c r="EI53" s="790"/>
      <c r="EJ53" s="790"/>
      <c r="EK53" s="790"/>
      <c r="EL53" s="790"/>
      <c r="EM53" s="790"/>
      <c r="EN53" s="790"/>
      <c r="EO53" s="790"/>
      <c r="EP53" s="790"/>
      <c r="EQ53" s="790"/>
      <c r="ER53" s="790"/>
      <c r="ES53" s="790"/>
      <c r="ET53" s="790"/>
      <c r="EU53" s="790"/>
      <c r="EV53" s="790"/>
      <c r="EW53" s="790"/>
      <c r="EX53" s="790"/>
      <c r="EY53" s="790"/>
      <c r="EZ53" s="790"/>
      <c r="FA53" s="790"/>
      <c r="FB53" s="790"/>
      <c r="FC53" s="790"/>
      <c r="FD53" s="790"/>
      <c r="FE53" s="790"/>
      <c r="FF53" s="790"/>
      <c r="FG53" s="790"/>
      <c r="FH53" s="790"/>
      <c r="FI53" s="790"/>
      <c r="FJ53" s="790"/>
      <c r="FK53" s="790"/>
      <c r="FL53" s="790"/>
      <c r="FM53" s="790"/>
      <c r="FN53" s="790"/>
      <c r="FO53" s="790"/>
      <c r="FP53" s="790"/>
      <c r="FQ53" s="790"/>
      <c r="FR53" s="790"/>
      <c r="FS53" s="790"/>
      <c r="FT53" s="790"/>
      <c r="FU53" s="790"/>
      <c r="FV53" s="790"/>
      <c r="FW53" s="790"/>
      <c r="FX53" s="790"/>
      <c r="FY53" s="790"/>
      <c r="FZ53" s="790"/>
      <c r="GA53" s="790"/>
      <c r="GB53" s="790"/>
      <c r="GC53" s="790"/>
      <c r="GD53" s="790"/>
      <c r="GE53" s="790"/>
      <c r="GF53" s="790"/>
      <c r="GG53" s="790"/>
      <c r="GH53" s="790"/>
      <c r="GI53" s="790"/>
      <c r="GJ53" s="790"/>
      <c r="GK53" s="790"/>
      <c r="GL53" s="790"/>
      <c r="GM53" s="790"/>
      <c r="GN53" s="790"/>
      <c r="GO53" s="790"/>
      <c r="GP53" s="790"/>
      <c r="GQ53" s="790"/>
      <c r="GR53" s="790"/>
      <c r="GS53" s="790"/>
      <c r="GT53" s="790"/>
      <c r="GU53" s="790"/>
      <c r="GV53" s="790"/>
      <c r="GW53" s="790"/>
      <c r="GX53" s="790"/>
      <c r="GY53" s="790"/>
      <c r="GZ53" s="790"/>
      <c r="HA53" s="790"/>
      <c r="HB53" s="790"/>
      <c r="HC53" s="790"/>
      <c r="HD53" s="790"/>
      <c r="HE53" s="790"/>
      <c r="HF53" s="790"/>
      <c r="HG53" s="790"/>
      <c r="HH53" s="790"/>
      <c r="HI53" s="790"/>
      <c r="HJ53" s="790"/>
      <c r="HK53" s="790"/>
      <c r="HL53" s="790"/>
      <c r="HM53" s="790"/>
      <c r="HN53" s="790"/>
      <c r="HO53" s="790"/>
      <c r="HP53" s="790"/>
      <c r="HQ53" s="790"/>
      <c r="HR53" s="790"/>
      <c r="HS53" s="790"/>
      <c r="HT53" s="790"/>
      <c r="HU53" s="790"/>
      <c r="HV53" s="790"/>
      <c r="HW53" s="790"/>
      <c r="HX53" s="790"/>
      <c r="HY53" s="790"/>
      <c r="HZ53" s="790"/>
      <c r="IA53" s="790"/>
      <c r="IB53" s="790"/>
      <c r="IC53" s="790"/>
      <c r="ID53" s="790"/>
      <c r="IE53" s="790"/>
      <c r="IF53" s="790"/>
      <c r="IG53" s="790"/>
      <c r="IH53" s="790"/>
      <c r="II53" s="790"/>
      <c r="IJ53" s="790"/>
      <c r="IK53" s="790"/>
      <c r="IL53" s="790"/>
      <c r="IM53" s="790"/>
      <c r="IN53" s="790"/>
      <c r="IO53" s="790"/>
      <c r="IP53" s="790"/>
      <c r="IQ53" s="790"/>
      <c r="IR53" s="790"/>
      <c r="IS53" s="790"/>
      <c r="IT53" s="790"/>
      <c r="IU53" s="790"/>
      <c r="IV53" s="790"/>
      <c r="IW53" s="790"/>
      <c r="IX53" s="790"/>
      <c r="IY53" s="790"/>
      <c r="IZ53" s="790"/>
      <c r="JA53" s="790"/>
      <c r="JB53" s="790"/>
      <c r="JC53" s="790"/>
      <c r="JD53" s="790"/>
      <c r="JE53" s="790"/>
      <c r="JF53" s="790"/>
      <c r="JG53" s="790"/>
      <c r="JH53" s="790"/>
      <c r="JI53" s="790"/>
      <c r="JJ53" s="790"/>
      <c r="JK53" s="790"/>
      <c r="JL53" s="790"/>
      <c r="JM53" s="790"/>
      <c r="JN53" s="790"/>
      <c r="JO53" s="790"/>
      <c r="JP53" s="790"/>
      <c r="JQ53" s="790"/>
      <c r="JR53" s="790"/>
      <c r="JS53" s="790"/>
      <c r="JT53" s="790"/>
      <c r="JU53" s="790"/>
      <c r="JV53" s="790"/>
      <c r="JW53" s="790"/>
      <c r="JX53" s="790"/>
      <c r="JY53" s="790"/>
      <c r="JZ53" s="790"/>
      <c r="KA53" s="790"/>
      <c r="KB53" s="790"/>
      <c r="KC53" s="790"/>
      <c r="KD53" s="790"/>
      <c r="KE53" s="790"/>
      <c r="KF53" s="790"/>
      <c r="KG53" s="790"/>
      <c r="KH53" s="790"/>
      <c r="KI53" s="790"/>
      <c r="KJ53" s="790"/>
      <c r="KK53" s="790"/>
      <c r="KL53" s="790"/>
      <c r="KM53" s="790"/>
      <c r="KN53" s="790"/>
      <c r="KO53" s="790"/>
      <c r="KP53" s="790"/>
      <c r="KQ53" s="790"/>
      <c r="KR53" s="790"/>
      <c r="KS53" s="790"/>
      <c r="KT53" s="790"/>
      <c r="KU53" s="790"/>
      <c r="KV53" s="790"/>
      <c r="KW53" s="790"/>
      <c r="KX53" s="790"/>
      <c r="KY53" s="790"/>
      <c r="KZ53" s="790"/>
      <c r="LA53" s="790"/>
      <c r="LB53" s="790"/>
      <c r="LC53" s="790"/>
      <c r="LD53" s="790"/>
      <c r="LE53" s="790"/>
      <c r="LF53" s="790"/>
      <c r="LG53" s="790"/>
      <c r="LH53" s="790"/>
      <c r="LI53" s="790"/>
      <c r="LJ53" s="790"/>
      <c r="LK53" s="790"/>
      <c r="LL53" s="790"/>
      <c r="LM53" s="790"/>
      <c r="LN53" s="790"/>
      <c r="LO53" s="790"/>
      <c r="LP53" s="790"/>
      <c r="LQ53" s="790"/>
      <c r="LR53" s="790"/>
      <c r="LS53" s="790"/>
      <c r="LT53" s="790"/>
      <c r="LU53" s="790"/>
      <c r="LV53" s="790"/>
      <c r="LW53" s="790"/>
      <c r="LX53" s="790"/>
      <c r="LY53" s="790"/>
      <c r="LZ53" s="790"/>
      <c r="MA53" s="790"/>
      <c r="MB53" s="790"/>
      <c r="MC53" s="790"/>
      <c r="MD53" s="790"/>
      <c r="ME53" s="790"/>
      <c r="MF53" s="790"/>
      <c r="MG53" s="790"/>
      <c r="MH53" s="790"/>
      <c r="MI53" s="790"/>
      <c r="MJ53" s="790"/>
      <c r="MK53" s="790"/>
      <c r="ML53" s="790"/>
      <c r="MM53" s="790"/>
      <c r="MN53" s="790"/>
      <c r="MO53" s="790"/>
      <c r="MP53" s="790"/>
      <c r="MQ53" s="790"/>
      <c r="MR53" s="790"/>
      <c r="MS53" s="790"/>
      <c r="MT53" s="790"/>
      <c r="MU53" s="790"/>
      <c r="MV53" s="790"/>
      <c r="MW53" s="790"/>
      <c r="MX53" s="790"/>
      <c r="MY53" s="790"/>
      <c r="MZ53" s="790"/>
      <c r="NA53" s="790"/>
      <c r="NB53" s="790"/>
      <c r="NC53" s="790"/>
      <c r="ND53" s="790"/>
      <c r="NE53" s="790"/>
      <c r="NF53" s="790"/>
      <c r="NG53" s="790"/>
      <c r="NH53" s="790"/>
      <c r="NI53" s="790"/>
      <c r="NJ53" s="790"/>
      <c r="NK53" s="790"/>
      <c r="NL53" s="790"/>
      <c r="NM53" s="790"/>
      <c r="NN53" s="790"/>
      <c r="NO53" s="790"/>
      <c r="NP53" s="790"/>
      <c r="NQ53" s="790"/>
      <c r="NR53" s="790"/>
      <c r="NS53" s="790"/>
      <c r="NT53" s="790"/>
      <c r="NU53" s="790"/>
      <c r="NV53" s="790"/>
      <c r="NW53" s="790"/>
      <c r="NX53" s="790"/>
      <c r="NY53" s="790"/>
      <c r="NZ53" s="790"/>
      <c r="OA53" s="790"/>
      <c r="OB53" s="790"/>
      <c r="OC53" s="790"/>
      <c r="OD53" s="790"/>
      <c r="OE53" s="790"/>
      <c r="OF53" s="790"/>
      <c r="OG53" s="790"/>
      <c r="OH53" s="790"/>
      <c r="OI53" s="790"/>
      <c r="OJ53" s="790"/>
      <c r="OK53" s="790"/>
      <c r="OL53" s="790"/>
      <c r="OM53" s="790"/>
      <c r="ON53" s="790"/>
      <c r="OO53" s="790"/>
      <c r="OP53" s="790"/>
      <c r="OQ53" s="790"/>
      <c r="OR53" s="790"/>
      <c r="OS53" s="790"/>
      <c r="OT53" s="790"/>
      <c r="OU53" s="790"/>
      <c r="OV53" s="790"/>
      <c r="OW53" s="790"/>
      <c r="OX53" s="790"/>
      <c r="OY53" s="790"/>
      <c r="OZ53" s="790"/>
      <c r="PA53" s="790"/>
      <c r="PB53" s="790"/>
      <c r="PC53" s="790"/>
      <c r="PD53" s="790"/>
      <c r="PE53" s="790"/>
      <c r="PF53" s="790"/>
      <c r="PG53" s="790"/>
      <c r="PH53" s="790"/>
      <c r="PI53" s="790"/>
      <c r="PJ53" s="790"/>
      <c r="PK53" s="790"/>
      <c r="PL53" s="790"/>
      <c r="PM53" s="790"/>
      <c r="PN53" s="790"/>
      <c r="PO53" s="790"/>
      <c r="PP53" s="790"/>
      <c r="PQ53" s="790"/>
      <c r="PR53" s="790"/>
      <c r="PS53" s="790"/>
      <c r="PT53" s="790"/>
      <c r="PU53" s="790"/>
      <c r="PV53" s="790"/>
      <c r="PW53" s="790"/>
      <c r="PX53" s="790"/>
      <c r="PY53" s="790"/>
      <c r="PZ53" s="790"/>
      <c r="QA53" s="790"/>
      <c r="QB53" s="790"/>
      <c r="QC53" s="790"/>
      <c r="QD53" s="790"/>
      <c r="QE53" s="790"/>
      <c r="QF53" s="790"/>
      <c r="QG53" s="790"/>
      <c r="QH53" s="790"/>
      <c r="QI53" s="790"/>
      <c r="QJ53" s="790"/>
      <c r="QK53" s="790"/>
      <c r="QL53" s="790"/>
      <c r="QM53" s="790"/>
      <c r="QN53" s="790"/>
      <c r="QO53" s="790"/>
      <c r="QP53" s="790"/>
      <c r="QQ53" s="790"/>
      <c r="QR53" s="790"/>
      <c r="QS53" s="790"/>
      <c r="QT53" s="790"/>
      <c r="QU53" s="790"/>
      <c r="QV53" s="790"/>
      <c r="QW53" s="790"/>
      <c r="QX53" s="790"/>
      <c r="QY53" s="790"/>
      <c r="QZ53" s="790"/>
      <c r="RA53" s="790"/>
      <c r="RB53" s="790"/>
      <c r="RC53" s="790"/>
      <c r="RD53" s="790"/>
      <c r="RE53" s="790"/>
      <c r="RF53" s="790"/>
      <c r="RG53" s="790"/>
      <c r="RH53" s="790"/>
      <c r="RI53" s="790"/>
      <c r="RJ53" s="790"/>
      <c r="RK53" s="790"/>
      <c r="RL53" s="790"/>
      <c r="RM53" s="790"/>
      <c r="RN53" s="790"/>
      <c r="RO53" s="790"/>
      <c r="RP53" s="790"/>
      <c r="RQ53" s="790"/>
      <c r="RR53" s="790"/>
      <c r="RS53" s="790"/>
      <c r="RT53" s="790"/>
      <c r="RU53" s="790"/>
      <c r="RV53" s="790"/>
      <c r="RW53" s="790"/>
      <c r="RX53" s="790"/>
    </row>
    <row r="54" spans="1:492" s="166" customFormat="1">
      <c r="A54" s="790"/>
      <c r="B54" s="790"/>
      <c r="C54" s="790"/>
      <c r="D54" s="790"/>
      <c r="E54" s="790"/>
      <c r="F54" s="790"/>
      <c r="G54" s="790"/>
      <c r="H54" s="790"/>
      <c r="I54" s="790"/>
      <c r="J54" s="790"/>
      <c r="K54" s="790"/>
      <c r="L54" s="790"/>
      <c r="M54" s="790"/>
      <c r="N54" s="790"/>
      <c r="O54" s="790"/>
      <c r="P54" s="790"/>
      <c r="Q54" s="790"/>
      <c r="R54" s="790"/>
      <c r="S54" s="790"/>
      <c r="T54" s="790"/>
      <c r="U54" s="790"/>
      <c r="V54" s="790"/>
      <c r="W54" s="790"/>
      <c r="X54" s="790"/>
      <c r="Y54" s="790"/>
      <c r="Z54" s="790"/>
      <c r="AA54" s="790"/>
      <c r="AB54" s="790"/>
      <c r="AC54" s="790"/>
      <c r="AD54" s="790"/>
      <c r="AE54" s="790"/>
      <c r="AF54" s="790"/>
      <c r="AG54" s="790"/>
      <c r="AH54" s="790"/>
      <c r="AI54" s="790"/>
      <c r="AJ54" s="790"/>
      <c r="AK54" s="790"/>
      <c r="AL54" s="790"/>
      <c r="AM54" s="781"/>
      <c r="AN54" s="781"/>
      <c r="AO54" s="781"/>
      <c r="AP54" s="781"/>
      <c r="AQ54" s="781"/>
      <c r="AR54" s="781"/>
      <c r="AS54" s="781"/>
      <c r="AT54" s="781"/>
      <c r="AU54" s="781"/>
      <c r="AV54" s="781"/>
      <c r="AW54" s="781"/>
      <c r="AX54" s="781"/>
      <c r="AY54" s="781"/>
      <c r="AZ54" s="781"/>
      <c r="BA54" s="781"/>
      <c r="BB54" s="781"/>
      <c r="BC54" s="781"/>
      <c r="BD54" s="781"/>
      <c r="BE54" s="781"/>
      <c r="BF54" s="781"/>
      <c r="BG54" s="781"/>
      <c r="BH54" s="781"/>
      <c r="BI54" s="781"/>
      <c r="BJ54" s="781"/>
      <c r="BK54" s="781"/>
      <c r="BL54" s="781"/>
      <c r="BM54" s="781"/>
      <c r="BN54" s="781"/>
      <c r="BO54" s="781"/>
      <c r="BP54" s="781"/>
      <c r="BQ54" s="781"/>
      <c r="BR54" s="781"/>
      <c r="BS54" s="781"/>
      <c r="BT54" s="781"/>
      <c r="BU54" s="781"/>
      <c r="BV54" s="790"/>
      <c r="BW54" s="790"/>
      <c r="BX54" s="790"/>
      <c r="BY54" s="790"/>
      <c r="BZ54" s="790"/>
      <c r="CA54" s="790"/>
      <c r="CB54" s="790"/>
      <c r="CC54" s="790"/>
      <c r="CD54" s="790"/>
      <c r="CE54" s="790"/>
      <c r="CF54" s="790"/>
      <c r="CG54" s="790"/>
      <c r="CH54" s="790"/>
      <c r="CI54" s="790"/>
      <c r="CJ54" s="790"/>
      <c r="CK54" s="790"/>
      <c r="CL54" s="790"/>
      <c r="CM54" s="790"/>
      <c r="CN54" s="790"/>
      <c r="CO54" s="790"/>
      <c r="CP54" s="790"/>
      <c r="CQ54" s="790"/>
      <c r="CR54" s="790"/>
      <c r="CS54" s="790"/>
      <c r="CT54" s="790"/>
      <c r="CU54" s="790"/>
      <c r="CV54" s="790"/>
      <c r="CW54" s="790"/>
      <c r="CX54" s="790"/>
      <c r="CY54" s="790"/>
      <c r="CZ54" s="790"/>
      <c r="DA54" s="790"/>
      <c r="DB54" s="790"/>
      <c r="DC54" s="790"/>
      <c r="DD54" s="790"/>
      <c r="DE54" s="790"/>
      <c r="DF54" s="790"/>
      <c r="DG54" s="790"/>
      <c r="DH54" s="790"/>
      <c r="DI54" s="790"/>
      <c r="DJ54" s="790"/>
      <c r="DK54" s="790"/>
      <c r="DL54" s="790"/>
      <c r="DM54" s="790"/>
      <c r="DN54" s="790"/>
      <c r="DO54" s="790"/>
      <c r="DP54" s="790"/>
      <c r="DQ54" s="790"/>
      <c r="DR54" s="790"/>
      <c r="DS54" s="790"/>
      <c r="DT54" s="790"/>
      <c r="DU54" s="790"/>
      <c r="DV54" s="790"/>
      <c r="DW54" s="790"/>
      <c r="DX54" s="790"/>
      <c r="DY54" s="790"/>
      <c r="DZ54" s="790"/>
      <c r="EA54" s="790"/>
      <c r="EB54" s="790"/>
      <c r="EC54" s="790"/>
      <c r="ED54" s="790"/>
      <c r="EE54" s="790"/>
      <c r="EF54" s="790"/>
      <c r="EG54" s="790"/>
      <c r="EH54" s="790"/>
      <c r="EI54" s="790"/>
      <c r="EJ54" s="790"/>
      <c r="EK54" s="790"/>
      <c r="EL54" s="790"/>
      <c r="EM54" s="790"/>
      <c r="EN54" s="790"/>
      <c r="EO54" s="790"/>
      <c r="EP54" s="790"/>
      <c r="EQ54" s="790"/>
      <c r="ER54" s="790"/>
      <c r="ES54" s="790"/>
      <c r="ET54" s="790"/>
      <c r="EU54" s="790"/>
      <c r="EV54" s="790"/>
      <c r="EW54" s="790"/>
      <c r="EX54" s="790"/>
      <c r="EY54" s="790"/>
      <c r="EZ54" s="790"/>
      <c r="FA54" s="790"/>
      <c r="FB54" s="790"/>
      <c r="FC54" s="790"/>
      <c r="FD54" s="790"/>
      <c r="FE54" s="790"/>
      <c r="FF54" s="790"/>
      <c r="FG54" s="790"/>
      <c r="FH54" s="790"/>
      <c r="FI54" s="790"/>
      <c r="FJ54" s="790"/>
      <c r="FK54" s="790"/>
      <c r="FL54" s="790"/>
      <c r="FM54" s="790"/>
      <c r="FN54" s="790"/>
      <c r="FO54" s="790"/>
      <c r="FP54" s="790"/>
      <c r="FQ54" s="790"/>
      <c r="FR54" s="790"/>
      <c r="FS54" s="790"/>
      <c r="FT54" s="790"/>
      <c r="FU54" s="790"/>
      <c r="FV54" s="790"/>
      <c r="FW54" s="790"/>
      <c r="FX54" s="790"/>
      <c r="FY54" s="790"/>
      <c r="FZ54" s="790"/>
      <c r="GA54" s="790"/>
      <c r="GB54" s="790"/>
      <c r="GC54" s="790"/>
      <c r="GD54" s="790"/>
      <c r="GE54" s="790"/>
      <c r="GF54" s="790"/>
      <c r="GG54" s="790"/>
      <c r="GH54" s="790"/>
      <c r="GI54" s="790"/>
      <c r="GJ54" s="790"/>
      <c r="GK54" s="790"/>
      <c r="GL54" s="790"/>
      <c r="GM54" s="790"/>
      <c r="GN54" s="790"/>
      <c r="GO54" s="790"/>
      <c r="GP54" s="790"/>
      <c r="GQ54" s="790"/>
      <c r="GR54" s="790"/>
      <c r="GS54" s="790"/>
      <c r="GT54" s="790"/>
      <c r="GU54" s="790"/>
      <c r="GV54" s="790"/>
      <c r="GW54" s="790"/>
      <c r="GX54" s="790"/>
      <c r="GY54" s="790"/>
      <c r="GZ54" s="790"/>
      <c r="HA54" s="790"/>
      <c r="HB54" s="790"/>
      <c r="HC54" s="790"/>
      <c r="HD54" s="790"/>
      <c r="HE54" s="790"/>
      <c r="HF54" s="790"/>
      <c r="HG54" s="790"/>
      <c r="HH54" s="790"/>
      <c r="HI54" s="790"/>
      <c r="HJ54" s="790"/>
      <c r="HK54" s="790"/>
      <c r="HL54" s="790"/>
      <c r="HM54" s="790"/>
      <c r="HN54" s="790"/>
      <c r="HO54" s="790"/>
      <c r="HP54" s="790"/>
      <c r="HQ54" s="790"/>
      <c r="HR54" s="790"/>
      <c r="HS54" s="790"/>
      <c r="HT54" s="790"/>
      <c r="HU54" s="790"/>
      <c r="HV54" s="790"/>
      <c r="HW54" s="790"/>
      <c r="HX54" s="790"/>
      <c r="HY54" s="790"/>
      <c r="HZ54" s="790"/>
      <c r="IA54" s="790"/>
      <c r="IB54" s="790"/>
      <c r="IC54" s="790"/>
      <c r="ID54" s="790"/>
      <c r="IE54" s="790"/>
      <c r="IF54" s="790"/>
      <c r="IG54" s="790"/>
      <c r="IH54" s="790"/>
      <c r="II54" s="790"/>
      <c r="IJ54" s="790"/>
      <c r="IK54" s="790"/>
      <c r="IL54" s="790"/>
      <c r="IM54" s="790"/>
      <c r="IN54" s="790"/>
      <c r="IO54" s="790"/>
      <c r="IP54" s="790"/>
      <c r="IQ54" s="790"/>
      <c r="IR54" s="790"/>
      <c r="IS54" s="790"/>
      <c r="IT54" s="790"/>
      <c r="IU54" s="790"/>
      <c r="IV54" s="790"/>
      <c r="IW54" s="790"/>
      <c r="IX54" s="790"/>
      <c r="IY54" s="790"/>
      <c r="IZ54" s="790"/>
      <c r="JA54" s="790"/>
      <c r="JB54" s="790"/>
      <c r="JC54" s="790"/>
      <c r="JD54" s="790"/>
      <c r="JE54" s="790"/>
      <c r="JF54" s="790"/>
      <c r="JG54" s="790"/>
      <c r="JH54" s="790"/>
      <c r="JI54" s="790"/>
      <c r="JJ54" s="790"/>
      <c r="JK54" s="790"/>
      <c r="JL54" s="790"/>
      <c r="JM54" s="790"/>
      <c r="JN54" s="790"/>
      <c r="JO54" s="790"/>
      <c r="JP54" s="790"/>
      <c r="JQ54" s="790"/>
      <c r="JR54" s="790"/>
      <c r="JS54" s="790"/>
      <c r="JT54" s="790"/>
      <c r="JU54" s="790"/>
      <c r="JV54" s="790"/>
      <c r="JW54" s="790"/>
      <c r="JX54" s="790"/>
      <c r="JY54" s="790"/>
      <c r="JZ54" s="790"/>
      <c r="KA54" s="790"/>
      <c r="KB54" s="790"/>
      <c r="KC54" s="790"/>
      <c r="KD54" s="790"/>
      <c r="KE54" s="790"/>
      <c r="KF54" s="790"/>
      <c r="KG54" s="790"/>
      <c r="KH54" s="790"/>
      <c r="KI54" s="790"/>
      <c r="KJ54" s="790"/>
      <c r="KK54" s="790"/>
      <c r="KL54" s="790"/>
      <c r="KM54" s="790"/>
      <c r="KN54" s="790"/>
      <c r="KO54" s="790"/>
      <c r="KP54" s="790"/>
      <c r="KQ54" s="790"/>
      <c r="KR54" s="790"/>
      <c r="KS54" s="790"/>
      <c r="KT54" s="790"/>
      <c r="KU54" s="790"/>
      <c r="KV54" s="790"/>
      <c r="KW54" s="790"/>
      <c r="KX54" s="790"/>
      <c r="KY54" s="790"/>
      <c r="KZ54" s="790"/>
      <c r="LA54" s="790"/>
      <c r="LB54" s="790"/>
      <c r="LC54" s="790"/>
      <c r="LD54" s="790"/>
      <c r="LE54" s="790"/>
      <c r="LF54" s="790"/>
      <c r="LG54" s="790"/>
      <c r="LH54" s="790"/>
      <c r="LI54" s="790"/>
      <c r="LJ54" s="790"/>
      <c r="LK54" s="790"/>
      <c r="LL54" s="790"/>
      <c r="LM54" s="790"/>
      <c r="LN54" s="790"/>
      <c r="LO54" s="790"/>
      <c r="LP54" s="790"/>
      <c r="LQ54" s="790"/>
      <c r="LR54" s="790"/>
      <c r="LS54" s="790"/>
      <c r="LT54" s="790"/>
      <c r="LU54" s="790"/>
      <c r="LV54" s="790"/>
      <c r="LW54" s="790"/>
      <c r="LX54" s="790"/>
      <c r="LY54" s="790"/>
      <c r="LZ54" s="790"/>
      <c r="MA54" s="790"/>
      <c r="MB54" s="790"/>
      <c r="MC54" s="790"/>
      <c r="MD54" s="790"/>
      <c r="ME54" s="790"/>
      <c r="MF54" s="790"/>
      <c r="MG54" s="790"/>
      <c r="MH54" s="790"/>
      <c r="MI54" s="790"/>
      <c r="MJ54" s="790"/>
      <c r="MK54" s="790"/>
      <c r="ML54" s="790"/>
      <c r="MM54" s="790"/>
      <c r="MN54" s="790"/>
      <c r="MO54" s="790"/>
      <c r="MP54" s="790"/>
      <c r="MQ54" s="790"/>
      <c r="MR54" s="790"/>
      <c r="MS54" s="790"/>
      <c r="MT54" s="790"/>
      <c r="MU54" s="790"/>
      <c r="MV54" s="790"/>
      <c r="MW54" s="790"/>
      <c r="MX54" s="790"/>
      <c r="MY54" s="790"/>
      <c r="MZ54" s="790"/>
      <c r="NA54" s="790"/>
      <c r="NB54" s="790"/>
      <c r="NC54" s="790"/>
      <c r="ND54" s="790"/>
      <c r="NE54" s="790"/>
      <c r="NF54" s="790"/>
      <c r="NG54" s="790"/>
      <c r="NH54" s="790"/>
      <c r="NI54" s="790"/>
      <c r="NJ54" s="790"/>
      <c r="NK54" s="790"/>
      <c r="NL54" s="790"/>
      <c r="NM54" s="790"/>
      <c r="NN54" s="790"/>
      <c r="NO54" s="790"/>
      <c r="NP54" s="790"/>
      <c r="NQ54" s="790"/>
      <c r="NR54" s="790"/>
      <c r="NS54" s="790"/>
      <c r="NT54" s="790"/>
      <c r="NU54" s="790"/>
      <c r="NV54" s="790"/>
      <c r="NW54" s="790"/>
      <c r="NX54" s="790"/>
      <c r="NY54" s="790"/>
      <c r="NZ54" s="790"/>
      <c r="OA54" s="790"/>
      <c r="OB54" s="790"/>
      <c r="OC54" s="790"/>
      <c r="OD54" s="790"/>
      <c r="OE54" s="790"/>
      <c r="OF54" s="790"/>
      <c r="OG54" s="790"/>
      <c r="OH54" s="790"/>
      <c r="OI54" s="790"/>
      <c r="OJ54" s="790"/>
      <c r="OK54" s="790"/>
      <c r="OL54" s="790"/>
      <c r="OM54" s="790"/>
      <c r="ON54" s="790"/>
      <c r="OO54" s="790"/>
      <c r="OP54" s="790"/>
      <c r="OQ54" s="790"/>
      <c r="OR54" s="790"/>
      <c r="OS54" s="790"/>
      <c r="OT54" s="790"/>
      <c r="OU54" s="790"/>
      <c r="OV54" s="790"/>
      <c r="OW54" s="790"/>
      <c r="OX54" s="790"/>
      <c r="OY54" s="790"/>
      <c r="OZ54" s="790"/>
      <c r="PA54" s="790"/>
      <c r="PB54" s="790"/>
      <c r="PC54" s="790"/>
      <c r="PD54" s="790"/>
      <c r="PE54" s="790"/>
      <c r="PF54" s="790"/>
      <c r="PG54" s="790"/>
      <c r="PH54" s="790"/>
      <c r="PI54" s="790"/>
      <c r="PJ54" s="790"/>
      <c r="PK54" s="790"/>
      <c r="PL54" s="790"/>
      <c r="PM54" s="790"/>
      <c r="PN54" s="790"/>
      <c r="PO54" s="790"/>
      <c r="PP54" s="790"/>
      <c r="PQ54" s="790"/>
      <c r="PR54" s="790"/>
      <c r="PS54" s="790"/>
      <c r="PT54" s="790"/>
      <c r="PU54" s="790"/>
      <c r="PV54" s="790"/>
      <c r="PW54" s="790"/>
      <c r="PX54" s="790"/>
      <c r="PY54" s="790"/>
      <c r="PZ54" s="790"/>
      <c r="QA54" s="790"/>
      <c r="QB54" s="790"/>
      <c r="QC54" s="790"/>
      <c r="QD54" s="790"/>
      <c r="QE54" s="790"/>
      <c r="QF54" s="790"/>
      <c r="QG54" s="790"/>
      <c r="QH54" s="790"/>
      <c r="QI54" s="790"/>
      <c r="QJ54" s="790"/>
      <c r="QK54" s="790"/>
      <c r="QL54" s="790"/>
      <c r="QM54" s="790"/>
      <c r="QN54" s="790"/>
      <c r="QO54" s="790"/>
      <c r="QP54" s="790"/>
      <c r="QQ54" s="790"/>
      <c r="QR54" s="790"/>
      <c r="QS54" s="790"/>
      <c r="QT54" s="790"/>
      <c r="QU54" s="790"/>
      <c r="QV54" s="790"/>
      <c r="QW54" s="790"/>
      <c r="QX54" s="790"/>
      <c r="QY54" s="790"/>
      <c r="QZ54" s="790"/>
      <c r="RA54" s="790"/>
      <c r="RB54" s="790"/>
      <c r="RC54" s="790"/>
      <c r="RD54" s="790"/>
      <c r="RE54" s="790"/>
      <c r="RF54" s="790"/>
      <c r="RG54" s="790"/>
      <c r="RH54" s="790"/>
      <c r="RI54" s="790"/>
      <c r="RJ54" s="790"/>
      <c r="RK54" s="790"/>
      <c r="RL54" s="790"/>
      <c r="RM54" s="790"/>
      <c r="RN54" s="790"/>
      <c r="RO54" s="790"/>
      <c r="RP54" s="790"/>
      <c r="RQ54" s="790"/>
      <c r="RR54" s="790"/>
      <c r="RS54" s="790"/>
      <c r="RT54" s="790"/>
      <c r="RU54" s="790"/>
      <c r="RV54" s="790"/>
      <c r="RW54" s="790"/>
      <c r="RX54" s="790"/>
    </row>
    <row r="55" spans="1:492" s="166" customFormat="1">
      <c r="A55" s="790"/>
      <c r="B55" s="790"/>
      <c r="C55" s="790"/>
      <c r="D55" s="790"/>
      <c r="E55" s="790"/>
      <c r="F55" s="790"/>
      <c r="G55" s="790"/>
      <c r="H55" s="790"/>
      <c r="I55" s="790"/>
      <c r="J55" s="790"/>
      <c r="K55" s="790"/>
      <c r="L55" s="790"/>
      <c r="M55" s="790"/>
      <c r="N55" s="790"/>
      <c r="O55" s="790"/>
      <c r="P55" s="790"/>
      <c r="Q55" s="790"/>
      <c r="R55" s="790"/>
      <c r="S55" s="790"/>
      <c r="T55" s="790"/>
      <c r="U55" s="790"/>
      <c r="V55" s="790"/>
      <c r="W55" s="790"/>
      <c r="X55" s="790"/>
      <c r="Y55" s="790"/>
      <c r="Z55" s="790"/>
      <c r="AA55" s="790"/>
      <c r="AB55" s="790"/>
      <c r="AC55" s="790"/>
      <c r="AD55" s="790"/>
      <c r="AE55" s="790"/>
      <c r="AF55" s="790"/>
      <c r="AG55" s="790"/>
      <c r="AH55" s="790"/>
      <c r="AI55" s="790"/>
      <c r="AJ55" s="790"/>
      <c r="AK55" s="790"/>
      <c r="AL55" s="790"/>
      <c r="AM55" s="781"/>
      <c r="AN55" s="781"/>
      <c r="AO55" s="781"/>
      <c r="AP55" s="781"/>
      <c r="AQ55" s="781"/>
      <c r="AR55" s="781"/>
      <c r="AS55" s="781"/>
      <c r="AT55" s="781"/>
      <c r="AU55" s="781"/>
      <c r="AV55" s="781"/>
      <c r="AW55" s="781"/>
      <c r="AX55" s="781"/>
      <c r="AY55" s="781"/>
      <c r="AZ55" s="781"/>
      <c r="BA55" s="781"/>
      <c r="BB55" s="781"/>
      <c r="BC55" s="781"/>
      <c r="BD55" s="781"/>
      <c r="BE55" s="781"/>
      <c r="BF55" s="781"/>
      <c r="BG55" s="781"/>
      <c r="BH55" s="781"/>
      <c r="BI55" s="781"/>
      <c r="BJ55" s="781"/>
      <c r="BK55" s="781"/>
      <c r="BL55" s="781"/>
      <c r="BM55" s="781"/>
      <c r="BN55" s="781"/>
      <c r="BO55" s="781"/>
      <c r="BP55" s="781"/>
      <c r="BQ55" s="781"/>
      <c r="BR55" s="781"/>
      <c r="BS55" s="781"/>
      <c r="BT55" s="781"/>
      <c r="BU55" s="781"/>
      <c r="BV55" s="790"/>
      <c r="BW55" s="790"/>
      <c r="BX55" s="790"/>
      <c r="BY55" s="790"/>
      <c r="BZ55" s="790"/>
      <c r="CA55" s="790"/>
      <c r="CB55" s="790"/>
      <c r="CC55" s="790"/>
      <c r="CD55" s="790"/>
      <c r="CE55" s="790"/>
      <c r="CF55" s="790"/>
      <c r="CG55" s="790"/>
      <c r="CH55" s="790"/>
      <c r="CI55" s="790"/>
      <c r="CJ55" s="790"/>
      <c r="CK55" s="790"/>
      <c r="CL55" s="790"/>
      <c r="CM55" s="790"/>
      <c r="CN55" s="790"/>
      <c r="CO55" s="790"/>
      <c r="CP55" s="790"/>
      <c r="CQ55" s="790"/>
      <c r="CR55" s="790"/>
      <c r="CS55" s="790"/>
      <c r="CT55" s="790"/>
      <c r="CU55" s="790"/>
      <c r="CV55" s="790"/>
      <c r="CW55" s="790"/>
      <c r="CX55" s="790"/>
      <c r="CY55" s="790"/>
      <c r="CZ55" s="790"/>
      <c r="DA55" s="790"/>
      <c r="DB55" s="790"/>
      <c r="DC55" s="790"/>
      <c r="DD55" s="790"/>
      <c r="DE55" s="790"/>
      <c r="DF55" s="790"/>
      <c r="DG55" s="790"/>
      <c r="DH55" s="790"/>
      <c r="DI55" s="790"/>
      <c r="DJ55" s="790"/>
      <c r="DK55" s="790"/>
      <c r="DL55" s="790"/>
      <c r="DM55" s="790"/>
      <c r="DN55" s="790"/>
      <c r="DO55" s="790"/>
      <c r="DP55" s="790"/>
      <c r="DQ55" s="790"/>
      <c r="DR55" s="790"/>
      <c r="DS55" s="790"/>
      <c r="DT55" s="790"/>
      <c r="DU55" s="790"/>
      <c r="DV55" s="790"/>
      <c r="DW55" s="790"/>
      <c r="DX55" s="790"/>
      <c r="DY55" s="790"/>
      <c r="DZ55" s="790"/>
      <c r="EA55" s="790"/>
      <c r="EB55" s="790"/>
      <c r="EC55" s="790"/>
      <c r="ED55" s="790"/>
      <c r="EE55" s="790"/>
      <c r="EF55" s="790"/>
      <c r="EG55" s="790"/>
      <c r="EH55" s="790"/>
      <c r="EI55" s="790"/>
      <c r="EJ55" s="790"/>
      <c r="EK55" s="790"/>
      <c r="EL55" s="790"/>
      <c r="EM55" s="790"/>
      <c r="EN55" s="790"/>
      <c r="EO55" s="790"/>
      <c r="EP55" s="790"/>
      <c r="EQ55" s="790"/>
      <c r="ER55" s="790"/>
      <c r="ES55" s="790"/>
      <c r="ET55" s="790"/>
      <c r="EU55" s="790"/>
      <c r="EV55" s="790"/>
      <c r="EW55" s="790"/>
      <c r="EX55" s="790"/>
      <c r="EY55" s="790"/>
      <c r="EZ55" s="790"/>
      <c r="FA55" s="790"/>
      <c r="FB55" s="790"/>
      <c r="FC55" s="790"/>
      <c r="FD55" s="790"/>
      <c r="FE55" s="790"/>
      <c r="FF55" s="790"/>
      <c r="FG55" s="790"/>
      <c r="FH55" s="790"/>
      <c r="FI55" s="790"/>
      <c r="FJ55" s="790"/>
      <c r="FK55" s="790"/>
      <c r="FL55" s="790"/>
      <c r="FM55" s="790"/>
      <c r="FN55" s="790"/>
      <c r="FO55" s="790"/>
      <c r="FP55" s="790"/>
      <c r="FQ55" s="790"/>
      <c r="FR55" s="790"/>
      <c r="FS55" s="790"/>
      <c r="FT55" s="790"/>
      <c r="FU55" s="790"/>
      <c r="FV55" s="790"/>
      <c r="FW55" s="790"/>
      <c r="FX55" s="790"/>
      <c r="FY55" s="790"/>
      <c r="FZ55" s="790"/>
      <c r="GA55" s="790"/>
      <c r="GB55" s="790"/>
      <c r="GC55" s="790"/>
      <c r="GD55" s="790"/>
      <c r="GE55" s="790"/>
      <c r="GF55" s="790"/>
      <c r="GG55" s="790"/>
      <c r="GH55" s="790"/>
      <c r="GI55" s="790"/>
      <c r="GJ55" s="790"/>
      <c r="GK55" s="790"/>
      <c r="GL55" s="790"/>
      <c r="GM55" s="790"/>
      <c r="GN55" s="790"/>
      <c r="GO55" s="790"/>
      <c r="GP55" s="790"/>
      <c r="GQ55" s="790"/>
      <c r="GR55" s="790"/>
      <c r="GS55" s="790"/>
      <c r="GT55" s="790"/>
      <c r="GU55" s="790"/>
      <c r="GV55" s="790"/>
      <c r="GW55" s="790"/>
      <c r="GX55" s="790"/>
      <c r="GY55" s="790"/>
      <c r="GZ55" s="790"/>
      <c r="HA55" s="790"/>
      <c r="HB55" s="790"/>
      <c r="HC55" s="790"/>
      <c r="HD55" s="790"/>
      <c r="HE55" s="790"/>
      <c r="HF55" s="790"/>
      <c r="HG55" s="790"/>
      <c r="HH55" s="790"/>
      <c r="HI55" s="790"/>
      <c r="HJ55" s="790"/>
      <c r="HK55" s="790"/>
      <c r="HL55" s="790"/>
      <c r="HM55" s="790"/>
      <c r="HN55" s="790"/>
      <c r="HO55" s="790"/>
      <c r="HP55" s="790"/>
      <c r="HQ55" s="790"/>
      <c r="HR55" s="790"/>
      <c r="HS55" s="790"/>
      <c r="HT55" s="790"/>
      <c r="HU55" s="790"/>
      <c r="HV55" s="790"/>
      <c r="HW55" s="790"/>
      <c r="HX55" s="790"/>
      <c r="HY55" s="790"/>
      <c r="HZ55" s="790"/>
      <c r="IA55" s="790"/>
      <c r="IB55" s="790"/>
      <c r="IC55" s="790"/>
      <c r="ID55" s="790"/>
      <c r="IE55" s="790"/>
      <c r="IF55" s="790"/>
      <c r="IG55" s="790"/>
      <c r="IH55" s="790"/>
      <c r="II55" s="790"/>
      <c r="IJ55" s="790"/>
      <c r="IK55" s="790"/>
      <c r="IL55" s="790"/>
      <c r="IM55" s="790"/>
      <c r="IN55" s="790"/>
      <c r="IO55" s="790"/>
      <c r="IP55" s="790"/>
      <c r="IQ55" s="790"/>
      <c r="IR55" s="790"/>
      <c r="IS55" s="790"/>
      <c r="IT55" s="790"/>
      <c r="IU55" s="790"/>
      <c r="IV55" s="790"/>
      <c r="IW55" s="790"/>
      <c r="IX55" s="790"/>
      <c r="IY55" s="790"/>
      <c r="IZ55" s="790"/>
      <c r="JA55" s="790"/>
      <c r="JB55" s="790"/>
      <c r="JC55" s="790"/>
      <c r="JD55" s="790"/>
      <c r="JE55" s="790"/>
      <c r="JF55" s="790"/>
      <c r="JG55" s="790"/>
      <c r="JH55" s="790"/>
      <c r="JI55" s="790"/>
      <c r="JJ55" s="790"/>
      <c r="JK55" s="790"/>
      <c r="JL55" s="790"/>
      <c r="JM55" s="790"/>
      <c r="JN55" s="790"/>
      <c r="JO55" s="790"/>
      <c r="JP55" s="790"/>
      <c r="JQ55" s="790"/>
      <c r="JR55" s="790"/>
      <c r="JS55" s="790"/>
      <c r="JT55" s="790"/>
      <c r="JU55" s="790"/>
      <c r="JV55" s="790"/>
      <c r="JW55" s="790"/>
      <c r="JX55" s="790"/>
      <c r="JY55" s="790"/>
      <c r="JZ55" s="790"/>
      <c r="KA55" s="790"/>
      <c r="KB55" s="790"/>
      <c r="KC55" s="790"/>
      <c r="KD55" s="790"/>
      <c r="KE55" s="790"/>
      <c r="KF55" s="790"/>
      <c r="KG55" s="790"/>
      <c r="KH55" s="790"/>
      <c r="KI55" s="790"/>
      <c r="KJ55" s="790"/>
      <c r="KK55" s="790"/>
      <c r="KL55" s="790"/>
      <c r="KM55" s="790"/>
      <c r="KN55" s="790"/>
      <c r="KO55" s="790"/>
      <c r="KP55" s="790"/>
      <c r="KQ55" s="790"/>
      <c r="KR55" s="790"/>
      <c r="KS55" s="790"/>
      <c r="KT55" s="790"/>
      <c r="KU55" s="790"/>
      <c r="KV55" s="790"/>
      <c r="KW55" s="790"/>
      <c r="KX55" s="790"/>
      <c r="KY55" s="790"/>
      <c r="KZ55" s="790"/>
      <c r="LA55" s="790"/>
      <c r="LB55" s="790"/>
      <c r="LC55" s="790"/>
      <c r="LD55" s="790"/>
      <c r="LE55" s="790"/>
      <c r="LF55" s="790"/>
      <c r="LG55" s="790"/>
      <c r="LH55" s="790"/>
      <c r="LI55" s="790"/>
      <c r="LJ55" s="790"/>
      <c r="LK55" s="790"/>
      <c r="LL55" s="790"/>
      <c r="LM55" s="790"/>
      <c r="LN55" s="790"/>
      <c r="LO55" s="790"/>
      <c r="LP55" s="790"/>
      <c r="LQ55" s="790"/>
      <c r="LR55" s="790"/>
      <c r="LS55" s="790"/>
      <c r="LT55" s="790"/>
      <c r="LU55" s="790"/>
      <c r="LV55" s="790"/>
      <c r="LW55" s="790"/>
      <c r="LX55" s="790"/>
      <c r="LY55" s="790"/>
      <c r="LZ55" s="790"/>
      <c r="MA55" s="790"/>
      <c r="MB55" s="790"/>
      <c r="MC55" s="790"/>
      <c r="MD55" s="790"/>
      <c r="ME55" s="790"/>
      <c r="MF55" s="790"/>
      <c r="MG55" s="790"/>
      <c r="MH55" s="790"/>
      <c r="MI55" s="790"/>
      <c r="MJ55" s="790"/>
      <c r="MK55" s="790"/>
      <c r="ML55" s="790"/>
      <c r="MM55" s="790"/>
      <c r="MN55" s="790"/>
      <c r="MO55" s="790"/>
      <c r="MP55" s="790"/>
      <c r="MQ55" s="790"/>
      <c r="MR55" s="790"/>
      <c r="MS55" s="790"/>
      <c r="MT55" s="790"/>
      <c r="MU55" s="790"/>
      <c r="MV55" s="790"/>
      <c r="MW55" s="790"/>
      <c r="MX55" s="790"/>
      <c r="MY55" s="790"/>
      <c r="MZ55" s="790"/>
      <c r="NA55" s="790"/>
      <c r="NB55" s="790"/>
      <c r="NC55" s="790"/>
      <c r="ND55" s="790"/>
      <c r="NE55" s="790"/>
      <c r="NF55" s="790"/>
      <c r="NG55" s="790"/>
      <c r="NH55" s="790"/>
      <c r="NI55" s="790"/>
      <c r="NJ55" s="790"/>
      <c r="NK55" s="790"/>
      <c r="NL55" s="790"/>
      <c r="NM55" s="790"/>
      <c r="NN55" s="790"/>
      <c r="NO55" s="790"/>
      <c r="NP55" s="790"/>
      <c r="NQ55" s="790"/>
      <c r="NR55" s="790"/>
      <c r="NS55" s="790"/>
      <c r="NT55" s="790"/>
      <c r="NU55" s="790"/>
      <c r="NV55" s="790"/>
      <c r="NW55" s="790"/>
      <c r="NX55" s="790"/>
      <c r="NY55" s="790"/>
      <c r="NZ55" s="790"/>
      <c r="OA55" s="790"/>
      <c r="OB55" s="790"/>
      <c r="OC55" s="790"/>
      <c r="OD55" s="790"/>
      <c r="OE55" s="790"/>
      <c r="OF55" s="790"/>
      <c r="OG55" s="790"/>
      <c r="OH55" s="790"/>
      <c r="OI55" s="790"/>
      <c r="OJ55" s="790"/>
      <c r="OK55" s="790"/>
      <c r="OL55" s="790"/>
      <c r="OM55" s="790"/>
      <c r="ON55" s="790"/>
      <c r="OO55" s="790"/>
      <c r="OP55" s="790"/>
      <c r="OQ55" s="790"/>
      <c r="OR55" s="790"/>
      <c r="OS55" s="790"/>
      <c r="OT55" s="790"/>
      <c r="OU55" s="790"/>
      <c r="OV55" s="790"/>
      <c r="OW55" s="790"/>
      <c r="OX55" s="790"/>
      <c r="OY55" s="790"/>
      <c r="OZ55" s="790"/>
      <c r="PA55" s="790"/>
      <c r="PB55" s="790"/>
      <c r="PC55" s="790"/>
      <c r="PD55" s="790"/>
      <c r="PE55" s="790"/>
      <c r="PF55" s="790"/>
      <c r="PG55" s="790"/>
      <c r="PH55" s="790"/>
      <c r="PI55" s="790"/>
      <c r="PJ55" s="790"/>
      <c r="PK55" s="790"/>
      <c r="PL55" s="790"/>
      <c r="PM55" s="790"/>
      <c r="PN55" s="790"/>
      <c r="PO55" s="790"/>
      <c r="PP55" s="790"/>
      <c r="PQ55" s="790"/>
      <c r="PR55" s="790"/>
      <c r="PS55" s="790"/>
      <c r="PT55" s="790"/>
      <c r="PU55" s="790"/>
      <c r="PV55" s="790"/>
      <c r="PW55" s="790"/>
      <c r="PX55" s="790"/>
      <c r="PY55" s="790"/>
      <c r="PZ55" s="790"/>
      <c r="QA55" s="790"/>
      <c r="QB55" s="790"/>
      <c r="QC55" s="790"/>
      <c r="QD55" s="790"/>
      <c r="QE55" s="790"/>
      <c r="QF55" s="790"/>
      <c r="QG55" s="790"/>
      <c r="QH55" s="790"/>
      <c r="QI55" s="790"/>
      <c r="QJ55" s="790"/>
      <c r="QK55" s="790"/>
      <c r="QL55" s="790"/>
      <c r="QM55" s="790"/>
      <c r="QN55" s="790"/>
      <c r="QO55" s="790"/>
      <c r="QP55" s="790"/>
      <c r="QQ55" s="790"/>
      <c r="QR55" s="790"/>
      <c r="QS55" s="790"/>
      <c r="QT55" s="790"/>
      <c r="QU55" s="790"/>
      <c r="QV55" s="790"/>
      <c r="QW55" s="790"/>
      <c r="QX55" s="790"/>
      <c r="QY55" s="790"/>
      <c r="QZ55" s="790"/>
      <c r="RA55" s="790"/>
      <c r="RB55" s="790"/>
      <c r="RC55" s="790"/>
      <c r="RD55" s="790"/>
      <c r="RE55" s="790"/>
      <c r="RF55" s="790"/>
      <c r="RG55" s="790"/>
      <c r="RH55" s="790"/>
      <c r="RI55" s="790"/>
      <c r="RJ55" s="790"/>
      <c r="RK55" s="790"/>
      <c r="RL55" s="790"/>
      <c r="RM55" s="790"/>
      <c r="RN55" s="790"/>
      <c r="RO55" s="790"/>
      <c r="RP55" s="790"/>
      <c r="RQ55" s="790"/>
      <c r="RR55" s="790"/>
      <c r="RS55" s="790"/>
      <c r="RT55" s="790"/>
      <c r="RU55" s="790"/>
      <c r="RV55" s="790"/>
      <c r="RW55" s="790"/>
      <c r="RX55" s="790"/>
    </row>
    <row r="56" spans="1:492" s="166" customFormat="1">
      <c r="A56" s="790"/>
      <c r="B56" s="790"/>
      <c r="C56" s="790"/>
      <c r="D56" s="790"/>
      <c r="E56" s="790"/>
      <c r="F56" s="790"/>
      <c r="G56" s="790"/>
      <c r="H56" s="790"/>
      <c r="I56" s="790"/>
      <c r="J56" s="790"/>
      <c r="K56" s="790"/>
      <c r="L56" s="790"/>
      <c r="M56" s="790"/>
      <c r="N56" s="790"/>
      <c r="O56" s="790"/>
      <c r="P56" s="790"/>
      <c r="Q56" s="790"/>
      <c r="R56" s="790"/>
      <c r="S56" s="790"/>
      <c r="T56" s="790"/>
      <c r="U56" s="790"/>
      <c r="V56" s="790"/>
      <c r="W56" s="790"/>
      <c r="X56" s="790"/>
      <c r="Y56" s="790"/>
      <c r="Z56" s="790"/>
      <c r="AA56" s="790"/>
      <c r="AB56" s="790"/>
      <c r="AC56" s="790"/>
      <c r="AD56" s="790"/>
      <c r="AE56" s="790"/>
      <c r="AF56" s="790"/>
      <c r="AG56" s="790"/>
      <c r="AH56" s="790"/>
      <c r="AI56" s="790"/>
      <c r="AJ56" s="790"/>
      <c r="AK56" s="790"/>
      <c r="AL56" s="790"/>
      <c r="AM56" s="781"/>
      <c r="AN56" s="781"/>
      <c r="AO56" s="781"/>
      <c r="AP56" s="781"/>
      <c r="AQ56" s="781"/>
      <c r="AR56" s="781"/>
      <c r="AS56" s="781"/>
      <c r="AT56" s="781"/>
      <c r="AU56" s="781"/>
      <c r="AV56" s="781"/>
      <c r="AW56" s="781"/>
      <c r="AX56" s="781"/>
      <c r="AY56" s="781"/>
      <c r="AZ56" s="781"/>
      <c r="BA56" s="781"/>
      <c r="BB56" s="781"/>
      <c r="BC56" s="781"/>
      <c r="BD56" s="781"/>
      <c r="BE56" s="781"/>
      <c r="BF56" s="781"/>
      <c r="BG56" s="781"/>
      <c r="BH56" s="781"/>
      <c r="BI56" s="781"/>
      <c r="BJ56" s="781"/>
      <c r="BK56" s="781"/>
      <c r="BL56" s="781"/>
      <c r="BM56" s="781"/>
      <c r="BN56" s="781"/>
      <c r="BO56" s="781"/>
      <c r="BP56" s="781"/>
      <c r="BQ56" s="781"/>
      <c r="BR56" s="781"/>
      <c r="BS56" s="781"/>
      <c r="BT56" s="781"/>
      <c r="BU56" s="781"/>
      <c r="BV56" s="790"/>
      <c r="BW56" s="790"/>
      <c r="BX56" s="790"/>
      <c r="BY56" s="790"/>
      <c r="BZ56" s="790"/>
      <c r="CA56" s="790"/>
      <c r="CB56" s="790"/>
      <c r="CC56" s="790"/>
      <c r="CD56" s="790"/>
      <c r="CE56" s="790"/>
      <c r="CF56" s="790"/>
      <c r="CG56" s="790"/>
      <c r="CH56" s="790"/>
      <c r="CI56" s="790"/>
      <c r="CJ56" s="790"/>
      <c r="CK56" s="790"/>
      <c r="CL56" s="790"/>
      <c r="CM56" s="790"/>
      <c r="CN56" s="790"/>
      <c r="CO56" s="790"/>
      <c r="CP56" s="790"/>
      <c r="CQ56" s="790"/>
      <c r="CR56" s="790"/>
      <c r="CS56" s="790"/>
      <c r="CT56" s="790"/>
      <c r="CU56" s="790"/>
      <c r="CV56" s="790"/>
      <c r="CW56" s="790"/>
      <c r="CX56" s="790"/>
      <c r="CY56" s="790"/>
      <c r="CZ56" s="790"/>
      <c r="DA56" s="790"/>
      <c r="DB56" s="790"/>
      <c r="DC56" s="790"/>
      <c r="DD56" s="790"/>
      <c r="DE56" s="790"/>
      <c r="DF56" s="790"/>
      <c r="DG56" s="790"/>
      <c r="DH56" s="790"/>
      <c r="DI56" s="790"/>
      <c r="DJ56" s="790"/>
      <c r="DK56" s="790"/>
      <c r="DL56" s="790"/>
      <c r="DM56" s="790"/>
      <c r="DN56" s="790"/>
      <c r="DO56" s="790"/>
      <c r="DP56" s="790"/>
      <c r="DQ56" s="790"/>
      <c r="DR56" s="790"/>
      <c r="DS56" s="790"/>
      <c r="DT56" s="790"/>
      <c r="DU56" s="790"/>
      <c r="DV56" s="790"/>
      <c r="DW56" s="790"/>
      <c r="DX56" s="790"/>
      <c r="DY56" s="790"/>
      <c r="DZ56" s="790"/>
      <c r="EA56" s="790"/>
      <c r="EB56" s="790"/>
      <c r="EC56" s="790"/>
      <c r="ED56" s="790"/>
      <c r="EE56" s="790"/>
      <c r="EF56" s="790"/>
      <c r="EG56" s="790"/>
      <c r="EH56" s="790"/>
      <c r="EI56" s="790"/>
      <c r="EJ56" s="790"/>
      <c r="EK56" s="790"/>
      <c r="EL56" s="790"/>
      <c r="EM56" s="790"/>
      <c r="EN56" s="790"/>
      <c r="EO56" s="790"/>
      <c r="EP56" s="790"/>
      <c r="EQ56" s="790"/>
      <c r="ER56" s="790"/>
      <c r="ES56" s="790"/>
      <c r="ET56" s="790"/>
      <c r="EU56" s="790"/>
      <c r="EV56" s="790"/>
      <c r="EW56" s="790"/>
      <c r="EX56" s="790"/>
      <c r="EY56" s="790"/>
      <c r="EZ56" s="790"/>
      <c r="FA56" s="790"/>
      <c r="FB56" s="790"/>
      <c r="FC56" s="790"/>
      <c r="FD56" s="790"/>
      <c r="FE56" s="790"/>
      <c r="FF56" s="790"/>
      <c r="FG56" s="790"/>
      <c r="FH56" s="790"/>
      <c r="FI56" s="790"/>
      <c r="FJ56" s="790"/>
      <c r="FK56" s="790"/>
      <c r="FL56" s="790"/>
      <c r="FM56" s="790"/>
      <c r="FN56" s="790"/>
      <c r="FO56" s="790"/>
      <c r="FP56" s="790"/>
      <c r="FQ56" s="790"/>
      <c r="FR56" s="790"/>
      <c r="FS56" s="790"/>
      <c r="FT56" s="790"/>
      <c r="FU56" s="790"/>
      <c r="FV56" s="790"/>
      <c r="FW56" s="790"/>
      <c r="FX56" s="790"/>
      <c r="FY56" s="790"/>
      <c r="FZ56" s="790"/>
      <c r="GA56" s="790"/>
      <c r="GB56" s="790"/>
      <c r="GC56" s="790"/>
      <c r="GD56" s="790"/>
      <c r="GE56" s="790"/>
      <c r="GF56" s="790"/>
      <c r="GG56" s="790"/>
      <c r="GH56" s="790"/>
      <c r="GI56" s="790"/>
      <c r="GJ56" s="790"/>
      <c r="GK56" s="790"/>
      <c r="GL56" s="790"/>
      <c r="GM56" s="790"/>
      <c r="GN56" s="790"/>
      <c r="GO56" s="790"/>
      <c r="GP56" s="790"/>
      <c r="GQ56" s="790"/>
      <c r="GR56" s="790"/>
      <c r="GS56" s="790"/>
      <c r="GT56" s="790"/>
      <c r="GU56" s="790"/>
      <c r="GV56" s="790"/>
      <c r="GW56" s="790"/>
      <c r="GX56" s="790"/>
      <c r="GY56" s="790"/>
      <c r="GZ56" s="790"/>
      <c r="HA56" s="790"/>
      <c r="HB56" s="790"/>
      <c r="HC56" s="790"/>
      <c r="HD56" s="790"/>
      <c r="HE56" s="790"/>
      <c r="HF56" s="790"/>
      <c r="HG56" s="790"/>
      <c r="HH56" s="790"/>
      <c r="HI56" s="790"/>
      <c r="HJ56" s="790"/>
      <c r="HK56" s="790"/>
      <c r="HL56" s="790"/>
      <c r="HM56" s="790"/>
      <c r="HN56" s="790"/>
      <c r="HO56" s="790"/>
      <c r="HP56" s="790"/>
      <c r="HQ56" s="790"/>
      <c r="HR56" s="790"/>
      <c r="HS56" s="790"/>
      <c r="HT56" s="790"/>
      <c r="HU56" s="790"/>
      <c r="HV56" s="790"/>
      <c r="HW56" s="790"/>
      <c r="HX56" s="790"/>
      <c r="HY56" s="790"/>
      <c r="HZ56" s="790"/>
      <c r="IA56" s="790"/>
      <c r="IB56" s="790"/>
      <c r="IC56" s="790"/>
      <c r="ID56" s="790"/>
      <c r="IE56" s="790"/>
      <c r="IF56" s="790"/>
      <c r="IG56" s="790"/>
      <c r="IH56" s="790"/>
      <c r="II56" s="790"/>
      <c r="IJ56" s="790"/>
      <c r="IK56" s="790"/>
      <c r="IL56" s="790"/>
      <c r="IM56" s="790"/>
      <c r="IN56" s="790"/>
      <c r="IO56" s="790"/>
      <c r="IP56" s="790"/>
      <c r="IQ56" s="790"/>
      <c r="IR56" s="790"/>
      <c r="IS56" s="790"/>
      <c r="IT56" s="790"/>
      <c r="IU56" s="790"/>
      <c r="IV56" s="790"/>
      <c r="IW56" s="790"/>
      <c r="IX56" s="790"/>
      <c r="IY56" s="790"/>
      <c r="IZ56" s="790"/>
      <c r="JA56" s="790"/>
      <c r="JB56" s="790"/>
      <c r="JC56" s="790"/>
      <c r="JD56" s="790"/>
      <c r="JE56" s="790"/>
      <c r="JF56" s="790"/>
      <c r="JG56" s="790"/>
      <c r="JH56" s="790"/>
      <c r="JI56" s="790"/>
      <c r="JJ56" s="790"/>
      <c r="JK56" s="790"/>
      <c r="JL56" s="790"/>
      <c r="JM56" s="790"/>
      <c r="JN56" s="790"/>
      <c r="JO56" s="790"/>
      <c r="JP56" s="790"/>
      <c r="JQ56" s="790"/>
      <c r="JR56" s="790"/>
      <c r="JS56" s="790"/>
      <c r="JT56" s="790"/>
      <c r="JU56" s="790"/>
      <c r="JV56" s="790"/>
      <c r="JW56" s="790"/>
      <c r="JX56" s="790"/>
      <c r="JY56" s="790"/>
      <c r="JZ56" s="790"/>
      <c r="KA56" s="790"/>
      <c r="KB56" s="790"/>
      <c r="KC56" s="790"/>
      <c r="KD56" s="790"/>
      <c r="KE56" s="790"/>
      <c r="KF56" s="790"/>
      <c r="KG56" s="790"/>
      <c r="KH56" s="790"/>
      <c r="KI56" s="790"/>
      <c r="KJ56" s="790"/>
      <c r="KK56" s="790"/>
      <c r="KL56" s="790"/>
      <c r="KM56" s="790"/>
      <c r="KN56" s="790"/>
      <c r="KO56" s="790"/>
      <c r="KP56" s="790"/>
      <c r="KQ56" s="790"/>
      <c r="KR56" s="790"/>
      <c r="KS56" s="790"/>
      <c r="KT56" s="790"/>
      <c r="KU56" s="790"/>
      <c r="KV56" s="790"/>
      <c r="KW56" s="790"/>
      <c r="KX56" s="790"/>
      <c r="KY56" s="790"/>
      <c r="KZ56" s="790"/>
      <c r="LA56" s="790"/>
      <c r="LB56" s="790"/>
      <c r="LC56" s="790"/>
      <c r="LD56" s="790"/>
      <c r="LE56" s="790"/>
      <c r="LF56" s="790"/>
      <c r="LG56" s="790"/>
      <c r="LH56" s="790"/>
      <c r="LI56" s="790"/>
      <c r="LJ56" s="790"/>
      <c r="LK56" s="790"/>
      <c r="LL56" s="790"/>
      <c r="LM56" s="790"/>
      <c r="LN56" s="790"/>
      <c r="LO56" s="790"/>
      <c r="LP56" s="790"/>
      <c r="LQ56" s="790"/>
      <c r="LR56" s="790"/>
      <c r="LS56" s="790"/>
      <c r="LT56" s="790"/>
      <c r="LU56" s="790"/>
      <c r="LV56" s="790"/>
      <c r="LW56" s="790"/>
      <c r="LX56" s="790"/>
      <c r="LY56" s="790"/>
      <c r="LZ56" s="790"/>
      <c r="MA56" s="790"/>
      <c r="MB56" s="790"/>
      <c r="MC56" s="790"/>
      <c r="MD56" s="790"/>
      <c r="ME56" s="790"/>
      <c r="MF56" s="790"/>
      <c r="MG56" s="790"/>
      <c r="MH56" s="790"/>
      <c r="MI56" s="790"/>
      <c r="MJ56" s="790"/>
      <c r="MK56" s="790"/>
      <c r="ML56" s="790"/>
      <c r="MM56" s="790"/>
      <c r="MN56" s="790"/>
      <c r="MO56" s="790"/>
      <c r="MP56" s="790"/>
      <c r="MQ56" s="790"/>
      <c r="MR56" s="790"/>
      <c r="MS56" s="790"/>
      <c r="MT56" s="790"/>
      <c r="MU56" s="790"/>
      <c r="MV56" s="790"/>
      <c r="MW56" s="790"/>
      <c r="MX56" s="790"/>
      <c r="MY56" s="790"/>
      <c r="MZ56" s="790"/>
      <c r="NA56" s="790"/>
      <c r="NB56" s="790"/>
      <c r="NC56" s="790"/>
      <c r="ND56" s="790"/>
      <c r="NE56" s="790"/>
      <c r="NF56" s="790"/>
      <c r="NG56" s="790"/>
      <c r="NH56" s="790"/>
      <c r="NI56" s="790"/>
      <c r="NJ56" s="790"/>
      <c r="NK56" s="790"/>
      <c r="NL56" s="790"/>
      <c r="NM56" s="790"/>
      <c r="NN56" s="790"/>
      <c r="NO56" s="790"/>
      <c r="NP56" s="790"/>
      <c r="NQ56" s="790"/>
      <c r="NR56" s="790"/>
      <c r="NS56" s="790"/>
      <c r="NT56" s="790"/>
      <c r="NU56" s="790"/>
      <c r="NV56" s="790"/>
      <c r="NW56" s="790"/>
      <c r="NX56" s="790"/>
      <c r="NY56" s="790"/>
      <c r="NZ56" s="790"/>
      <c r="OA56" s="790"/>
      <c r="OB56" s="790"/>
      <c r="OC56" s="790"/>
      <c r="OD56" s="790"/>
      <c r="OE56" s="790"/>
      <c r="OF56" s="790"/>
      <c r="OG56" s="790"/>
      <c r="OH56" s="790"/>
      <c r="OI56" s="790"/>
      <c r="OJ56" s="790"/>
      <c r="OK56" s="790"/>
      <c r="OL56" s="790"/>
      <c r="OM56" s="790"/>
      <c r="ON56" s="790"/>
      <c r="OO56" s="790"/>
      <c r="OP56" s="790"/>
      <c r="OQ56" s="790"/>
      <c r="OR56" s="790"/>
      <c r="OS56" s="790"/>
      <c r="OT56" s="790"/>
      <c r="OU56" s="790"/>
      <c r="OV56" s="790"/>
      <c r="OW56" s="790"/>
      <c r="OX56" s="790"/>
      <c r="OY56" s="790"/>
      <c r="OZ56" s="790"/>
      <c r="PA56" s="790"/>
      <c r="PB56" s="790"/>
      <c r="PC56" s="790"/>
      <c r="PD56" s="790"/>
      <c r="PE56" s="790"/>
      <c r="PF56" s="790"/>
      <c r="PG56" s="790"/>
      <c r="PH56" s="790"/>
      <c r="PI56" s="790"/>
      <c r="PJ56" s="790"/>
      <c r="PK56" s="790"/>
      <c r="PL56" s="790"/>
      <c r="PM56" s="790"/>
      <c r="PN56" s="790"/>
      <c r="PO56" s="790"/>
      <c r="PP56" s="790"/>
      <c r="PQ56" s="790"/>
      <c r="PR56" s="790"/>
      <c r="PS56" s="790"/>
      <c r="PT56" s="790"/>
      <c r="PU56" s="790"/>
      <c r="PV56" s="790"/>
      <c r="PW56" s="790"/>
      <c r="PX56" s="790"/>
      <c r="PY56" s="790"/>
      <c r="PZ56" s="790"/>
      <c r="QA56" s="790"/>
      <c r="QB56" s="790"/>
      <c r="QC56" s="790"/>
      <c r="QD56" s="790"/>
      <c r="QE56" s="790"/>
      <c r="QF56" s="790"/>
      <c r="QG56" s="790"/>
      <c r="QH56" s="790"/>
      <c r="QI56" s="790"/>
      <c r="QJ56" s="790"/>
      <c r="QK56" s="790"/>
      <c r="QL56" s="790"/>
      <c r="QM56" s="790"/>
      <c r="QN56" s="790"/>
      <c r="QO56" s="790"/>
      <c r="QP56" s="790"/>
      <c r="QQ56" s="790"/>
      <c r="QR56" s="790"/>
      <c r="QS56" s="790"/>
      <c r="QT56" s="790"/>
      <c r="QU56" s="790"/>
      <c r="QV56" s="790"/>
      <c r="QW56" s="790"/>
      <c r="QX56" s="790"/>
      <c r="QY56" s="790"/>
      <c r="QZ56" s="790"/>
      <c r="RA56" s="790"/>
      <c r="RB56" s="790"/>
      <c r="RC56" s="790"/>
      <c r="RD56" s="790"/>
      <c r="RE56" s="790"/>
      <c r="RF56" s="790"/>
      <c r="RG56" s="790"/>
      <c r="RH56" s="790"/>
      <c r="RI56" s="790"/>
      <c r="RJ56" s="790"/>
      <c r="RK56" s="790"/>
      <c r="RL56" s="790"/>
      <c r="RM56" s="790"/>
      <c r="RN56" s="790"/>
      <c r="RO56" s="790"/>
      <c r="RP56" s="790"/>
      <c r="RQ56" s="790"/>
      <c r="RR56" s="790"/>
      <c r="RS56" s="790"/>
      <c r="RT56" s="790"/>
      <c r="RU56" s="790"/>
      <c r="RV56" s="790"/>
      <c r="RW56" s="790"/>
      <c r="RX56" s="790"/>
    </row>
    <row r="57" spans="1:492" s="166" customFormat="1">
      <c r="A57" s="790"/>
      <c r="B57" s="790"/>
      <c r="C57" s="790"/>
      <c r="D57" s="790"/>
      <c r="E57" s="790"/>
      <c r="F57" s="790"/>
      <c r="G57" s="790"/>
      <c r="H57" s="790"/>
      <c r="I57" s="790"/>
      <c r="J57" s="790"/>
      <c r="K57" s="790"/>
      <c r="L57" s="790"/>
      <c r="M57" s="790"/>
      <c r="N57" s="790"/>
      <c r="O57" s="790"/>
      <c r="P57" s="790"/>
      <c r="Q57" s="790"/>
      <c r="R57" s="790"/>
      <c r="S57" s="790"/>
      <c r="T57" s="790"/>
      <c r="U57" s="790"/>
      <c r="V57" s="790"/>
      <c r="W57" s="790"/>
      <c r="X57" s="790"/>
      <c r="Y57" s="790"/>
      <c r="Z57" s="790"/>
      <c r="AA57" s="790"/>
      <c r="AB57" s="790"/>
      <c r="AC57" s="790"/>
      <c r="AD57" s="790"/>
      <c r="AE57" s="790"/>
      <c r="AF57" s="790"/>
      <c r="AG57" s="790"/>
      <c r="AH57" s="790"/>
      <c r="AI57" s="790"/>
      <c r="AJ57" s="790"/>
      <c r="AK57" s="790"/>
      <c r="AL57" s="790"/>
      <c r="AM57" s="781"/>
      <c r="AN57" s="781"/>
      <c r="AO57" s="781"/>
      <c r="AP57" s="781"/>
      <c r="AQ57" s="781"/>
      <c r="AR57" s="781"/>
      <c r="AS57" s="781"/>
      <c r="AT57" s="781"/>
      <c r="AU57" s="781"/>
      <c r="AV57" s="781"/>
      <c r="AW57" s="781"/>
      <c r="AX57" s="781"/>
      <c r="AY57" s="781"/>
      <c r="AZ57" s="781"/>
      <c r="BA57" s="781"/>
      <c r="BB57" s="781"/>
      <c r="BC57" s="781"/>
      <c r="BD57" s="781"/>
      <c r="BE57" s="781"/>
      <c r="BF57" s="781"/>
      <c r="BG57" s="781"/>
      <c r="BH57" s="781"/>
      <c r="BI57" s="781"/>
      <c r="BJ57" s="781"/>
      <c r="BK57" s="781"/>
      <c r="BL57" s="781"/>
      <c r="BM57" s="781"/>
      <c r="BN57" s="781"/>
      <c r="BO57" s="781"/>
      <c r="BP57" s="781"/>
      <c r="BQ57" s="781"/>
      <c r="BR57" s="781"/>
      <c r="BS57" s="781"/>
      <c r="BT57" s="781"/>
      <c r="BU57" s="781"/>
      <c r="BV57" s="790"/>
      <c r="BW57" s="790"/>
      <c r="BX57" s="790"/>
      <c r="BY57" s="790"/>
      <c r="BZ57" s="790"/>
      <c r="CA57" s="790"/>
      <c r="CB57" s="790"/>
      <c r="CC57" s="790"/>
      <c r="CD57" s="790"/>
      <c r="CE57" s="790"/>
      <c r="CF57" s="790"/>
      <c r="CG57" s="790"/>
      <c r="CH57" s="790"/>
      <c r="CI57" s="790"/>
      <c r="CJ57" s="790"/>
      <c r="CK57" s="790"/>
      <c r="CL57" s="790"/>
      <c r="CM57" s="790"/>
      <c r="CN57" s="790"/>
      <c r="CO57" s="790"/>
      <c r="CP57" s="790"/>
      <c r="CQ57" s="790"/>
      <c r="CR57" s="790"/>
      <c r="CS57" s="790"/>
      <c r="CT57" s="790"/>
      <c r="CU57" s="790"/>
      <c r="CV57" s="790"/>
      <c r="CW57" s="790"/>
      <c r="CX57" s="790"/>
      <c r="CY57" s="790"/>
      <c r="CZ57" s="790"/>
      <c r="DA57" s="790"/>
      <c r="DB57" s="790"/>
      <c r="DC57" s="790"/>
      <c r="DD57" s="790"/>
      <c r="DE57" s="790"/>
      <c r="DF57" s="790"/>
      <c r="DG57" s="790"/>
      <c r="DH57" s="790"/>
      <c r="DI57" s="790"/>
      <c r="DJ57" s="790"/>
      <c r="DK57" s="790"/>
      <c r="DL57" s="790"/>
      <c r="DM57" s="790"/>
      <c r="DN57" s="790"/>
      <c r="DO57" s="790"/>
      <c r="DP57" s="790"/>
      <c r="DQ57" s="790"/>
      <c r="DR57" s="790"/>
      <c r="DS57" s="790"/>
      <c r="DT57" s="790"/>
      <c r="DU57" s="790"/>
      <c r="DV57" s="790"/>
      <c r="DW57" s="790"/>
      <c r="DX57" s="790"/>
      <c r="DY57" s="790"/>
      <c r="DZ57" s="790"/>
      <c r="EA57" s="790"/>
      <c r="EB57" s="790"/>
      <c r="EC57" s="790"/>
      <c r="ED57" s="790"/>
      <c r="EE57" s="790"/>
      <c r="EF57" s="790"/>
      <c r="EG57" s="790"/>
      <c r="EH57" s="790"/>
      <c r="EI57" s="790"/>
      <c r="EJ57" s="790"/>
      <c r="EK57" s="790"/>
      <c r="EL57" s="790"/>
      <c r="EM57" s="790"/>
      <c r="EN57" s="790"/>
      <c r="EO57" s="790"/>
      <c r="EP57" s="790"/>
      <c r="EQ57" s="790"/>
      <c r="ER57" s="790"/>
      <c r="ES57" s="790"/>
      <c r="ET57" s="790"/>
      <c r="EU57" s="790"/>
      <c r="EV57" s="790"/>
      <c r="EW57" s="790"/>
      <c r="EX57" s="790"/>
      <c r="EY57" s="790"/>
      <c r="EZ57" s="790"/>
      <c r="FA57" s="790"/>
      <c r="FB57" s="790"/>
      <c r="FC57" s="790"/>
      <c r="FD57" s="790"/>
      <c r="FE57" s="790"/>
      <c r="FF57" s="790"/>
      <c r="FG57" s="790"/>
      <c r="FH57" s="790"/>
      <c r="FI57" s="790"/>
      <c r="FJ57" s="790"/>
      <c r="FK57" s="790"/>
      <c r="FL57" s="790"/>
      <c r="FM57" s="790"/>
      <c r="FN57" s="790"/>
      <c r="FO57" s="790"/>
      <c r="FP57" s="790"/>
      <c r="FQ57" s="790"/>
      <c r="FR57" s="790"/>
      <c r="FS57" s="790"/>
      <c r="FT57" s="790"/>
      <c r="FU57" s="790"/>
      <c r="FV57" s="790"/>
      <c r="FW57" s="790"/>
      <c r="FX57" s="790"/>
      <c r="FY57" s="790"/>
      <c r="FZ57" s="790"/>
      <c r="GA57" s="790"/>
      <c r="GB57" s="790"/>
      <c r="GC57" s="790"/>
      <c r="GD57" s="790"/>
      <c r="GE57" s="790"/>
      <c r="GF57" s="790"/>
      <c r="GG57" s="790"/>
      <c r="GH57" s="790"/>
      <c r="GI57" s="790"/>
      <c r="GJ57" s="790"/>
      <c r="GK57" s="790"/>
      <c r="GL57" s="790"/>
      <c r="GM57" s="790"/>
      <c r="GN57" s="790"/>
      <c r="GO57" s="790"/>
      <c r="GP57" s="790"/>
      <c r="GQ57" s="790"/>
      <c r="GR57" s="790"/>
      <c r="GS57" s="790"/>
      <c r="GT57" s="790"/>
      <c r="GU57" s="790"/>
      <c r="GV57" s="790"/>
      <c r="GW57" s="790"/>
      <c r="GX57" s="790"/>
      <c r="GY57" s="790"/>
      <c r="GZ57" s="790"/>
      <c r="HA57" s="790"/>
      <c r="HB57" s="790"/>
      <c r="HC57" s="790"/>
      <c r="HD57" s="790"/>
      <c r="HE57" s="790"/>
      <c r="HF57" s="790"/>
      <c r="HG57" s="790"/>
      <c r="HH57" s="790"/>
      <c r="HI57" s="790"/>
      <c r="HJ57" s="790"/>
      <c r="HK57" s="790"/>
      <c r="HL57" s="790"/>
      <c r="HM57" s="790"/>
      <c r="HN57" s="790"/>
      <c r="HO57" s="790"/>
      <c r="HP57" s="790"/>
      <c r="HQ57" s="790"/>
      <c r="HR57" s="790"/>
      <c r="HS57" s="790"/>
      <c r="HT57" s="790"/>
      <c r="HU57" s="790"/>
      <c r="HV57" s="790"/>
      <c r="HW57" s="790"/>
      <c r="HX57" s="790"/>
      <c r="HY57" s="790"/>
      <c r="HZ57" s="790"/>
      <c r="IA57" s="790"/>
      <c r="IB57" s="790"/>
      <c r="IC57" s="790"/>
      <c r="ID57" s="790"/>
      <c r="IE57" s="790"/>
      <c r="IF57" s="790"/>
      <c r="IG57" s="790"/>
      <c r="IH57" s="790"/>
      <c r="II57" s="790"/>
      <c r="IJ57" s="790"/>
      <c r="IK57" s="790"/>
      <c r="IL57" s="790"/>
      <c r="IM57" s="790"/>
      <c r="IN57" s="790"/>
      <c r="IO57" s="790"/>
      <c r="IP57" s="790"/>
      <c r="IQ57" s="790"/>
      <c r="IR57" s="790"/>
      <c r="IS57" s="790"/>
      <c r="IT57" s="790"/>
      <c r="IU57" s="790"/>
      <c r="IV57" s="790"/>
      <c r="IW57" s="790"/>
      <c r="IX57" s="790"/>
      <c r="IY57" s="790"/>
      <c r="IZ57" s="790"/>
      <c r="JA57" s="790"/>
      <c r="JB57" s="790"/>
      <c r="JC57" s="790"/>
      <c r="JD57" s="790"/>
      <c r="JE57" s="790"/>
      <c r="JF57" s="790"/>
      <c r="JG57" s="790"/>
      <c r="JH57" s="790"/>
      <c r="JI57" s="790"/>
      <c r="JJ57" s="790"/>
      <c r="JK57" s="790"/>
      <c r="JL57" s="790"/>
      <c r="JM57" s="790"/>
      <c r="JN57" s="790"/>
      <c r="JO57" s="790"/>
      <c r="JP57" s="790"/>
      <c r="JQ57" s="790"/>
      <c r="JR57" s="790"/>
      <c r="JS57" s="790"/>
      <c r="JT57" s="790"/>
      <c r="JU57" s="790"/>
      <c r="JV57" s="790"/>
      <c r="JW57" s="790"/>
      <c r="JX57" s="790"/>
      <c r="JY57" s="790"/>
      <c r="JZ57" s="790"/>
      <c r="KA57" s="790"/>
      <c r="KB57" s="790"/>
      <c r="KC57" s="790"/>
      <c r="KD57" s="790"/>
      <c r="KE57" s="790"/>
      <c r="KF57" s="790"/>
      <c r="KG57" s="790"/>
      <c r="KH57" s="790"/>
      <c r="KI57" s="790"/>
      <c r="KJ57" s="790"/>
      <c r="KK57" s="790"/>
      <c r="KL57" s="790"/>
      <c r="KM57" s="790"/>
      <c r="KN57" s="790"/>
      <c r="KO57" s="790"/>
      <c r="KP57" s="790"/>
      <c r="KQ57" s="790"/>
      <c r="KR57" s="790"/>
      <c r="KS57" s="790"/>
      <c r="KT57" s="790"/>
      <c r="KU57" s="790"/>
      <c r="KV57" s="790"/>
      <c r="KW57" s="790"/>
      <c r="KX57" s="790"/>
      <c r="KY57" s="790"/>
      <c r="KZ57" s="790"/>
      <c r="LA57" s="790"/>
      <c r="LB57" s="790"/>
      <c r="LC57" s="790"/>
      <c r="LD57" s="790"/>
      <c r="LE57" s="790"/>
      <c r="LF57" s="790"/>
      <c r="LG57" s="790"/>
      <c r="LH57" s="790"/>
      <c r="LI57" s="790"/>
      <c r="LJ57" s="790"/>
      <c r="LK57" s="790"/>
      <c r="LL57" s="790"/>
      <c r="LM57" s="790"/>
      <c r="LN57" s="790"/>
      <c r="LO57" s="790"/>
      <c r="LP57" s="790"/>
      <c r="LQ57" s="790"/>
      <c r="LR57" s="790"/>
      <c r="LS57" s="790"/>
      <c r="LT57" s="790"/>
      <c r="LU57" s="790"/>
      <c r="LV57" s="790"/>
      <c r="LW57" s="790"/>
      <c r="LX57" s="790"/>
      <c r="LY57" s="790"/>
      <c r="LZ57" s="790"/>
      <c r="MA57" s="790"/>
      <c r="MB57" s="790"/>
      <c r="MC57" s="790"/>
      <c r="MD57" s="790"/>
      <c r="ME57" s="790"/>
      <c r="MF57" s="790"/>
      <c r="MG57" s="790"/>
      <c r="MH57" s="790"/>
      <c r="MI57" s="790"/>
      <c r="MJ57" s="790"/>
      <c r="MK57" s="790"/>
      <c r="ML57" s="790"/>
      <c r="MM57" s="790"/>
      <c r="MN57" s="790"/>
      <c r="MO57" s="790"/>
      <c r="MP57" s="790"/>
      <c r="MQ57" s="790"/>
      <c r="MR57" s="790"/>
      <c r="MS57" s="790"/>
      <c r="MT57" s="790"/>
      <c r="MU57" s="790"/>
      <c r="MV57" s="790"/>
      <c r="MW57" s="790"/>
      <c r="MX57" s="790"/>
      <c r="MY57" s="790"/>
      <c r="MZ57" s="790"/>
      <c r="NA57" s="790"/>
      <c r="NB57" s="790"/>
      <c r="NC57" s="790"/>
      <c r="ND57" s="790"/>
      <c r="NE57" s="790"/>
      <c r="NF57" s="790"/>
      <c r="NG57" s="790"/>
      <c r="NH57" s="790"/>
      <c r="NI57" s="790"/>
      <c r="NJ57" s="790"/>
      <c r="NK57" s="790"/>
      <c r="NL57" s="790"/>
      <c r="NM57" s="790"/>
      <c r="NN57" s="790"/>
      <c r="NO57" s="790"/>
      <c r="NP57" s="790"/>
      <c r="NQ57" s="790"/>
      <c r="NR57" s="790"/>
      <c r="NS57" s="790"/>
      <c r="NT57" s="790"/>
      <c r="NU57" s="790"/>
      <c r="NV57" s="790"/>
      <c r="NW57" s="790"/>
      <c r="NX57" s="790"/>
      <c r="NY57" s="790"/>
      <c r="NZ57" s="790"/>
      <c r="OA57" s="790"/>
      <c r="OB57" s="790"/>
      <c r="OC57" s="790"/>
      <c r="OD57" s="790"/>
      <c r="OE57" s="790"/>
      <c r="OF57" s="790"/>
      <c r="OG57" s="790"/>
      <c r="OH57" s="790"/>
      <c r="OI57" s="790"/>
      <c r="OJ57" s="790"/>
      <c r="OK57" s="790"/>
      <c r="OL57" s="790"/>
      <c r="OM57" s="790"/>
      <c r="ON57" s="790"/>
      <c r="OO57" s="790"/>
      <c r="OP57" s="790"/>
      <c r="OQ57" s="790"/>
      <c r="OR57" s="790"/>
      <c r="OS57" s="790"/>
      <c r="OT57" s="790"/>
      <c r="OU57" s="790"/>
      <c r="OV57" s="790"/>
      <c r="OW57" s="790"/>
      <c r="OX57" s="790"/>
      <c r="OY57" s="790"/>
      <c r="OZ57" s="790"/>
      <c r="PA57" s="790"/>
      <c r="PB57" s="790"/>
      <c r="PC57" s="790"/>
      <c r="PD57" s="790"/>
      <c r="PE57" s="790"/>
      <c r="PF57" s="790"/>
      <c r="PG57" s="790"/>
      <c r="PH57" s="790"/>
      <c r="PI57" s="790"/>
      <c r="PJ57" s="790"/>
      <c r="PK57" s="790"/>
      <c r="PL57" s="790"/>
      <c r="PM57" s="790"/>
      <c r="PN57" s="790"/>
      <c r="PO57" s="790"/>
      <c r="PP57" s="790"/>
      <c r="PQ57" s="790"/>
      <c r="PR57" s="790"/>
      <c r="PS57" s="790"/>
      <c r="PT57" s="790"/>
      <c r="PU57" s="790"/>
      <c r="PV57" s="790"/>
      <c r="PW57" s="790"/>
      <c r="PX57" s="790"/>
      <c r="PY57" s="790"/>
      <c r="PZ57" s="790"/>
      <c r="QA57" s="790"/>
      <c r="QB57" s="790"/>
      <c r="QC57" s="790"/>
      <c r="QD57" s="790"/>
      <c r="QE57" s="790"/>
      <c r="QF57" s="790"/>
      <c r="QG57" s="790"/>
      <c r="QH57" s="790"/>
      <c r="QI57" s="790"/>
      <c r="QJ57" s="790"/>
      <c r="QK57" s="790"/>
      <c r="QL57" s="790"/>
      <c r="QM57" s="790"/>
      <c r="QN57" s="790"/>
      <c r="QO57" s="790"/>
      <c r="QP57" s="790"/>
      <c r="QQ57" s="790"/>
      <c r="QR57" s="790"/>
      <c r="QS57" s="790"/>
      <c r="QT57" s="790"/>
      <c r="QU57" s="790"/>
      <c r="QV57" s="790"/>
      <c r="QW57" s="790"/>
      <c r="QX57" s="790"/>
      <c r="QY57" s="790"/>
      <c r="QZ57" s="790"/>
      <c r="RA57" s="790"/>
      <c r="RB57" s="790"/>
      <c r="RC57" s="790"/>
      <c r="RD57" s="790"/>
      <c r="RE57" s="790"/>
      <c r="RF57" s="790"/>
      <c r="RG57" s="790"/>
      <c r="RH57" s="790"/>
      <c r="RI57" s="790"/>
      <c r="RJ57" s="790"/>
      <c r="RK57" s="790"/>
      <c r="RL57" s="790"/>
      <c r="RM57" s="790"/>
      <c r="RN57" s="790"/>
      <c r="RO57" s="790"/>
      <c r="RP57" s="790"/>
      <c r="RQ57" s="790"/>
      <c r="RR57" s="790"/>
      <c r="RS57" s="790"/>
      <c r="RT57" s="790"/>
      <c r="RU57" s="790"/>
      <c r="RV57" s="790"/>
      <c r="RW57" s="790"/>
      <c r="RX57" s="790"/>
    </row>
    <row r="58" spans="1:492" s="166" customFormat="1">
      <c r="A58" s="790"/>
      <c r="B58" s="790"/>
      <c r="C58" s="790"/>
      <c r="D58" s="790"/>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81"/>
      <c r="AN58" s="781"/>
      <c r="AO58" s="781"/>
      <c r="AP58" s="781"/>
      <c r="AQ58" s="781"/>
      <c r="AR58" s="781"/>
      <c r="AS58" s="781"/>
      <c r="AT58" s="781"/>
      <c r="AU58" s="781"/>
      <c r="AV58" s="781"/>
      <c r="AW58" s="781"/>
      <c r="AX58" s="781"/>
      <c r="AY58" s="781"/>
      <c r="AZ58" s="781"/>
      <c r="BA58" s="781"/>
      <c r="BB58" s="781"/>
      <c r="BC58" s="781"/>
      <c r="BD58" s="781"/>
      <c r="BE58" s="781"/>
      <c r="BF58" s="781"/>
      <c r="BG58" s="781"/>
      <c r="BH58" s="781"/>
      <c r="BI58" s="781"/>
      <c r="BJ58" s="781"/>
      <c r="BK58" s="781"/>
      <c r="BL58" s="781"/>
      <c r="BM58" s="781"/>
      <c r="BN58" s="781"/>
      <c r="BO58" s="781"/>
      <c r="BP58" s="781"/>
      <c r="BQ58" s="781"/>
      <c r="BR58" s="781"/>
      <c r="BS58" s="781"/>
      <c r="BT58" s="781"/>
      <c r="BU58" s="781"/>
      <c r="BV58" s="790"/>
      <c r="BW58" s="790"/>
      <c r="BX58" s="790"/>
      <c r="BY58" s="790"/>
      <c r="BZ58" s="790"/>
      <c r="CA58" s="790"/>
      <c r="CB58" s="790"/>
      <c r="CC58" s="790"/>
      <c r="CD58" s="790"/>
      <c r="CE58" s="790"/>
      <c r="CF58" s="790"/>
      <c r="CG58" s="790"/>
      <c r="CH58" s="790"/>
      <c r="CI58" s="790"/>
      <c r="CJ58" s="790"/>
      <c r="CK58" s="790"/>
      <c r="CL58" s="790"/>
      <c r="CM58" s="790"/>
      <c r="CN58" s="790"/>
      <c r="CO58" s="790"/>
      <c r="CP58" s="790"/>
      <c r="CQ58" s="790"/>
      <c r="CR58" s="790"/>
      <c r="CS58" s="790"/>
      <c r="CT58" s="790"/>
      <c r="CU58" s="790"/>
      <c r="CV58" s="790"/>
      <c r="CW58" s="790"/>
      <c r="CX58" s="790"/>
      <c r="CY58" s="790"/>
      <c r="CZ58" s="790"/>
      <c r="DA58" s="790"/>
      <c r="DB58" s="790"/>
      <c r="DC58" s="790"/>
      <c r="DD58" s="790"/>
      <c r="DE58" s="790"/>
      <c r="DF58" s="790"/>
      <c r="DG58" s="790"/>
      <c r="DH58" s="790"/>
      <c r="DI58" s="790"/>
      <c r="DJ58" s="790"/>
      <c r="DK58" s="790"/>
      <c r="DL58" s="790"/>
      <c r="DM58" s="790"/>
      <c r="DN58" s="790"/>
      <c r="DO58" s="790"/>
      <c r="DP58" s="790"/>
      <c r="DQ58" s="790"/>
      <c r="DR58" s="790"/>
      <c r="DS58" s="790"/>
      <c r="DT58" s="790"/>
      <c r="DU58" s="790"/>
      <c r="DV58" s="790"/>
      <c r="DW58" s="790"/>
      <c r="DX58" s="790"/>
      <c r="DY58" s="790"/>
      <c r="DZ58" s="790"/>
      <c r="EA58" s="790"/>
      <c r="EB58" s="790"/>
      <c r="EC58" s="790"/>
      <c r="ED58" s="790"/>
      <c r="EE58" s="790"/>
      <c r="EF58" s="790"/>
      <c r="EG58" s="790"/>
      <c r="EH58" s="790"/>
      <c r="EI58" s="790"/>
      <c r="EJ58" s="790"/>
      <c r="EK58" s="790"/>
      <c r="EL58" s="790"/>
      <c r="EM58" s="790"/>
      <c r="EN58" s="790"/>
      <c r="EO58" s="790"/>
      <c r="EP58" s="790"/>
      <c r="EQ58" s="790"/>
      <c r="ER58" s="790"/>
      <c r="ES58" s="790"/>
      <c r="ET58" s="790"/>
      <c r="EU58" s="790"/>
      <c r="EV58" s="790"/>
      <c r="EW58" s="790"/>
      <c r="EX58" s="790"/>
      <c r="EY58" s="790"/>
      <c r="EZ58" s="790"/>
      <c r="FA58" s="790"/>
      <c r="FB58" s="790"/>
      <c r="FC58" s="790"/>
      <c r="FD58" s="790"/>
      <c r="FE58" s="790"/>
      <c r="FF58" s="790"/>
      <c r="FG58" s="790"/>
      <c r="FH58" s="790"/>
      <c r="FI58" s="790"/>
      <c r="FJ58" s="790"/>
      <c r="FK58" s="790"/>
      <c r="FL58" s="790"/>
      <c r="FM58" s="790"/>
      <c r="FN58" s="790"/>
      <c r="FO58" s="790"/>
      <c r="FP58" s="790"/>
      <c r="FQ58" s="790"/>
      <c r="FR58" s="790"/>
      <c r="FS58" s="790"/>
      <c r="FT58" s="790"/>
      <c r="FU58" s="790"/>
      <c r="FV58" s="790"/>
      <c r="FW58" s="790"/>
      <c r="FX58" s="790"/>
      <c r="FY58" s="790"/>
      <c r="FZ58" s="790"/>
      <c r="GA58" s="790"/>
      <c r="GB58" s="790"/>
      <c r="GC58" s="790"/>
      <c r="GD58" s="790"/>
      <c r="GE58" s="790"/>
      <c r="GF58" s="790"/>
      <c r="GG58" s="790"/>
      <c r="GH58" s="790"/>
      <c r="GI58" s="790"/>
      <c r="GJ58" s="790"/>
      <c r="GK58" s="790"/>
      <c r="GL58" s="790"/>
      <c r="GM58" s="790"/>
      <c r="GN58" s="790"/>
      <c r="GO58" s="790"/>
      <c r="GP58" s="790"/>
      <c r="GQ58" s="790"/>
      <c r="GR58" s="790"/>
      <c r="GS58" s="790"/>
      <c r="GT58" s="790"/>
      <c r="GU58" s="790"/>
      <c r="GV58" s="790"/>
      <c r="GW58" s="790"/>
      <c r="GX58" s="790"/>
      <c r="GY58" s="790"/>
      <c r="GZ58" s="790"/>
      <c r="HA58" s="790"/>
      <c r="HB58" s="790"/>
      <c r="HC58" s="790"/>
      <c r="HD58" s="790"/>
      <c r="HE58" s="790"/>
      <c r="HF58" s="790"/>
      <c r="HG58" s="790"/>
      <c r="HH58" s="790"/>
      <c r="HI58" s="790"/>
      <c r="HJ58" s="790"/>
      <c r="HK58" s="790"/>
      <c r="HL58" s="790"/>
      <c r="HM58" s="790"/>
      <c r="HN58" s="790"/>
      <c r="HO58" s="790"/>
      <c r="HP58" s="790"/>
      <c r="HQ58" s="790"/>
      <c r="HR58" s="790"/>
      <c r="HS58" s="790"/>
      <c r="HT58" s="790"/>
      <c r="HU58" s="790"/>
      <c r="HV58" s="790"/>
      <c r="HW58" s="790"/>
      <c r="HX58" s="790"/>
      <c r="HY58" s="790"/>
      <c r="HZ58" s="790"/>
      <c r="IA58" s="790"/>
      <c r="IB58" s="790"/>
      <c r="IC58" s="790"/>
      <c r="ID58" s="790"/>
      <c r="IE58" s="790"/>
      <c r="IF58" s="790"/>
      <c r="IG58" s="790"/>
      <c r="IH58" s="790"/>
      <c r="II58" s="790"/>
      <c r="IJ58" s="790"/>
      <c r="IK58" s="790"/>
      <c r="IL58" s="790"/>
      <c r="IM58" s="790"/>
      <c r="IN58" s="790"/>
      <c r="IO58" s="790"/>
      <c r="IP58" s="790"/>
      <c r="IQ58" s="790"/>
      <c r="IR58" s="790"/>
      <c r="IS58" s="790"/>
      <c r="IT58" s="790"/>
      <c r="IU58" s="790"/>
      <c r="IV58" s="790"/>
      <c r="IW58" s="790"/>
      <c r="IX58" s="790"/>
      <c r="IY58" s="790"/>
      <c r="IZ58" s="790"/>
      <c r="JA58" s="790"/>
      <c r="JB58" s="790"/>
      <c r="JC58" s="790"/>
      <c r="JD58" s="790"/>
      <c r="JE58" s="790"/>
      <c r="JF58" s="790"/>
      <c r="JG58" s="790"/>
      <c r="JH58" s="790"/>
      <c r="JI58" s="790"/>
      <c r="JJ58" s="790"/>
      <c r="JK58" s="790"/>
      <c r="JL58" s="790"/>
      <c r="JM58" s="790"/>
      <c r="JN58" s="790"/>
      <c r="JO58" s="790"/>
      <c r="JP58" s="790"/>
      <c r="JQ58" s="790"/>
      <c r="JR58" s="790"/>
      <c r="JS58" s="790"/>
      <c r="JT58" s="790"/>
      <c r="JU58" s="790"/>
      <c r="JV58" s="790"/>
      <c r="JW58" s="790"/>
      <c r="JX58" s="790"/>
      <c r="JY58" s="790"/>
      <c r="JZ58" s="790"/>
      <c r="KA58" s="790"/>
      <c r="KB58" s="790"/>
      <c r="KC58" s="790"/>
      <c r="KD58" s="790"/>
      <c r="KE58" s="790"/>
      <c r="KF58" s="790"/>
      <c r="KG58" s="790"/>
      <c r="KH58" s="790"/>
      <c r="KI58" s="790"/>
      <c r="KJ58" s="790"/>
      <c r="KK58" s="790"/>
      <c r="KL58" s="790"/>
      <c r="KM58" s="790"/>
      <c r="KN58" s="790"/>
      <c r="KO58" s="790"/>
      <c r="KP58" s="790"/>
      <c r="KQ58" s="790"/>
      <c r="KR58" s="790"/>
      <c r="KS58" s="790"/>
      <c r="KT58" s="790"/>
      <c r="KU58" s="790"/>
      <c r="KV58" s="790"/>
      <c r="KW58" s="790"/>
      <c r="KX58" s="790"/>
      <c r="KY58" s="790"/>
      <c r="KZ58" s="790"/>
      <c r="LA58" s="790"/>
      <c r="LB58" s="790"/>
      <c r="LC58" s="790"/>
      <c r="LD58" s="790"/>
      <c r="LE58" s="790"/>
      <c r="LF58" s="790"/>
      <c r="LG58" s="790"/>
      <c r="LH58" s="790"/>
      <c r="LI58" s="790"/>
      <c r="LJ58" s="790"/>
      <c r="LK58" s="790"/>
      <c r="LL58" s="790"/>
      <c r="LM58" s="790"/>
      <c r="LN58" s="790"/>
      <c r="LO58" s="790"/>
      <c r="LP58" s="790"/>
      <c r="LQ58" s="790"/>
      <c r="LR58" s="790"/>
      <c r="LS58" s="790"/>
      <c r="LT58" s="790"/>
      <c r="LU58" s="790"/>
      <c r="LV58" s="790"/>
      <c r="LW58" s="790"/>
      <c r="LX58" s="790"/>
      <c r="LY58" s="790"/>
      <c r="LZ58" s="790"/>
      <c r="MA58" s="790"/>
      <c r="MB58" s="790"/>
      <c r="MC58" s="790"/>
      <c r="MD58" s="790"/>
      <c r="ME58" s="790"/>
      <c r="MF58" s="790"/>
      <c r="MG58" s="790"/>
      <c r="MH58" s="790"/>
      <c r="MI58" s="790"/>
      <c r="MJ58" s="790"/>
      <c r="MK58" s="790"/>
      <c r="ML58" s="790"/>
      <c r="MM58" s="790"/>
      <c r="MN58" s="790"/>
      <c r="MO58" s="790"/>
      <c r="MP58" s="790"/>
      <c r="MQ58" s="790"/>
      <c r="MR58" s="790"/>
      <c r="MS58" s="790"/>
      <c r="MT58" s="790"/>
      <c r="MU58" s="790"/>
      <c r="MV58" s="790"/>
      <c r="MW58" s="790"/>
      <c r="MX58" s="790"/>
      <c r="MY58" s="790"/>
      <c r="MZ58" s="790"/>
      <c r="NA58" s="790"/>
      <c r="NB58" s="790"/>
      <c r="NC58" s="790"/>
      <c r="ND58" s="790"/>
      <c r="NE58" s="790"/>
      <c r="NF58" s="790"/>
      <c r="NG58" s="790"/>
      <c r="NH58" s="790"/>
      <c r="NI58" s="790"/>
      <c r="NJ58" s="790"/>
      <c r="NK58" s="790"/>
      <c r="NL58" s="790"/>
      <c r="NM58" s="790"/>
      <c r="NN58" s="790"/>
      <c r="NO58" s="790"/>
      <c r="NP58" s="790"/>
      <c r="NQ58" s="790"/>
      <c r="NR58" s="790"/>
      <c r="NS58" s="790"/>
      <c r="NT58" s="790"/>
      <c r="NU58" s="790"/>
      <c r="NV58" s="790"/>
      <c r="NW58" s="790"/>
      <c r="NX58" s="790"/>
      <c r="NY58" s="790"/>
      <c r="NZ58" s="790"/>
      <c r="OA58" s="790"/>
      <c r="OB58" s="790"/>
      <c r="OC58" s="790"/>
      <c r="OD58" s="790"/>
      <c r="OE58" s="790"/>
      <c r="OF58" s="790"/>
      <c r="OG58" s="790"/>
      <c r="OH58" s="790"/>
      <c r="OI58" s="790"/>
      <c r="OJ58" s="790"/>
      <c r="OK58" s="790"/>
      <c r="OL58" s="790"/>
      <c r="OM58" s="790"/>
      <c r="ON58" s="790"/>
      <c r="OO58" s="790"/>
      <c r="OP58" s="790"/>
      <c r="OQ58" s="790"/>
      <c r="OR58" s="790"/>
      <c r="OS58" s="790"/>
      <c r="OT58" s="790"/>
      <c r="OU58" s="790"/>
      <c r="OV58" s="790"/>
      <c r="OW58" s="790"/>
      <c r="OX58" s="790"/>
      <c r="OY58" s="790"/>
      <c r="OZ58" s="790"/>
      <c r="PA58" s="790"/>
      <c r="PB58" s="790"/>
      <c r="PC58" s="790"/>
      <c r="PD58" s="790"/>
      <c r="PE58" s="790"/>
      <c r="PF58" s="790"/>
      <c r="PG58" s="790"/>
      <c r="PH58" s="790"/>
      <c r="PI58" s="790"/>
      <c r="PJ58" s="790"/>
      <c r="PK58" s="790"/>
      <c r="PL58" s="790"/>
      <c r="PM58" s="790"/>
      <c r="PN58" s="790"/>
      <c r="PO58" s="790"/>
      <c r="PP58" s="790"/>
      <c r="PQ58" s="790"/>
      <c r="PR58" s="790"/>
      <c r="PS58" s="790"/>
      <c r="PT58" s="790"/>
      <c r="PU58" s="790"/>
      <c r="PV58" s="790"/>
      <c r="PW58" s="790"/>
      <c r="PX58" s="790"/>
      <c r="PY58" s="790"/>
      <c r="PZ58" s="790"/>
      <c r="QA58" s="790"/>
      <c r="QB58" s="790"/>
      <c r="QC58" s="790"/>
      <c r="QD58" s="790"/>
      <c r="QE58" s="790"/>
      <c r="QF58" s="790"/>
      <c r="QG58" s="790"/>
      <c r="QH58" s="790"/>
      <c r="QI58" s="790"/>
      <c r="QJ58" s="790"/>
      <c r="QK58" s="790"/>
      <c r="QL58" s="790"/>
      <c r="QM58" s="790"/>
      <c r="QN58" s="790"/>
      <c r="QO58" s="790"/>
      <c r="QP58" s="790"/>
      <c r="QQ58" s="790"/>
      <c r="QR58" s="790"/>
      <c r="QS58" s="790"/>
      <c r="QT58" s="790"/>
      <c r="QU58" s="790"/>
      <c r="QV58" s="790"/>
      <c r="QW58" s="790"/>
      <c r="QX58" s="790"/>
      <c r="QY58" s="790"/>
      <c r="QZ58" s="790"/>
      <c r="RA58" s="790"/>
      <c r="RB58" s="790"/>
      <c r="RC58" s="790"/>
      <c r="RD58" s="790"/>
      <c r="RE58" s="790"/>
      <c r="RF58" s="790"/>
      <c r="RG58" s="790"/>
      <c r="RH58" s="790"/>
      <c r="RI58" s="790"/>
      <c r="RJ58" s="790"/>
      <c r="RK58" s="790"/>
      <c r="RL58" s="790"/>
      <c r="RM58" s="790"/>
      <c r="RN58" s="790"/>
      <c r="RO58" s="790"/>
      <c r="RP58" s="790"/>
      <c r="RQ58" s="790"/>
      <c r="RR58" s="790"/>
      <c r="RS58" s="790"/>
      <c r="RT58" s="790"/>
      <c r="RU58" s="790"/>
      <c r="RV58" s="790"/>
      <c r="RW58" s="790"/>
      <c r="RX58" s="790"/>
    </row>
    <row r="59" spans="1:492" s="166" customFormat="1">
      <c r="A59" s="790"/>
      <c r="B59" s="790"/>
      <c r="C59" s="790"/>
      <c r="D59" s="790"/>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81"/>
      <c r="AN59" s="781"/>
      <c r="AO59" s="781"/>
      <c r="AP59" s="781"/>
      <c r="AQ59" s="781"/>
      <c r="AR59" s="781"/>
      <c r="AS59" s="781"/>
      <c r="AT59" s="781"/>
      <c r="AU59" s="781"/>
      <c r="AV59" s="781"/>
      <c r="AW59" s="781"/>
      <c r="AX59" s="781"/>
      <c r="AY59" s="781"/>
      <c r="AZ59" s="781"/>
      <c r="BA59" s="781"/>
      <c r="BB59" s="781"/>
      <c r="BC59" s="781"/>
      <c r="BD59" s="781"/>
      <c r="BE59" s="781"/>
      <c r="BF59" s="781"/>
      <c r="BG59" s="781"/>
      <c r="BH59" s="781"/>
      <c r="BI59" s="781"/>
      <c r="BJ59" s="781"/>
      <c r="BK59" s="781"/>
      <c r="BL59" s="781"/>
      <c r="BM59" s="781"/>
      <c r="BN59" s="781"/>
      <c r="BO59" s="781"/>
      <c r="BP59" s="781"/>
      <c r="BQ59" s="781"/>
      <c r="BR59" s="781"/>
      <c r="BS59" s="781"/>
      <c r="BT59" s="781"/>
      <c r="BU59" s="781"/>
      <c r="BV59" s="790"/>
      <c r="BW59" s="790"/>
      <c r="BX59" s="790"/>
      <c r="BY59" s="790"/>
      <c r="BZ59" s="790"/>
      <c r="CA59" s="790"/>
      <c r="CB59" s="790"/>
      <c r="CC59" s="790"/>
      <c r="CD59" s="790"/>
      <c r="CE59" s="790"/>
      <c r="CF59" s="790"/>
      <c r="CG59" s="790"/>
      <c r="CH59" s="790"/>
      <c r="CI59" s="790"/>
      <c r="CJ59" s="790"/>
      <c r="CK59" s="790"/>
      <c r="CL59" s="790"/>
      <c r="CM59" s="790"/>
      <c r="CN59" s="790"/>
      <c r="CO59" s="790"/>
      <c r="CP59" s="790"/>
      <c r="CQ59" s="790"/>
      <c r="CR59" s="790"/>
      <c r="CS59" s="790"/>
      <c r="CT59" s="790"/>
      <c r="CU59" s="790"/>
      <c r="CV59" s="790"/>
      <c r="CW59" s="790"/>
      <c r="CX59" s="790"/>
      <c r="CY59" s="790"/>
      <c r="CZ59" s="790"/>
      <c r="DA59" s="790"/>
      <c r="DB59" s="790"/>
      <c r="DC59" s="790"/>
      <c r="DD59" s="790"/>
      <c r="DE59" s="790"/>
      <c r="DF59" s="790"/>
      <c r="DG59" s="790"/>
      <c r="DH59" s="790"/>
      <c r="DI59" s="790"/>
      <c r="DJ59" s="790"/>
      <c r="DK59" s="790"/>
      <c r="DL59" s="790"/>
      <c r="DM59" s="790"/>
      <c r="DN59" s="790"/>
      <c r="DO59" s="790"/>
      <c r="DP59" s="790"/>
      <c r="DQ59" s="790"/>
      <c r="DR59" s="790"/>
      <c r="DS59" s="790"/>
      <c r="DT59" s="790"/>
      <c r="DU59" s="790"/>
      <c r="DV59" s="790"/>
      <c r="DW59" s="790"/>
      <c r="DX59" s="790"/>
      <c r="DY59" s="790"/>
      <c r="DZ59" s="790"/>
      <c r="EA59" s="790"/>
      <c r="EB59" s="790"/>
      <c r="EC59" s="790"/>
      <c r="ED59" s="790"/>
      <c r="EE59" s="790"/>
      <c r="EF59" s="790"/>
      <c r="EG59" s="790"/>
      <c r="EH59" s="790"/>
      <c r="EI59" s="790"/>
      <c r="EJ59" s="790"/>
      <c r="EK59" s="790"/>
      <c r="EL59" s="790"/>
      <c r="EM59" s="790"/>
      <c r="EN59" s="790"/>
      <c r="EO59" s="790"/>
      <c r="EP59" s="790"/>
      <c r="EQ59" s="790"/>
      <c r="ER59" s="790"/>
      <c r="ES59" s="790"/>
      <c r="ET59" s="790"/>
      <c r="EU59" s="790"/>
      <c r="EV59" s="790"/>
      <c r="EW59" s="790"/>
      <c r="EX59" s="790"/>
      <c r="EY59" s="790"/>
      <c r="EZ59" s="790"/>
      <c r="FA59" s="790"/>
      <c r="FB59" s="790"/>
      <c r="FC59" s="790"/>
      <c r="FD59" s="790"/>
      <c r="FE59" s="790"/>
      <c r="FF59" s="790"/>
      <c r="FG59" s="790"/>
      <c r="FH59" s="790"/>
      <c r="FI59" s="790"/>
      <c r="FJ59" s="790"/>
      <c r="FK59" s="790"/>
      <c r="FL59" s="790"/>
      <c r="FM59" s="790"/>
      <c r="FN59" s="790"/>
      <c r="FO59" s="790"/>
      <c r="FP59" s="790"/>
      <c r="FQ59" s="790"/>
      <c r="FR59" s="790"/>
      <c r="FS59" s="790"/>
      <c r="FT59" s="790"/>
      <c r="FU59" s="790"/>
      <c r="FV59" s="790"/>
      <c r="FW59" s="790"/>
      <c r="FX59" s="790"/>
      <c r="FY59" s="790"/>
      <c r="FZ59" s="790"/>
      <c r="GA59" s="790"/>
      <c r="GB59" s="790"/>
      <c r="GC59" s="790"/>
      <c r="GD59" s="790"/>
      <c r="GE59" s="790"/>
      <c r="GF59" s="790"/>
      <c r="GG59" s="790"/>
      <c r="GH59" s="790"/>
      <c r="GI59" s="790"/>
      <c r="GJ59" s="790"/>
      <c r="GK59" s="790"/>
      <c r="GL59" s="790"/>
      <c r="GM59" s="790"/>
      <c r="GN59" s="790"/>
      <c r="GO59" s="790"/>
      <c r="GP59" s="790"/>
      <c r="GQ59" s="790"/>
      <c r="GR59" s="790"/>
      <c r="GS59" s="790"/>
      <c r="GT59" s="790"/>
      <c r="GU59" s="790"/>
      <c r="GV59" s="790"/>
      <c r="GW59" s="790"/>
      <c r="GX59" s="790"/>
      <c r="GY59" s="790"/>
      <c r="GZ59" s="790"/>
      <c r="HA59" s="790"/>
      <c r="HB59" s="790"/>
      <c r="HC59" s="790"/>
      <c r="HD59" s="790"/>
      <c r="HE59" s="790"/>
      <c r="HF59" s="790"/>
      <c r="HG59" s="790"/>
      <c r="HH59" s="790"/>
      <c r="HI59" s="790"/>
      <c r="HJ59" s="790"/>
      <c r="HK59" s="790"/>
      <c r="HL59" s="790"/>
      <c r="HM59" s="790"/>
      <c r="HN59" s="790"/>
      <c r="HO59" s="790"/>
      <c r="HP59" s="790"/>
      <c r="HQ59" s="790"/>
      <c r="HR59" s="790"/>
      <c r="HS59" s="790"/>
      <c r="HT59" s="790"/>
      <c r="HU59" s="790"/>
      <c r="HV59" s="790"/>
      <c r="HW59" s="790"/>
      <c r="HX59" s="790"/>
      <c r="HY59" s="790"/>
      <c r="HZ59" s="790"/>
      <c r="IA59" s="790"/>
      <c r="IB59" s="790"/>
      <c r="IC59" s="790"/>
      <c r="ID59" s="790"/>
      <c r="IE59" s="790"/>
      <c r="IF59" s="790"/>
      <c r="IG59" s="790"/>
      <c r="IH59" s="790"/>
      <c r="II59" s="790"/>
      <c r="IJ59" s="790"/>
      <c r="IK59" s="790"/>
      <c r="IL59" s="790"/>
      <c r="IM59" s="790"/>
      <c r="IN59" s="790"/>
      <c r="IO59" s="790"/>
      <c r="IP59" s="790"/>
      <c r="IQ59" s="790"/>
      <c r="IR59" s="790"/>
      <c r="IS59" s="790"/>
      <c r="IT59" s="790"/>
      <c r="IU59" s="790"/>
      <c r="IV59" s="790"/>
      <c r="IW59" s="790"/>
      <c r="IX59" s="790"/>
      <c r="IY59" s="790"/>
      <c r="IZ59" s="790"/>
      <c r="JA59" s="790"/>
      <c r="JB59" s="790"/>
      <c r="JC59" s="790"/>
      <c r="JD59" s="790"/>
      <c r="JE59" s="790"/>
      <c r="JF59" s="790"/>
      <c r="JG59" s="790"/>
      <c r="JH59" s="790"/>
      <c r="JI59" s="790"/>
      <c r="JJ59" s="790"/>
      <c r="JK59" s="790"/>
      <c r="JL59" s="790"/>
      <c r="JM59" s="790"/>
      <c r="JN59" s="790"/>
      <c r="JO59" s="790"/>
      <c r="JP59" s="790"/>
      <c r="JQ59" s="790"/>
      <c r="JR59" s="790"/>
      <c r="JS59" s="790"/>
      <c r="JT59" s="790"/>
      <c r="JU59" s="790"/>
      <c r="JV59" s="790"/>
      <c r="JW59" s="790"/>
      <c r="JX59" s="790"/>
      <c r="JY59" s="790"/>
      <c r="JZ59" s="790"/>
      <c r="KA59" s="790"/>
      <c r="KB59" s="790"/>
      <c r="KC59" s="790"/>
      <c r="KD59" s="790"/>
      <c r="KE59" s="790"/>
      <c r="KF59" s="790"/>
      <c r="KG59" s="790"/>
      <c r="KH59" s="790"/>
      <c r="KI59" s="790"/>
      <c r="KJ59" s="790"/>
      <c r="KK59" s="790"/>
      <c r="KL59" s="790"/>
      <c r="KM59" s="790"/>
      <c r="KN59" s="790"/>
      <c r="KO59" s="790"/>
      <c r="KP59" s="790"/>
      <c r="KQ59" s="790"/>
      <c r="KR59" s="790"/>
      <c r="KS59" s="790"/>
      <c r="KT59" s="790"/>
      <c r="KU59" s="790"/>
      <c r="KV59" s="790"/>
      <c r="KW59" s="790"/>
      <c r="KX59" s="790"/>
      <c r="KY59" s="790"/>
      <c r="KZ59" s="790"/>
      <c r="LA59" s="790"/>
      <c r="LB59" s="790"/>
      <c r="LC59" s="790"/>
      <c r="LD59" s="790"/>
      <c r="LE59" s="790"/>
      <c r="LF59" s="790"/>
      <c r="LG59" s="790"/>
      <c r="LH59" s="790"/>
      <c r="LI59" s="790"/>
      <c r="LJ59" s="790"/>
      <c r="LK59" s="790"/>
      <c r="LL59" s="790"/>
      <c r="LM59" s="790"/>
      <c r="LN59" s="790"/>
      <c r="LO59" s="790"/>
      <c r="LP59" s="790"/>
      <c r="LQ59" s="790"/>
      <c r="LR59" s="790"/>
      <c r="LS59" s="790"/>
      <c r="LT59" s="790"/>
      <c r="LU59" s="790"/>
      <c r="LV59" s="790"/>
      <c r="LW59" s="790"/>
      <c r="LX59" s="790"/>
      <c r="LY59" s="790"/>
      <c r="LZ59" s="790"/>
      <c r="MA59" s="790"/>
      <c r="MB59" s="790"/>
      <c r="MC59" s="790"/>
      <c r="MD59" s="790"/>
      <c r="ME59" s="790"/>
      <c r="MF59" s="790"/>
      <c r="MG59" s="790"/>
      <c r="MH59" s="790"/>
      <c r="MI59" s="790"/>
      <c r="MJ59" s="790"/>
      <c r="MK59" s="790"/>
      <c r="ML59" s="790"/>
      <c r="MM59" s="790"/>
      <c r="MN59" s="790"/>
      <c r="MO59" s="790"/>
      <c r="MP59" s="790"/>
      <c r="MQ59" s="790"/>
      <c r="MR59" s="790"/>
      <c r="MS59" s="790"/>
      <c r="MT59" s="790"/>
      <c r="MU59" s="790"/>
      <c r="MV59" s="790"/>
      <c r="MW59" s="790"/>
      <c r="MX59" s="790"/>
      <c r="MY59" s="790"/>
      <c r="MZ59" s="790"/>
      <c r="NA59" s="790"/>
      <c r="NB59" s="790"/>
      <c r="NC59" s="790"/>
      <c r="ND59" s="790"/>
      <c r="NE59" s="790"/>
      <c r="NF59" s="790"/>
      <c r="NG59" s="790"/>
      <c r="NH59" s="790"/>
      <c r="NI59" s="790"/>
      <c r="NJ59" s="790"/>
      <c r="NK59" s="790"/>
      <c r="NL59" s="790"/>
      <c r="NM59" s="790"/>
      <c r="NN59" s="790"/>
      <c r="NO59" s="790"/>
      <c r="NP59" s="790"/>
      <c r="NQ59" s="790"/>
      <c r="NR59" s="790"/>
      <c r="NS59" s="790"/>
      <c r="NT59" s="790"/>
      <c r="NU59" s="790"/>
      <c r="NV59" s="790"/>
      <c r="NW59" s="790"/>
      <c r="NX59" s="790"/>
      <c r="NY59" s="790"/>
      <c r="NZ59" s="790"/>
      <c r="OA59" s="790"/>
      <c r="OB59" s="790"/>
      <c r="OC59" s="790"/>
      <c r="OD59" s="790"/>
      <c r="OE59" s="790"/>
      <c r="OF59" s="790"/>
      <c r="OG59" s="790"/>
      <c r="OH59" s="790"/>
      <c r="OI59" s="790"/>
      <c r="OJ59" s="790"/>
      <c r="OK59" s="790"/>
      <c r="OL59" s="790"/>
      <c r="OM59" s="790"/>
      <c r="ON59" s="790"/>
      <c r="OO59" s="790"/>
      <c r="OP59" s="790"/>
      <c r="OQ59" s="790"/>
      <c r="OR59" s="790"/>
      <c r="OS59" s="790"/>
      <c r="OT59" s="790"/>
      <c r="OU59" s="790"/>
      <c r="OV59" s="790"/>
      <c r="OW59" s="790"/>
      <c r="OX59" s="790"/>
      <c r="OY59" s="790"/>
      <c r="OZ59" s="790"/>
      <c r="PA59" s="790"/>
      <c r="PB59" s="790"/>
      <c r="PC59" s="790"/>
      <c r="PD59" s="790"/>
      <c r="PE59" s="790"/>
      <c r="PF59" s="790"/>
      <c r="PG59" s="790"/>
      <c r="PH59" s="790"/>
      <c r="PI59" s="790"/>
      <c r="PJ59" s="790"/>
      <c r="PK59" s="790"/>
      <c r="PL59" s="790"/>
      <c r="PM59" s="790"/>
      <c r="PN59" s="790"/>
      <c r="PO59" s="790"/>
      <c r="PP59" s="790"/>
      <c r="PQ59" s="790"/>
      <c r="PR59" s="790"/>
      <c r="PS59" s="790"/>
      <c r="PT59" s="790"/>
      <c r="PU59" s="790"/>
      <c r="PV59" s="790"/>
      <c r="PW59" s="790"/>
      <c r="PX59" s="790"/>
      <c r="PY59" s="790"/>
      <c r="PZ59" s="790"/>
      <c r="QA59" s="790"/>
      <c r="QB59" s="790"/>
      <c r="QC59" s="790"/>
      <c r="QD59" s="790"/>
      <c r="QE59" s="790"/>
      <c r="QF59" s="790"/>
      <c r="QG59" s="790"/>
      <c r="QH59" s="790"/>
      <c r="QI59" s="790"/>
      <c r="QJ59" s="790"/>
      <c r="QK59" s="790"/>
      <c r="QL59" s="790"/>
      <c r="QM59" s="790"/>
      <c r="QN59" s="790"/>
      <c r="QO59" s="790"/>
      <c r="QP59" s="790"/>
      <c r="QQ59" s="790"/>
      <c r="QR59" s="790"/>
      <c r="QS59" s="790"/>
      <c r="QT59" s="790"/>
      <c r="QU59" s="790"/>
      <c r="QV59" s="790"/>
      <c r="QW59" s="790"/>
      <c r="QX59" s="790"/>
      <c r="QY59" s="790"/>
      <c r="QZ59" s="790"/>
      <c r="RA59" s="790"/>
      <c r="RB59" s="790"/>
      <c r="RC59" s="790"/>
      <c r="RD59" s="790"/>
      <c r="RE59" s="790"/>
      <c r="RF59" s="790"/>
      <c r="RG59" s="790"/>
      <c r="RH59" s="790"/>
      <c r="RI59" s="790"/>
      <c r="RJ59" s="790"/>
      <c r="RK59" s="790"/>
      <c r="RL59" s="790"/>
      <c r="RM59" s="790"/>
      <c r="RN59" s="790"/>
      <c r="RO59" s="790"/>
      <c r="RP59" s="790"/>
      <c r="RQ59" s="790"/>
      <c r="RR59" s="790"/>
      <c r="RS59" s="790"/>
      <c r="RT59" s="790"/>
      <c r="RU59" s="790"/>
      <c r="RV59" s="790"/>
      <c r="RW59" s="790"/>
      <c r="RX59" s="790"/>
    </row>
    <row r="60" spans="1:492" s="166" customFormat="1">
      <c r="A60" s="790"/>
      <c r="B60" s="790"/>
      <c r="C60" s="790"/>
      <c r="D60" s="790"/>
      <c r="E60" s="790"/>
      <c r="F60" s="790"/>
      <c r="G60" s="790"/>
      <c r="H60" s="790"/>
      <c r="I60" s="790"/>
      <c r="J60" s="790"/>
      <c r="K60" s="790"/>
      <c r="L60" s="790"/>
      <c r="M60" s="790"/>
      <c r="N60" s="790"/>
      <c r="O60" s="790"/>
      <c r="P60" s="790"/>
      <c r="Q60" s="790"/>
      <c r="R60" s="790"/>
      <c r="S60" s="790"/>
      <c r="T60" s="790"/>
      <c r="U60" s="790"/>
      <c r="V60" s="790"/>
      <c r="W60" s="790"/>
      <c r="X60" s="790"/>
      <c r="Y60" s="790"/>
      <c r="Z60" s="790"/>
      <c r="AA60" s="790"/>
      <c r="AB60" s="790"/>
      <c r="AC60" s="790"/>
      <c r="AD60" s="790"/>
      <c r="AE60" s="790"/>
      <c r="AF60" s="790"/>
      <c r="AG60" s="790"/>
      <c r="AH60" s="790"/>
      <c r="AI60" s="790"/>
      <c r="AJ60" s="790"/>
      <c r="AK60" s="790"/>
      <c r="AL60" s="790"/>
      <c r="AM60" s="781"/>
      <c r="AN60" s="781"/>
      <c r="AO60" s="781"/>
      <c r="AP60" s="781"/>
      <c r="AQ60" s="781"/>
      <c r="AR60" s="781"/>
      <c r="AS60" s="781"/>
      <c r="AT60" s="781"/>
      <c r="AU60" s="781"/>
      <c r="AV60" s="781"/>
      <c r="AW60" s="781"/>
      <c r="AX60" s="781"/>
      <c r="AY60" s="781"/>
      <c r="AZ60" s="781"/>
      <c r="BA60" s="781"/>
      <c r="BB60" s="781"/>
      <c r="BC60" s="781"/>
      <c r="BD60" s="781"/>
      <c r="BE60" s="781"/>
      <c r="BF60" s="781"/>
      <c r="BG60" s="781"/>
      <c r="BH60" s="781"/>
      <c r="BI60" s="781"/>
      <c r="BJ60" s="781"/>
      <c r="BK60" s="781"/>
      <c r="BL60" s="781"/>
      <c r="BM60" s="781"/>
      <c r="BN60" s="781"/>
      <c r="BO60" s="781"/>
      <c r="BP60" s="781"/>
      <c r="BQ60" s="781"/>
      <c r="BR60" s="781"/>
      <c r="BS60" s="781"/>
      <c r="BT60" s="781"/>
      <c r="BU60" s="781"/>
      <c r="BV60" s="790"/>
      <c r="BW60" s="790"/>
      <c r="BX60" s="790"/>
      <c r="BY60" s="790"/>
      <c r="BZ60" s="790"/>
      <c r="CA60" s="790"/>
      <c r="CB60" s="790"/>
      <c r="CC60" s="790"/>
      <c r="CD60" s="790"/>
      <c r="CE60" s="790"/>
      <c r="CF60" s="790"/>
      <c r="CG60" s="790"/>
      <c r="CH60" s="790"/>
      <c r="CI60" s="790"/>
      <c r="CJ60" s="790"/>
      <c r="CK60" s="790"/>
      <c r="CL60" s="790"/>
      <c r="CM60" s="790"/>
      <c r="CN60" s="790"/>
      <c r="CO60" s="790"/>
      <c r="CP60" s="790"/>
      <c r="CQ60" s="790"/>
      <c r="CR60" s="790"/>
      <c r="CS60" s="790"/>
      <c r="CT60" s="790"/>
      <c r="CU60" s="790"/>
      <c r="CV60" s="790"/>
      <c r="CW60" s="790"/>
      <c r="CX60" s="790"/>
      <c r="CY60" s="790"/>
      <c r="CZ60" s="790"/>
      <c r="DA60" s="790"/>
      <c r="DB60" s="790"/>
      <c r="DC60" s="790"/>
      <c r="DD60" s="790"/>
      <c r="DE60" s="790"/>
      <c r="DF60" s="790"/>
      <c r="DG60" s="790"/>
      <c r="DH60" s="790"/>
      <c r="DI60" s="790"/>
      <c r="DJ60" s="790"/>
      <c r="DK60" s="790"/>
      <c r="DL60" s="790"/>
      <c r="DM60" s="790"/>
      <c r="DN60" s="790"/>
      <c r="DO60" s="790"/>
      <c r="DP60" s="790"/>
      <c r="DQ60" s="790"/>
      <c r="DR60" s="790"/>
      <c r="DS60" s="790"/>
      <c r="DT60" s="790"/>
      <c r="DU60" s="790"/>
      <c r="DV60" s="790"/>
      <c r="DW60" s="790"/>
      <c r="DX60" s="790"/>
      <c r="DY60" s="790"/>
      <c r="DZ60" s="790"/>
      <c r="EA60" s="790"/>
      <c r="EB60" s="790"/>
      <c r="EC60" s="790"/>
      <c r="ED60" s="790"/>
      <c r="EE60" s="790"/>
      <c r="EF60" s="790"/>
      <c r="EG60" s="790"/>
      <c r="EH60" s="790"/>
      <c r="EI60" s="790"/>
      <c r="EJ60" s="790"/>
      <c r="EK60" s="790"/>
      <c r="EL60" s="790"/>
      <c r="EM60" s="790"/>
      <c r="EN60" s="790"/>
      <c r="EO60" s="790"/>
      <c r="EP60" s="790"/>
      <c r="EQ60" s="790"/>
      <c r="ER60" s="790"/>
      <c r="ES60" s="790"/>
      <c r="ET60" s="790"/>
      <c r="EU60" s="790"/>
      <c r="EV60" s="790"/>
      <c r="EW60" s="790"/>
      <c r="EX60" s="790"/>
      <c r="EY60" s="790"/>
      <c r="EZ60" s="790"/>
      <c r="FA60" s="790"/>
      <c r="FB60" s="790"/>
      <c r="FC60" s="790"/>
      <c r="FD60" s="790"/>
      <c r="FE60" s="790"/>
      <c r="FF60" s="790"/>
      <c r="FG60" s="790"/>
      <c r="FH60" s="790"/>
      <c r="FI60" s="790"/>
      <c r="FJ60" s="790"/>
      <c r="FK60" s="790"/>
      <c r="FL60" s="790"/>
      <c r="FM60" s="790"/>
      <c r="FN60" s="790"/>
      <c r="FO60" s="790"/>
      <c r="FP60" s="790"/>
      <c r="FQ60" s="790"/>
      <c r="FR60" s="790"/>
      <c r="FS60" s="790"/>
      <c r="FT60" s="790"/>
      <c r="FU60" s="790"/>
      <c r="FV60" s="790"/>
      <c r="FW60" s="790"/>
      <c r="FX60" s="790"/>
      <c r="FY60" s="790"/>
      <c r="FZ60" s="790"/>
      <c r="GA60" s="790"/>
      <c r="GB60" s="790"/>
      <c r="GC60" s="790"/>
      <c r="GD60" s="790"/>
      <c r="GE60" s="790"/>
      <c r="GF60" s="790"/>
      <c r="GG60" s="790"/>
      <c r="GH60" s="790"/>
      <c r="GI60" s="790"/>
      <c r="GJ60" s="790"/>
      <c r="GK60" s="790"/>
      <c r="GL60" s="790"/>
      <c r="GM60" s="790"/>
      <c r="GN60" s="790"/>
      <c r="GO60" s="790"/>
      <c r="GP60" s="790"/>
      <c r="GQ60" s="790"/>
      <c r="GR60" s="790"/>
      <c r="GS60" s="790"/>
      <c r="GT60" s="790"/>
      <c r="GU60" s="790"/>
      <c r="GV60" s="790"/>
      <c r="GW60" s="790"/>
      <c r="GX60" s="790"/>
      <c r="GY60" s="790"/>
      <c r="GZ60" s="790"/>
      <c r="HA60" s="790"/>
      <c r="HB60" s="790"/>
      <c r="HC60" s="790"/>
      <c r="HD60" s="790"/>
      <c r="HE60" s="790"/>
      <c r="HF60" s="790"/>
      <c r="HG60" s="790"/>
      <c r="HH60" s="790"/>
      <c r="HI60" s="790"/>
      <c r="HJ60" s="790"/>
      <c r="HK60" s="790"/>
      <c r="HL60" s="790"/>
      <c r="HM60" s="790"/>
      <c r="HN60" s="790"/>
      <c r="HO60" s="790"/>
      <c r="HP60" s="790"/>
      <c r="HQ60" s="790"/>
      <c r="HR60" s="790"/>
      <c r="HS60" s="790"/>
      <c r="HT60" s="790"/>
      <c r="HU60" s="790"/>
      <c r="HV60" s="790"/>
      <c r="HW60" s="790"/>
      <c r="HX60" s="790"/>
      <c r="HY60" s="790"/>
      <c r="HZ60" s="790"/>
      <c r="IA60" s="790"/>
      <c r="IB60" s="790"/>
      <c r="IC60" s="790"/>
      <c r="ID60" s="790"/>
      <c r="IE60" s="790"/>
      <c r="IF60" s="790"/>
      <c r="IG60" s="790"/>
      <c r="IH60" s="790"/>
      <c r="II60" s="790"/>
      <c r="IJ60" s="790"/>
      <c r="IK60" s="790"/>
      <c r="IL60" s="790"/>
      <c r="IM60" s="790"/>
      <c r="IN60" s="790"/>
      <c r="IO60" s="790"/>
      <c r="IP60" s="790"/>
      <c r="IQ60" s="790"/>
      <c r="IR60" s="790"/>
      <c r="IS60" s="790"/>
      <c r="IT60" s="790"/>
      <c r="IU60" s="790"/>
      <c r="IV60" s="790"/>
      <c r="IW60" s="790"/>
      <c r="IX60" s="790"/>
      <c r="IY60" s="790"/>
      <c r="IZ60" s="790"/>
      <c r="JA60" s="790"/>
      <c r="JB60" s="790"/>
      <c r="JC60" s="790"/>
      <c r="JD60" s="790"/>
      <c r="JE60" s="790"/>
      <c r="JF60" s="790"/>
      <c r="JG60" s="790"/>
      <c r="JH60" s="790"/>
      <c r="JI60" s="790"/>
      <c r="JJ60" s="790"/>
      <c r="JK60" s="790"/>
      <c r="JL60" s="790"/>
      <c r="JM60" s="790"/>
      <c r="JN60" s="790"/>
      <c r="JO60" s="790"/>
      <c r="JP60" s="790"/>
      <c r="JQ60" s="790"/>
      <c r="JR60" s="790"/>
      <c r="JS60" s="790"/>
      <c r="JT60" s="790"/>
      <c r="JU60" s="790"/>
      <c r="JV60" s="790"/>
      <c r="JW60" s="790"/>
      <c r="JX60" s="790"/>
      <c r="JY60" s="790"/>
      <c r="JZ60" s="790"/>
      <c r="KA60" s="790"/>
      <c r="KB60" s="790"/>
      <c r="KC60" s="790"/>
      <c r="KD60" s="790"/>
      <c r="KE60" s="790"/>
      <c r="KF60" s="790"/>
      <c r="KG60" s="790"/>
      <c r="KH60" s="790"/>
      <c r="KI60" s="790"/>
      <c r="KJ60" s="790"/>
      <c r="KK60" s="790"/>
      <c r="KL60" s="790"/>
      <c r="KM60" s="790"/>
      <c r="KN60" s="790"/>
      <c r="KO60" s="790"/>
      <c r="KP60" s="790"/>
      <c r="KQ60" s="790"/>
      <c r="KR60" s="790"/>
      <c r="KS60" s="790"/>
      <c r="KT60" s="790"/>
      <c r="KU60" s="790"/>
      <c r="KV60" s="790"/>
      <c r="KW60" s="790"/>
      <c r="KX60" s="790"/>
      <c r="KY60" s="790"/>
      <c r="KZ60" s="790"/>
      <c r="LA60" s="790"/>
      <c r="LB60" s="790"/>
      <c r="LC60" s="790"/>
      <c r="LD60" s="790"/>
      <c r="LE60" s="790"/>
      <c r="LF60" s="790"/>
      <c r="LG60" s="790"/>
      <c r="LH60" s="790"/>
      <c r="LI60" s="790"/>
      <c r="LJ60" s="790"/>
      <c r="LK60" s="790"/>
      <c r="LL60" s="790"/>
      <c r="LM60" s="790"/>
      <c r="LN60" s="790"/>
      <c r="LO60" s="790"/>
      <c r="LP60" s="790"/>
      <c r="LQ60" s="790"/>
      <c r="LR60" s="790"/>
      <c r="LS60" s="790"/>
      <c r="LT60" s="790"/>
      <c r="LU60" s="790"/>
      <c r="LV60" s="790"/>
      <c r="LW60" s="790"/>
      <c r="LX60" s="790"/>
      <c r="LY60" s="790"/>
      <c r="LZ60" s="790"/>
      <c r="MA60" s="790"/>
      <c r="MB60" s="790"/>
      <c r="MC60" s="790"/>
      <c r="MD60" s="790"/>
      <c r="ME60" s="790"/>
      <c r="MF60" s="790"/>
      <c r="MG60" s="790"/>
      <c r="MH60" s="790"/>
      <c r="MI60" s="790"/>
      <c r="MJ60" s="790"/>
      <c r="MK60" s="790"/>
      <c r="ML60" s="790"/>
      <c r="MM60" s="790"/>
      <c r="MN60" s="790"/>
      <c r="MO60" s="790"/>
      <c r="MP60" s="790"/>
      <c r="MQ60" s="790"/>
      <c r="MR60" s="790"/>
      <c r="MS60" s="790"/>
      <c r="MT60" s="790"/>
      <c r="MU60" s="790"/>
      <c r="MV60" s="790"/>
      <c r="MW60" s="790"/>
      <c r="MX60" s="790"/>
      <c r="MY60" s="790"/>
      <c r="MZ60" s="790"/>
      <c r="NA60" s="790"/>
      <c r="NB60" s="790"/>
      <c r="NC60" s="790"/>
      <c r="ND60" s="790"/>
      <c r="NE60" s="790"/>
      <c r="NF60" s="790"/>
      <c r="NG60" s="790"/>
      <c r="NH60" s="790"/>
      <c r="NI60" s="790"/>
      <c r="NJ60" s="790"/>
      <c r="NK60" s="790"/>
      <c r="NL60" s="790"/>
      <c r="NM60" s="790"/>
      <c r="NN60" s="790"/>
      <c r="NO60" s="790"/>
      <c r="NP60" s="790"/>
      <c r="NQ60" s="790"/>
      <c r="NR60" s="790"/>
      <c r="NS60" s="790"/>
      <c r="NT60" s="790"/>
      <c r="NU60" s="790"/>
      <c r="NV60" s="790"/>
      <c r="NW60" s="790"/>
      <c r="NX60" s="790"/>
      <c r="NY60" s="790"/>
      <c r="NZ60" s="790"/>
      <c r="OA60" s="790"/>
      <c r="OB60" s="790"/>
      <c r="OC60" s="790"/>
      <c r="OD60" s="790"/>
      <c r="OE60" s="790"/>
      <c r="OF60" s="790"/>
      <c r="OG60" s="790"/>
      <c r="OH60" s="790"/>
      <c r="OI60" s="790"/>
      <c r="OJ60" s="790"/>
      <c r="OK60" s="790"/>
      <c r="OL60" s="790"/>
      <c r="OM60" s="790"/>
      <c r="ON60" s="790"/>
      <c r="OO60" s="790"/>
      <c r="OP60" s="790"/>
      <c r="OQ60" s="790"/>
      <c r="OR60" s="790"/>
      <c r="OS60" s="790"/>
      <c r="OT60" s="790"/>
      <c r="OU60" s="790"/>
      <c r="OV60" s="790"/>
      <c r="OW60" s="790"/>
      <c r="OX60" s="790"/>
      <c r="OY60" s="790"/>
      <c r="OZ60" s="790"/>
      <c r="PA60" s="790"/>
      <c r="PB60" s="790"/>
      <c r="PC60" s="790"/>
      <c r="PD60" s="790"/>
      <c r="PE60" s="790"/>
      <c r="PF60" s="790"/>
      <c r="PG60" s="790"/>
      <c r="PH60" s="790"/>
      <c r="PI60" s="790"/>
      <c r="PJ60" s="790"/>
      <c r="PK60" s="790"/>
      <c r="PL60" s="790"/>
      <c r="PM60" s="790"/>
      <c r="PN60" s="790"/>
      <c r="PO60" s="790"/>
      <c r="PP60" s="790"/>
      <c r="PQ60" s="790"/>
      <c r="PR60" s="790"/>
      <c r="PS60" s="790"/>
      <c r="PT60" s="790"/>
      <c r="PU60" s="790"/>
      <c r="PV60" s="790"/>
      <c r="PW60" s="790"/>
      <c r="PX60" s="790"/>
      <c r="PY60" s="790"/>
      <c r="PZ60" s="790"/>
      <c r="QA60" s="790"/>
      <c r="QB60" s="790"/>
      <c r="QC60" s="790"/>
      <c r="QD60" s="790"/>
      <c r="QE60" s="790"/>
      <c r="QF60" s="790"/>
      <c r="QG60" s="790"/>
      <c r="QH60" s="790"/>
      <c r="QI60" s="790"/>
      <c r="QJ60" s="790"/>
      <c r="QK60" s="790"/>
      <c r="QL60" s="790"/>
      <c r="QM60" s="790"/>
      <c r="QN60" s="790"/>
      <c r="QO60" s="790"/>
      <c r="QP60" s="790"/>
      <c r="QQ60" s="790"/>
      <c r="QR60" s="790"/>
      <c r="QS60" s="790"/>
      <c r="QT60" s="790"/>
      <c r="QU60" s="790"/>
      <c r="QV60" s="790"/>
      <c r="QW60" s="790"/>
      <c r="QX60" s="790"/>
      <c r="QY60" s="790"/>
      <c r="QZ60" s="790"/>
      <c r="RA60" s="790"/>
      <c r="RB60" s="790"/>
      <c r="RC60" s="790"/>
      <c r="RD60" s="790"/>
      <c r="RE60" s="790"/>
      <c r="RF60" s="790"/>
      <c r="RG60" s="790"/>
      <c r="RH60" s="790"/>
      <c r="RI60" s="790"/>
      <c r="RJ60" s="790"/>
      <c r="RK60" s="790"/>
      <c r="RL60" s="790"/>
      <c r="RM60" s="790"/>
      <c r="RN60" s="790"/>
      <c r="RO60" s="790"/>
      <c r="RP60" s="790"/>
      <c r="RQ60" s="790"/>
      <c r="RR60" s="790"/>
      <c r="RS60" s="790"/>
      <c r="RT60" s="790"/>
      <c r="RU60" s="790"/>
      <c r="RV60" s="790"/>
      <c r="RW60" s="790"/>
      <c r="RX60" s="790"/>
    </row>
    <row r="61" spans="1:492" s="166" customFormat="1">
      <c r="A61" s="790"/>
      <c r="B61" s="790"/>
      <c r="C61" s="790"/>
      <c r="D61" s="790"/>
      <c r="E61" s="790"/>
      <c r="F61" s="790"/>
      <c r="G61" s="790"/>
      <c r="H61" s="790"/>
      <c r="I61" s="790"/>
      <c r="J61" s="790"/>
      <c r="K61" s="790"/>
      <c r="L61" s="790"/>
      <c r="M61" s="790"/>
      <c r="N61" s="790"/>
      <c r="O61" s="790"/>
      <c r="P61" s="790"/>
      <c r="Q61" s="790"/>
      <c r="R61" s="790"/>
      <c r="S61" s="790"/>
      <c r="T61" s="790"/>
      <c r="U61" s="790"/>
      <c r="V61" s="790"/>
      <c r="W61" s="790"/>
      <c r="X61" s="790"/>
      <c r="Y61" s="790"/>
      <c r="Z61" s="790"/>
      <c r="AA61" s="790"/>
      <c r="AB61" s="790"/>
      <c r="AC61" s="790"/>
      <c r="AD61" s="790"/>
      <c r="AE61" s="790"/>
      <c r="AF61" s="790"/>
      <c r="AG61" s="790"/>
      <c r="AH61" s="790"/>
      <c r="AI61" s="790"/>
      <c r="AJ61" s="790"/>
      <c r="AK61" s="790"/>
      <c r="AL61" s="790"/>
      <c r="AM61" s="781"/>
      <c r="AN61" s="781"/>
      <c r="AO61" s="781"/>
      <c r="AP61" s="781"/>
      <c r="AQ61" s="781"/>
      <c r="AR61" s="781"/>
      <c r="AS61" s="781"/>
      <c r="AT61" s="781"/>
      <c r="AU61" s="781"/>
      <c r="AV61" s="781"/>
      <c r="AW61" s="781"/>
      <c r="AX61" s="781"/>
      <c r="AY61" s="781"/>
      <c r="AZ61" s="781"/>
      <c r="BA61" s="781"/>
      <c r="BB61" s="781"/>
      <c r="BC61" s="781"/>
      <c r="BD61" s="781"/>
      <c r="BE61" s="781"/>
      <c r="BF61" s="781"/>
      <c r="BG61" s="781"/>
      <c r="BH61" s="781"/>
      <c r="BI61" s="781"/>
      <c r="BJ61" s="781"/>
      <c r="BK61" s="781"/>
      <c r="BL61" s="781"/>
      <c r="BM61" s="781"/>
      <c r="BN61" s="781"/>
      <c r="BO61" s="781"/>
      <c r="BP61" s="781"/>
      <c r="BQ61" s="781"/>
      <c r="BR61" s="781"/>
      <c r="BS61" s="781"/>
      <c r="BT61" s="781"/>
      <c r="BU61" s="781"/>
      <c r="BV61" s="790"/>
      <c r="BW61" s="790"/>
      <c r="BX61" s="790"/>
      <c r="BY61" s="790"/>
      <c r="BZ61" s="790"/>
      <c r="CA61" s="790"/>
      <c r="CB61" s="790"/>
      <c r="CC61" s="790"/>
      <c r="CD61" s="790"/>
      <c r="CE61" s="790"/>
      <c r="CF61" s="790"/>
      <c r="CG61" s="790"/>
      <c r="CH61" s="790"/>
      <c r="CI61" s="790"/>
      <c r="CJ61" s="790"/>
      <c r="CK61" s="790"/>
      <c r="CL61" s="790"/>
      <c r="CM61" s="790"/>
      <c r="CN61" s="790"/>
      <c r="CO61" s="790"/>
      <c r="CP61" s="790"/>
      <c r="CQ61" s="790"/>
      <c r="CR61" s="790"/>
      <c r="CS61" s="790"/>
      <c r="CT61" s="790"/>
      <c r="CU61" s="790"/>
      <c r="CV61" s="790"/>
      <c r="CW61" s="790"/>
      <c r="CX61" s="790"/>
      <c r="CY61" s="790"/>
      <c r="CZ61" s="790"/>
      <c r="DA61" s="790"/>
      <c r="DB61" s="790"/>
      <c r="DC61" s="790"/>
      <c r="DD61" s="790"/>
      <c r="DE61" s="790"/>
      <c r="DF61" s="790"/>
      <c r="DG61" s="790"/>
      <c r="DH61" s="790"/>
      <c r="DI61" s="790"/>
      <c r="DJ61" s="790"/>
      <c r="DK61" s="790"/>
      <c r="DL61" s="790"/>
      <c r="DM61" s="790"/>
      <c r="DN61" s="790"/>
      <c r="DO61" s="790"/>
      <c r="DP61" s="790"/>
      <c r="DQ61" s="790"/>
      <c r="DR61" s="790"/>
      <c r="DS61" s="790"/>
      <c r="DT61" s="790"/>
      <c r="DU61" s="790"/>
      <c r="DV61" s="790"/>
      <c r="DW61" s="790"/>
      <c r="DX61" s="790"/>
      <c r="DY61" s="790"/>
      <c r="DZ61" s="790"/>
      <c r="EA61" s="790"/>
      <c r="EB61" s="790"/>
      <c r="EC61" s="790"/>
      <c r="ED61" s="790"/>
      <c r="EE61" s="790"/>
      <c r="EF61" s="790"/>
      <c r="EG61" s="790"/>
      <c r="EH61" s="790"/>
      <c r="EI61" s="790"/>
      <c r="EJ61" s="790"/>
      <c r="EK61" s="790"/>
      <c r="EL61" s="790"/>
      <c r="EM61" s="790"/>
      <c r="EN61" s="790"/>
      <c r="EO61" s="790"/>
      <c r="EP61" s="790"/>
      <c r="EQ61" s="790"/>
      <c r="ER61" s="790"/>
      <c r="ES61" s="790"/>
      <c r="ET61" s="790"/>
      <c r="EU61" s="790"/>
      <c r="EV61" s="790"/>
      <c r="EW61" s="790"/>
      <c r="EX61" s="790"/>
      <c r="EY61" s="790"/>
      <c r="EZ61" s="790"/>
      <c r="FA61" s="790"/>
      <c r="FB61" s="790"/>
      <c r="FC61" s="790"/>
      <c r="FD61" s="790"/>
      <c r="FE61" s="790"/>
      <c r="FF61" s="790"/>
      <c r="FG61" s="790"/>
      <c r="FH61" s="790"/>
      <c r="FI61" s="790"/>
      <c r="FJ61" s="790"/>
      <c r="FK61" s="790"/>
      <c r="FL61" s="790"/>
      <c r="FM61" s="790"/>
      <c r="FN61" s="790"/>
      <c r="FO61" s="790"/>
      <c r="FP61" s="790"/>
      <c r="FQ61" s="790"/>
      <c r="FR61" s="790"/>
      <c r="FS61" s="790"/>
      <c r="FT61" s="790"/>
      <c r="FU61" s="790"/>
      <c r="FV61" s="790"/>
      <c r="FW61" s="790"/>
      <c r="FX61" s="790"/>
      <c r="FY61" s="790"/>
      <c r="FZ61" s="790"/>
      <c r="GA61" s="790"/>
      <c r="GB61" s="790"/>
      <c r="GC61" s="790"/>
      <c r="GD61" s="790"/>
      <c r="GE61" s="790"/>
      <c r="GF61" s="790"/>
      <c r="GG61" s="790"/>
      <c r="GH61" s="790"/>
      <c r="GI61" s="790"/>
      <c r="GJ61" s="790"/>
      <c r="GK61" s="790"/>
      <c r="GL61" s="790"/>
      <c r="GM61" s="790"/>
      <c r="GN61" s="790"/>
      <c r="GO61" s="790"/>
      <c r="GP61" s="790"/>
      <c r="GQ61" s="790"/>
      <c r="GR61" s="790"/>
      <c r="GS61" s="790"/>
      <c r="GT61" s="790"/>
      <c r="GU61" s="790"/>
      <c r="GV61" s="790"/>
      <c r="GW61" s="790"/>
      <c r="GX61" s="790"/>
      <c r="GY61" s="790"/>
      <c r="GZ61" s="790"/>
      <c r="HA61" s="790"/>
      <c r="HB61" s="790"/>
      <c r="HC61" s="790"/>
      <c r="HD61" s="790"/>
      <c r="HE61" s="790"/>
      <c r="HF61" s="790"/>
      <c r="HG61" s="790"/>
      <c r="HH61" s="790"/>
      <c r="HI61" s="790"/>
      <c r="HJ61" s="790"/>
      <c r="HK61" s="790"/>
      <c r="HL61" s="790"/>
      <c r="HM61" s="790"/>
      <c r="HN61" s="790"/>
      <c r="HO61" s="790"/>
      <c r="HP61" s="790"/>
      <c r="HQ61" s="790"/>
      <c r="HR61" s="790"/>
      <c r="HS61" s="790"/>
      <c r="HT61" s="790"/>
      <c r="HU61" s="790"/>
      <c r="HV61" s="790"/>
      <c r="HW61" s="790"/>
      <c r="HX61" s="790"/>
      <c r="HY61" s="790"/>
      <c r="HZ61" s="790"/>
      <c r="IA61" s="790"/>
      <c r="IB61" s="790"/>
      <c r="IC61" s="790"/>
      <c r="ID61" s="790"/>
      <c r="IE61" s="790"/>
      <c r="IF61" s="790"/>
      <c r="IG61" s="790"/>
      <c r="IH61" s="790"/>
      <c r="II61" s="790"/>
      <c r="IJ61" s="790"/>
      <c r="IK61" s="790"/>
      <c r="IL61" s="790"/>
      <c r="IM61" s="790"/>
      <c r="IN61" s="790"/>
      <c r="IO61" s="790"/>
      <c r="IP61" s="790"/>
      <c r="IQ61" s="790"/>
      <c r="IR61" s="790"/>
      <c r="IS61" s="790"/>
      <c r="IT61" s="790"/>
      <c r="IU61" s="790"/>
      <c r="IV61" s="790"/>
      <c r="IW61" s="790"/>
      <c r="IX61" s="790"/>
      <c r="IY61" s="790"/>
      <c r="IZ61" s="790"/>
      <c r="JA61" s="790"/>
      <c r="JB61" s="790"/>
      <c r="JC61" s="790"/>
      <c r="JD61" s="790"/>
      <c r="JE61" s="790"/>
      <c r="JF61" s="790"/>
      <c r="JG61" s="790"/>
      <c r="JH61" s="790"/>
      <c r="JI61" s="790"/>
      <c r="JJ61" s="790"/>
      <c r="JK61" s="790"/>
      <c r="JL61" s="790"/>
      <c r="JM61" s="790"/>
      <c r="JN61" s="790"/>
      <c r="JO61" s="790"/>
      <c r="JP61" s="790"/>
      <c r="JQ61" s="790"/>
      <c r="JR61" s="790"/>
      <c r="JS61" s="790"/>
      <c r="JT61" s="790"/>
      <c r="JU61" s="790"/>
      <c r="JV61" s="790"/>
      <c r="JW61" s="790"/>
      <c r="JX61" s="790"/>
      <c r="JY61" s="790"/>
      <c r="JZ61" s="790"/>
      <c r="KA61" s="790"/>
      <c r="KB61" s="790"/>
      <c r="KC61" s="790"/>
      <c r="KD61" s="790"/>
      <c r="KE61" s="790"/>
      <c r="KF61" s="790"/>
      <c r="KG61" s="790"/>
      <c r="KH61" s="790"/>
      <c r="KI61" s="790"/>
      <c r="KJ61" s="790"/>
      <c r="KK61" s="790"/>
      <c r="KL61" s="790"/>
      <c r="KM61" s="790"/>
      <c r="KN61" s="790"/>
      <c r="KO61" s="790"/>
      <c r="KP61" s="790"/>
      <c r="KQ61" s="790"/>
      <c r="KR61" s="790"/>
      <c r="KS61" s="790"/>
      <c r="KT61" s="790"/>
      <c r="KU61" s="790"/>
      <c r="KV61" s="790"/>
      <c r="KW61" s="790"/>
      <c r="KX61" s="790"/>
      <c r="KY61" s="790"/>
      <c r="KZ61" s="790"/>
      <c r="LA61" s="790"/>
      <c r="LB61" s="790"/>
      <c r="LC61" s="790"/>
      <c r="LD61" s="790"/>
      <c r="LE61" s="790"/>
      <c r="LF61" s="790"/>
      <c r="LG61" s="790"/>
      <c r="LH61" s="790"/>
      <c r="LI61" s="790"/>
      <c r="LJ61" s="790"/>
      <c r="LK61" s="790"/>
      <c r="LL61" s="790"/>
      <c r="LM61" s="790"/>
      <c r="LN61" s="790"/>
      <c r="LO61" s="790"/>
      <c r="LP61" s="790"/>
      <c r="LQ61" s="790"/>
      <c r="LR61" s="790"/>
      <c r="LS61" s="790"/>
      <c r="LT61" s="790"/>
      <c r="LU61" s="790"/>
      <c r="LV61" s="790"/>
      <c r="LW61" s="790"/>
      <c r="LX61" s="790"/>
      <c r="LY61" s="790"/>
      <c r="LZ61" s="790"/>
      <c r="MA61" s="790"/>
      <c r="MB61" s="790"/>
      <c r="MC61" s="790"/>
      <c r="MD61" s="790"/>
      <c r="ME61" s="790"/>
      <c r="MF61" s="790"/>
      <c r="MG61" s="790"/>
      <c r="MH61" s="790"/>
      <c r="MI61" s="790"/>
      <c r="MJ61" s="790"/>
      <c r="MK61" s="790"/>
      <c r="ML61" s="790"/>
      <c r="MM61" s="790"/>
      <c r="MN61" s="790"/>
      <c r="MO61" s="790"/>
      <c r="MP61" s="790"/>
      <c r="MQ61" s="790"/>
      <c r="MR61" s="790"/>
      <c r="MS61" s="790"/>
      <c r="MT61" s="790"/>
      <c r="MU61" s="790"/>
      <c r="MV61" s="790"/>
      <c r="MW61" s="790"/>
      <c r="MX61" s="790"/>
      <c r="MY61" s="790"/>
      <c r="MZ61" s="790"/>
      <c r="NA61" s="790"/>
      <c r="NB61" s="790"/>
      <c r="NC61" s="790"/>
      <c r="ND61" s="790"/>
      <c r="NE61" s="790"/>
      <c r="NF61" s="790"/>
      <c r="NG61" s="790"/>
      <c r="NH61" s="790"/>
      <c r="NI61" s="790"/>
      <c r="NJ61" s="790"/>
      <c r="NK61" s="790"/>
      <c r="NL61" s="790"/>
      <c r="NM61" s="790"/>
      <c r="NN61" s="790"/>
      <c r="NO61" s="790"/>
      <c r="NP61" s="790"/>
      <c r="NQ61" s="790"/>
      <c r="NR61" s="790"/>
      <c r="NS61" s="790"/>
      <c r="NT61" s="790"/>
      <c r="NU61" s="790"/>
      <c r="NV61" s="790"/>
      <c r="NW61" s="790"/>
      <c r="NX61" s="790"/>
      <c r="NY61" s="790"/>
      <c r="NZ61" s="790"/>
      <c r="OA61" s="790"/>
      <c r="OB61" s="790"/>
      <c r="OC61" s="790"/>
      <c r="OD61" s="790"/>
      <c r="OE61" s="790"/>
      <c r="OF61" s="790"/>
      <c r="OG61" s="790"/>
      <c r="OH61" s="790"/>
      <c r="OI61" s="790"/>
      <c r="OJ61" s="790"/>
      <c r="OK61" s="790"/>
      <c r="OL61" s="790"/>
      <c r="OM61" s="790"/>
      <c r="ON61" s="790"/>
      <c r="OO61" s="790"/>
      <c r="OP61" s="790"/>
      <c r="OQ61" s="790"/>
      <c r="OR61" s="790"/>
      <c r="OS61" s="790"/>
      <c r="OT61" s="790"/>
      <c r="OU61" s="790"/>
      <c r="OV61" s="790"/>
      <c r="OW61" s="790"/>
      <c r="OX61" s="790"/>
      <c r="OY61" s="790"/>
      <c r="OZ61" s="790"/>
      <c r="PA61" s="790"/>
      <c r="PB61" s="790"/>
      <c r="PC61" s="790"/>
      <c r="PD61" s="790"/>
      <c r="PE61" s="790"/>
      <c r="PF61" s="790"/>
      <c r="PG61" s="790"/>
      <c r="PH61" s="790"/>
      <c r="PI61" s="790"/>
      <c r="PJ61" s="790"/>
      <c r="PK61" s="790"/>
      <c r="PL61" s="790"/>
      <c r="PM61" s="790"/>
      <c r="PN61" s="790"/>
      <c r="PO61" s="790"/>
      <c r="PP61" s="790"/>
      <c r="PQ61" s="790"/>
      <c r="PR61" s="790"/>
      <c r="PS61" s="790"/>
      <c r="PT61" s="790"/>
      <c r="PU61" s="790"/>
      <c r="PV61" s="790"/>
      <c r="PW61" s="790"/>
      <c r="PX61" s="790"/>
      <c r="PY61" s="790"/>
      <c r="PZ61" s="790"/>
      <c r="QA61" s="790"/>
      <c r="QB61" s="790"/>
      <c r="QC61" s="790"/>
      <c r="QD61" s="790"/>
      <c r="QE61" s="790"/>
      <c r="QF61" s="790"/>
      <c r="QG61" s="790"/>
      <c r="QH61" s="790"/>
      <c r="QI61" s="790"/>
      <c r="QJ61" s="790"/>
      <c r="QK61" s="790"/>
      <c r="QL61" s="790"/>
      <c r="QM61" s="790"/>
      <c r="QN61" s="790"/>
      <c r="QO61" s="790"/>
      <c r="QP61" s="790"/>
      <c r="QQ61" s="790"/>
      <c r="QR61" s="790"/>
      <c r="QS61" s="790"/>
      <c r="QT61" s="790"/>
      <c r="QU61" s="790"/>
      <c r="QV61" s="790"/>
      <c r="QW61" s="790"/>
      <c r="QX61" s="790"/>
      <c r="QY61" s="790"/>
      <c r="QZ61" s="790"/>
      <c r="RA61" s="790"/>
      <c r="RB61" s="790"/>
      <c r="RC61" s="790"/>
      <c r="RD61" s="790"/>
      <c r="RE61" s="790"/>
      <c r="RF61" s="790"/>
      <c r="RG61" s="790"/>
      <c r="RH61" s="790"/>
      <c r="RI61" s="790"/>
      <c r="RJ61" s="790"/>
      <c r="RK61" s="790"/>
      <c r="RL61" s="790"/>
      <c r="RM61" s="790"/>
      <c r="RN61" s="790"/>
      <c r="RO61" s="790"/>
      <c r="RP61" s="790"/>
      <c r="RQ61" s="790"/>
      <c r="RR61" s="790"/>
      <c r="RS61" s="790"/>
      <c r="RT61" s="790"/>
      <c r="RU61" s="790"/>
      <c r="RV61" s="790"/>
      <c r="RW61" s="790"/>
      <c r="RX61" s="790"/>
    </row>
    <row r="62" spans="1:492" s="166" customFormat="1">
      <c r="A62" s="790"/>
      <c r="B62" s="790"/>
      <c r="C62" s="790"/>
      <c r="D62" s="790"/>
      <c r="E62" s="790"/>
      <c r="F62" s="790"/>
      <c r="G62" s="790"/>
      <c r="H62" s="790"/>
      <c r="I62" s="790"/>
      <c r="J62" s="790"/>
      <c r="K62" s="790"/>
      <c r="L62" s="790"/>
      <c r="M62" s="790"/>
      <c r="N62" s="790"/>
      <c r="O62" s="790"/>
      <c r="P62" s="790"/>
      <c r="Q62" s="790"/>
      <c r="R62" s="790"/>
      <c r="S62" s="790"/>
      <c r="T62" s="790"/>
      <c r="U62" s="790"/>
      <c r="V62" s="790"/>
      <c r="W62" s="790"/>
      <c r="X62" s="790"/>
      <c r="Y62" s="790"/>
      <c r="Z62" s="790"/>
      <c r="AA62" s="790"/>
      <c r="AB62" s="790"/>
      <c r="AC62" s="790"/>
      <c r="AD62" s="790"/>
      <c r="AE62" s="790"/>
      <c r="AF62" s="790"/>
      <c r="AG62" s="790"/>
      <c r="AH62" s="790"/>
      <c r="AI62" s="790"/>
      <c r="AJ62" s="790"/>
      <c r="AK62" s="790"/>
      <c r="AL62" s="790"/>
      <c r="AM62" s="781"/>
      <c r="AN62" s="781"/>
      <c r="AO62" s="781"/>
      <c r="AP62" s="781"/>
      <c r="AQ62" s="781"/>
      <c r="AR62" s="781"/>
      <c r="AS62" s="781"/>
      <c r="AT62" s="781"/>
      <c r="AU62" s="781"/>
      <c r="AV62" s="781"/>
      <c r="AW62" s="781"/>
      <c r="AX62" s="781"/>
      <c r="AY62" s="781"/>
      <c r="AZ62" s="781"/>
      <c r="BA62" s="781"/>
      <c r="BB62" s="781"/>
      <c r="BC62" s="781"/>
      <c r="BD62" s="781"/>
      <c r="BE62" s="781"/>
      <c r="BF62" s="781"/>
      <c r="BG62" s="781"/>
      <c r="BH62" s="781"/>
      <c r="BI62" s="781"/>
      <c r="BJ62" s="781"/>
      <c r="BK62" s="781"/>
      <c r="BL62" s="781"/>
      <c r="BM62" s="781"/>
      <c r="BN62" s="781"/>
      <c r="BO62" s="781"/>
      <c r="BP62" s="781"/>
      <c r="BQ62" s="781"/>
      <c r="BR62" s="781"/>
      <c r="BS62" s="781"/>
      <c r="BT62" s="781"/>
      <c r="BU62" s="781"/>
      <c r="BV62" s="790"/>
      <c r="BW62" s="790"/>
      <c r="BX62" s="790"/>
      <c r="BY62" s="790"/>
      <c r="BZ62" s="790"/>
      <c r="CA62" s="790"/>
      <c r="CB62" s="790"/>
      <c r="CC62" s="790"/>
      <c r="CD62" s="790"/>
      <c r="CE62" s="790"/>
      <c r="CF62" s="790"/>
      <c r="CG62" s="790"/>
      <c r="CH62" s="790"/>
      <c r="CI62" s="790"/>
      <c r="CJ62" s="790"/>
      <c r="CK62" s="790"/>
      <c r="CL62" s="790"/>
      <c r="CM62" s="790"/>
      <c r="CN62" s="790"/>
      <c r="CO62" s="790"/>
      <c r="CP62" s="790"/>
      <c r="CQ62" s="790"/>
      <c r="CR62" s="790"/>
      <c r="CS62" s="790"/>
      <c r="CT62" s="790"/>
      <c r="CU62" s="790"/>
      <c r="CV62" s="790"/>
      <c r="CW62" s="790"/>
      <c r="CX62" s="790"/>
      <c r="CY62" s="790"/>
      <c r="CZ62" s="790"/>
      <c r="DA62" s="790"/>
      <c r="DB62" s="790"/>
      <c r="DC62" s="790"/>
      <c r="DD62" s="790"/>
      <c r="DE62" s="790"/>
      <c r="DF62" s="790"/>
      <c r="DG62" s="790"/>
      <c r="DH62" s="790"/>
      <c r="DI62" s="790"/>
      <c r="DJ62" s="790"/>
      <c r="DK62" s="790"/>
      <c r="DL62" s="790"/>
      <c r="DM62" s="790"/>
      <c r="DN62" s="790"/>
      <c r="DO62" s="790"/>
      <c r="DP62" s="790"/>
      <c r="DQ62" s="790"/>
      <c r="DR62" s="790"/>
      <c r="DS62" s="790"/>
      <c r="DT62" s="790"/>
      <c r="DU62" s="790"/>
      <c r="DV62" s="790"/>
      <c r="DW62" s="790"/>
      <c r="DX62" s="790"/>
      <c r="DY62" s="790"/>
      <c r="DZ62" s="790"/>
      <c r="EA62" s="790"/>
      <c r="EB62" s="790"/>
      <c r="EC62" s="790"/>
      <c r="ED62" s="790"/>
      <c r="EE62" s="790"/>
      <c r="EF62" s="790"/>
      <c r="EG62" s="790"/>
      <c r="EH62" s="790"/>
      <c r="EI62" s="790"/>
      <c r="EJ62" s="790"/>
      <c r="EK62" s="790"/>
      <c r="EL62" s="790"/>
      <c r="EM62" s="790"/>
      <c r="EN62" s="790"/>
      <c r="EO62" s="790"/>
      <c r="EP62" s="790"/>
      <c r="EQ62" s="790"/>
      <c r="ER62" s="790"/>
      <c r="ES62" s="790"/>
      <c r="ET62" s="790"/>
      <c r="EU62" s="790"/>
      <c r="EV62" s="790"/>
      <c r="EW62" s="790"/>
      <c r="EX62" s="790"/>
      <c r="EY62" s="790"/>
      <c r="EZ62" s="790"/>
      <c r="FA62" s="790"/>
      <c r="FB62" s="790"/>
      <c r="FC62" s="790"/>
      <c r="FD62" s="790"/>
      <c r="FE62" s="790"/>
      <c r="FF62" s="790"/>
      <c r="FG62" s="790"/>
      <c r="FH62" s="790"/>
      <c r="FI62" s="790"/>
      <c r="FJ62" s="790"/>
      <c r="FK62" s="790"/>
      <c r="FL62" s="790"/>
      <c r="FM62" s="790"/>
      <c r="FN62" s="790"/>
      <c r="FO62" s="790"/>
      <c r="FP62" s="790"/>
      <c r="FQ62" s="790"/>
      <c r="FR62" s="790"/>
      <c r="FS62" s="790"/>
      <c r="FT62" s="790"/>
      <c r="FU62" s="790"/>
      <c r="FV62" s="790"/>
      <c r="FW62" s="790"/>
      <c r="FX62" s="790"/>
      <c r="FY62" s="790"/>
      <c r="FZ62" s="790"/>
      <c r="GA62" s="790"/>
      <c r="GB62" s="790"/>
      <c r="GC62" s="790"/>
      <c r="GD62" s="790"/>
      <c r="GE62" s="790"/>
      <c r="GF62" s="790"/>
      <c r="GG62" s="790"/>
      <c r="GH62" s="790"/>
      <c r="GI62" s="790"/>
      <c r="GJ62" s="790"/>
      <c r="GK62" s="790"/>
      <c r="GL62" s="790"/>
      <c r="GM62" s="790"/>
      <c r="GN62" s="790"/>
      <c r="GO62" s="790"/>
      <c r="GP62" s="790"/>
      <c r="GQ62" s="790"/>
      <c r="GR62" s="790"/>
      <c r="GS62" s="790"/>
      <c r="GT62" s="790"/>
      <c r="GU62" s="790"/>
      <c r="GV62" s="790"/>
      <c r="GW62" s="790"/>
      <c r="GX62" s="790"/>
      <c r="GY62" s="790"/>
      <c r="GZ62" s="790"/>
      <c r="HA62" s="790"/>
      <c r="HB62" s="790"/>
      <c r="HC62" s="790"/>
      <c r="HD62" s="790"/>
      <c r="HE62" s="790"/>
      <c r="HF62" s="790"/>
      <c r="HG62" s="790"/>
      <c r="HH62" s="790"/>
      <c r="HI62" s="790"/>
      <c r="HJ62" s="790"/>
      <c r="HK62" s="790"/>
      <c r="HL62" s="790"/>
      <c r="HM62" s="790"/>
      <c r="HN62" s="790"/>
      <c r="HO62" s="790"/>
      <c r="HP62" s="790"/>
      <c r="HQ62" s="790"/>
      <c r="HR62" s="790"/>
      <c r="HS62" s="790"/>
      <c r="HT62" s="790"/>
      <c r="HU62" s="790"/>
      <c r="HV62" s="790"/>
      <c r="HW62" s="790"/>
      <c r="HX62" s="790"/>
      <c r="HY62" s="790"/>
      <c r="HZ62" s="790"/>
      <c r="IA62" s="790"/>
      <c r="IB62" s="790"/>
      <c r="IC62" s="790"/>
      <c r="ID62" s="790"/>
      <c r="IE62" s="790"/>
      <c r="IF62" s="790"/>
      <c r="IG62" s="790"/>
      <c r="IH62" s="790"/>
      <c r="II62" s="790"/>
      <c r="IJ62" s="790"/>
      <c r="IK62" s="790"/>
      <c r="IL62" s="790"/>
      <c r="IM62" s="790"/>
      <c r="IN62" s="790"/>
      <c r="IO62" s="790"/>
      <c r="IP62" s="790"/>
      <c r="IQ62" s="790"/>
      <c r="IR62" s="790"/>
      <c r="IS62" s="790"/>
      <c r="IT62" s="790"/>
      <c r="IU62" s="790"/>
      <c r="IV62" s="790"/>
      <c r="IW62" s="790"/>
      <c r="IX62" s="790"/>
      <c r="IY62" s="790"/>
      <c r="IZ62" s="790"/>
      <c r="JA62" s="790"/>
      <c r="JB62" s="790"/>
      <c r="JC62" s="790"/>
      <c r="JD62" s="790"/>
      <c r="JE62" s="790"/>
      <c r="JF62" s="790"/>
      <c r="JG62" s="790"/>
      <c r="JH62" s="790"/>
      <c r="JI62" s="790"/>
      <c r="JJ62" s="790"/>
      <c r="JK62" s="790"/>
      <c r="JL62" s="790"/>
      <c r="JM62" s="790"/>
      <c r="JN62" s="790"/>
      <c r="JO62" s="790"/>
      <c r="JP62" s="790"/>
      <c r="JQ62" s="790"/>
      <c r="JR62" s="790"/>
      <c r="JS62" s="790"/>
      <c r="JT62" s="790"/>
      <c r="JU62" s="790"/>
      <c r="JV62" s="790"/>
      <c r="JW62" s="790"/>
      <c r="JX62" s="790"/>
      <c r="JY62" s="790"/>
      <c r="JZ62" s="790"/>
      <c r="KA62" s="790"/>
      <c r="KB62" s="790"/>
      <c r="KC62" s="790"/>
      <c r="KD62" s="790"/>
      <c r="KE62" s="790"/>
      <c r="KF62" s="790"/>
      <c r="KG62" s="790"/>
      <c r="KH62" s="790"/>
      <c r="KI62" s="790"/>
      <c r="KJ62" s="790"/>
      <c r="KK62" s="790"/>
      <c r="KL62" s="790"/>
      <c r="KM62" s="790"/>
      <c r="KN62" s="790"/>
      <c r="KO62" s="790"/>
      <c r="KP62" s="790"/>
      <c r="KQ62" s="790"/>
      <c r="KR62" s="790"/>
      <c r="KS62" s="790"/>
      <c r="KT62" s="790"/>
      <c r="KU62" s="790"/>
      <c r="KV62" s="790"/>
      <c r="KW62" s="790"/>
      <c r="KX62" s="790"/>
      <c r="KY62" s="790"/>
      <c r="KZ62" s="790"/>
      <c r="LA62" s="790"/>
      <c r="LB62" s="790"/>
      <c r="LC62" s="790"/>
      <c r="LD62" s="790"/>
      <c r="LE62" s="790"/>
      <c r="LF62" s="790"/>
      <c r="LG62" s="790"/>
      <c r="LH62" s="790"/>
      <c r="LI62" s="790"/>
      <c r="LJ62" s="790"/>
      <c r="LK62" s="790"/>
      <c r="LL62" s="790"/>
      <c r="LM62" s="790"/>
      <c r="LN62" s="790"/>
      <c r="LO62" s="790"/>
      <c r="LP62" s="790"/>
      <c r="LQ62" s="790"/>
      <c r="LR62" s="790"/>
      <c r="LS62" s="790"/>
      <c r="LT62" s="790"/>
      <c r="LU62" s="790"/>
      <c r="LV62" s="790"/>
      <c r="LW62" s="790"/>
      <c r="LX62" s="790"/>
      <c r="LY62" s="790"/>
      <c r="LZ62" s="790"/>
      <c r="MA62" s="790"/>
      <c r="MB62" s="790"/>
      <c r="MC62" s="790"/>
      <c r="MD62" s="790"/>
      <c r="ME62" s="790"/>
      <c r="MF62" s="790"/>
      <c r="MG62" s="790"/>
      <c r="MH62" s="790"/>
      <c r="MI62" s="790"/>
      <c r="MJ62" s="790"/>
      <c r="MK62" s="790"/>
      <c r="ML62" s="790"/>
      <c r="MM62" s="790"/>
      <c r="MN62" s="790"/>
      <c r="MO62" s="790"/>
      <c r="MP62" s="790"/>
      <c r="MQ62" s="790"/>
      <c r="MR62" s="790"/>
      <c r="MS62" s="790"/>
      <c r="MT62" s="790"/>
      <c r="MU62" s="790"/>
      <c r="MV62" s="790"/>
      <c r="MW62" s="790"/>
      <c r="MX62" s="790"/>
      <c r="MY62" s="790"/>
      <c r="MZ62" s="790"/>
      <c r="NA62" s="790"/>
      <c r="NB62" s="790"/>
      <c r="NC62" s="790"/>
      <c r="ND62" s="790"/>
      <c r="NE62" s="790"/>
      <c r="NF62" s="790"/>
      <c r="NG62" s="790"/>
      <c r="NH62" s="790"/>
      <c r="NI62" s="790"/>
      <c r="NJ62" s="790"/>
      <c r="NK62" s="790"/>
      <c r="NL62" s="790"/>
      <c r="NM62" s="790"/>
      <c r="NN62" s="790"/>
      <c r="NO62" s="790"/>
      <c r="NP62" s="790"/>
      <c r="NQ62" s="790"/>
      <c r="NR62" s="790"/>
      <c r="NS62" s="790"/>
      <c r="NT62" s="790"/>
      <c r="NU62" s="790"/>
      <c r="NV62" s="790"/>
      <c r="NW62" s="790"/>
      <c r="NX62" s="790"/>
      <c r="NY62" s="790"/>
      <c r="NZ62" s="790"/>
      <c r="OA62" s="790"/>
      <c r="OB62" s="790"/>
      <c r="OC62" s="790"/>
      <c r="OD62" s="790"/>
      <c r="OE62" s="790"/>
      <c r="OF62" s="790"/>
      <c r="OG62" s="790"/>
      <c r="OH62" s="790"/>
      <c r="OI62" s="790"/>
      <c r="OJ62" s="790"/>
      <c r="OK62" s="790"/>
      <c r="OL62" s="790"/>
      <c r="OM62" s="790"/>
      <c r="ON62" s="790"/>
      <c r="OO62" s="790"/>
      <c r="OP62" s="790"/>
      <c r="OQ62" s="790"/>
      <c r="OR62" s="790"/>
      <c r="OS62" s="790"/>
      <c r="OT62" s="790"/>
      <c r="OU62" s="790"/>
      <c r="OV62" s="790"/>
      <c r="OW62" s="790"/>
      <c r="OX62" s="790"/>
      <c r="OY62" s="790"/>
      <c r="OZ62" s="790"/>
      <c r="PA62" s="790"/>
      <c r="PB62" s="790"/>
      <c r="PC62" s="790"/>
      <c r="PD62" s="790"/>
      <c r="PE62" s="790"/>
      <c r="PF62" s="790"/>
      <c r="PG62" s="790"/>
      <c r="PH62" s="790"/>
      <c r="PI62" s="790"/>
      <c r="PJ62" s="790"/>
      <c r="PK62" s="790"/>
      <c r="PL62" s="790"/>
      <c r="PM62" s="790"/>
      <c r="PN62" s="790"/>
      <c r="PO62" s="790"/>
      <c r="PP62" s="790"/>
      <c r="PQ62" s="790"/>
      <c r="PR62" s="790"/>
      <c r="PS62" s="790"/>
      <c r="PT62" s="790"/>
      <c r="PU62" s="790"/>
      <c r="PV62" s="790"/>
      <c r="PW62" s="790"/>
      <c r="PX62" s="790"/>
      <c r="PY62" s="790"/>
      <c r="PZ62" s="790"/>
      <c r="QA62" s="790"/>
      <c r="QB62" s="790"/>
      <c r="QC62" s="790"/>
      <c r="QD62" s="790"/>
      <c r="QE62" s="790"/>
      <c r="QF62" s="790"/>
      <c r="QG62" s="790"/>
      <c r="QH62" s="790"/>
      <c r="QI62" s="790"/>
      <c r="QJ62" s="790"/>
      <c r="QK62" s="790"/>
      <c r="QL62" s="790"/>
      <c r="QM62" s="790"/>
      <c r="QN62" s="790"/>
      <c r="QO62" s="790"/>
      <c r="QP62" s="790"/>
      <c r="QQ62" s="790"/>
      <c r="QR62" s="790"/>
      <c r="QS62" s="790"/>
      <c r="QT62" s="790"/>
      <c r="QU62" s="790"/>
      <c r="QV62" s="790"/>
      <c r="QW62" s="790"/>
      <c r="QX62" s="790"/>
      <c r="QY62" s="790"/>
      <c r="QZ62" s="790"/>
      <c r="RA62" s="790"/>
      <c r="RB62" s="790"/>
      <c r="RC62" s="790"/>
      <c r="RD62" s="790"/>
      <c r="RE62" s="790"/>
      <c r="RF62" s="790"/>
      <c r="RG62" s="790"/>
      <c r="RH62" s="790"/>
      <c r="RI62" s="790"/>
      <c r="RJ62" s="790"/>
      <c r="RK62" s="790"/>
      <c r="RL62" s="790"/>
      <c r="RM62" s="790"/>
      <c r="RN62" s="790"/>
      <c r="RO62" s="790"/>
      <c r="RP62" s="790"/>
      <c r="RQ62" s="790"/>
      <c r="RR62" s="790"/>
      <c r="RS62" s="790"/>
      <c r="RT62" s="790"/>
      <c r="RU62" s="790"/>
      <c r="RV62" s="790"/>
      <c r="RW62" s="790"/>
      <c r="RX62" s="790"/>
    </row>
    <row r="63" spans="1:492" s="166" customFormat="1">
      <c r="A63" s="790"/>
      <c r="B63" s="790"/>
      <c r="C63" s="790"/>
      <c r="D63" s="790"/>
      <c r="E63" s="790"/>
      <c r="F63" s="790"/>
      <c r="G63" s="790"/>
      <c r="H63" s="790"/>
      <c r="I63" s="790"/>
      <c r="J63" s="790"/>
      <c r="K63" s="790"/>
      <c r="L63" s="790"/>
      <c r="M63" s="790"/>
      <c r="N63" s="790"/>
      <c r="O63" s="790"/>
      <c r="P63" s="790"/>
      <c r="Q63" s="790"/>
      <c r="R63" s="790"/>
      <c r="S63" s="790"/>
      <c r="T63" s="790"/>
      <c r="U63" s="790"/>
      <c r="V63" s="790"/>
      <c r="W63" s="790"/>
      <c r="X63" s="790"/>
      <c r="Y63" s="790"/>
      <c r="Z63" s="790"/>
      <c r="AA63" s="790"/>
      <c r="AB63" s="790"/>
      <c r="AC63" s="790"/>
      <c r="AD63" s="790"/>
      <c r="AE63" s="790"/>
      <c r="AF63" s="790"/>
      <c r="AG63" s="790"/>
      <c r="AH63" s="790"/>
      <c r="AI63" s="790"/>
      <c r="AJ63" s="790"/>
      <c r="AK63" s="790"/>
      <c r="AL63" s="790"/>
      <c r="AM63" s="781"/>
      <c r="AN63" s="781"/>
      <c r="AO63" s="781"/>
      <c r="AP63" s="781"/>
      <c r="AQ63" s="781"/>
      <c r="AR63" s="781"/>
      <c r="AS63" s="781"/>
      <c r="AT63" s="781"/>
      <c r="AU63" s="781"/>
      <c r="AV63" s="781"/>
      <c r="AW63" s="781"/>
      <c r="AX63" s="781"/>
      <c r="AY63" s="781"/>
      <c r="AZ63" s="781"/>
      <c r="BA63" s="781"/>
      <c r="BB63" s="781"/>
      <c r="BC63" s="781"/>
      <c r="BD63" s="781"/>
      <c r="BE63" s="781"/>
      <c r="BF63" s="781"/>
      <c r="BG63" s="781"/>
      <c r="BH63" s="781"/>
      <c r="BI63" s="781"/>
      <c r="BJ63" s="781"/>
      <c r="BK63" s="781"/>
      <c r="BL63" s="781"/>
      <c r="BM63" s="781"/>
      <c r="BN63" s="781"/>
      <c r="BO63" s="781"/>
      <c r="BP63" s="781"/>
      <c r="BQ63" s="781"/>
      <c r="BR63" s="781"/>
      <c r="BS63" s="781"/>
      <c r="BT63" s="781"/>
      <c r="BU63" s="781"/>
      <c r="BV63" s="790"/>
      <c r="BW63" s="790"/>
      <c r="BX63" s="790"/>
      <c r="BY63" s="790"/>
      <c r="BZ63" s="790"/>
      <c r="CA63" s="790"/>
      <c r="CB63" s="790"/>
      <c r="CC63" s="790"/>
      <c r="CD63" s="790"/>
      <c r="CE63" s="790"/>
      <c r="CF63" s="790"/>
      <c r="CG63" s="790"/>
      <c r="CH63" s="790"/>
      <c r="CI63" s="790"/>
      <c r="CJ63" s="790"/>
      <c r="CK63" s="790"/>
      <c r="CL63" s="790"/>
      <c r="CM63" s="790"/>
      <c r="CN63" s="790"/>
      <c r="CO63" s="790"/>
      <c r="CP63" s="790"/>
      <c r="CQ63" s="790"/>
      <c r="CR63" s="790"/>
      <c r="CS63" s="790"/>
      <c r="CT63" s="790"/>
      <c r="CU63" s="790"/>
      <c r="CV63" s="790"/>
      <c r="CW63" s="790"/>
      <c r="CX63" s="790"/>
      <c r="CY63" s="790"/>
      <c r="CZ63" s="790"/>
      <c r="DA63" s="790"/>
      <c r="DB63" s="790"/>
      <c r="DC63" s="790"/>
      <c r="DD63" s="790"/>
      <c r="DE63" s="790"/>
      <c r="DF63" s="790"/>
      <c r="DG63" s="790"/>
      <c r="DH63" s="790"/>
      <c r="DI63" s="790"/>
      <c r="DJ63" s="790"/>
      <c r="DK63" s="790"/>
      <c r="DL63" s="790"/>
      <c r="DM63" s="790"/>
      <c r="DN63" s="790"/>
      <c r="DO63" s="790"/>
      <c r="DP63" s="790"/>
      <c r="DQ63" s="790"/>
      <c r="DR63" s="790"/>
      <c r="DS63" s="790"/>
      <c r="DT63" s="790"/>
      <c r="DU63" s="790"/>
      <c r="DV63" s="790"/>
      <c r="DW63" s="790"/>
      <c r="DX63" s="790"/>
      <c r="DY63" s="790"/>
      <c r="DZ63" s="790"/>
      <c r="EA63" s="790"/>
      <c r="EB63" s="790"/>
      <c r="EC63" s="790"/>
      <c r="ED63" s="790"/>
      <c r="EE63" s="790"/>
      <c r="EF63" s="790"/>
      <c r="EG63" s="790"/>
      <c r="EH63" s="790"/>
      <c r="EI63" s="790"/>
      <c r="EJ63" s="790"/>
      <c r="EK63" s="790"/>
      <c r="EL63" s="790"/>
      <c r="EM63" s="790"/>
      <c r="EN63" s="790"/>
      <c r="EO63" s="790"/>
      <c r="EP63" s="790"/>
      <c r="EQ63" s="790"/>
      <c r="ER63" s="790"/>
      <c r="ES63" s="790"/>
      <c r="ET63" s="790"/>
      <c r="EU63" s="790"/>
      <c r="EV63" s="790"/>
      <c r="EW63" s="790"/>
      <c r="EX63" s="790"/>
      <c r="EY63" s="790"/>
      <c r="EZ63" s="790"/>
      <c r="FA63" s="790"/>
      <c r="FB63" s="790"/>
      <c r="FC63" s="790"/>
      <c r="FD63" s="790"/>
      <c r="FE63" s="790"/>
      <c r="FF63" s="790"/>
      <c r="FG63" s="790"/>
      <c r="FH63" s="790"/>
      <c r="FI63" s="790"/>
      <c r="FJ63" s="790"/>
      <c r="FK63" s="790"/>
      <c r="FL63" s="790"/>
      <c r="FM63" s="790"/>
      <c r="FN63" s="790"/>
      <c r="FO63" s="790"/>
      <c r="FP63" s="790"/>
      <c r="FQ63" s="790"/>
      <c r="FR63" s="790"/>
      <c r="FS63" s="790"/>
      <c r="FT63" s="790"/>
      <c r="FU63" s="790"/>
      <c r="FV63" s="790"/>
      <c r="FW63" s="790"/>
      <c r="FX63" s="790"/>
      <c r="FY63" s="790"/>
      <c r="FZ63" s="790"/>
      <c r="GA63" s="790"/>
      <c r="GB63" s="790"/>
      <c r="GC63" s="790"/>
      <c r="GD63" s="790"/>
      <c r="GE63" s="790"/>
      <c r="GF63" s="790"/>
      <c r="GG63" s="790"/>
      <c r="GH63" s="790"/>
      <c r="GI63" s="790"/>
      <c r="GJ63" s="790"/>
      <c r="GK63" s="790"/>
      <c r="GL63" s="790"/>
      <c r="GM63" s="790"/>
      <c r="GN63" s="790"/>
      <c r="GO63" s="790"/>
      <c r="GP63" s="790"/>
      <c r="GQ63" s="790"/>
      <c r="GR63" s="790"/>
      <c r="GS63" s="790"/>
      <c r="GT63" s="790"/>
      <c r="GU63" s="790"/>
      <c r="GV63" s="790"/>
      <c r="GW63" s="790"/>
      <c r="GX63" s="790"/>
      <c r="GY63" s="790"/>
      <c r="GZ63" s="790"/>
      <c r="HA63" s="790"/>
      <c r="HB63" s="790"/>
      <c r="HC63" s="790"/>
      <c r="HD63" s="790"/>
      <c r="HE63" s="790"/>
      <c r="HF63" s="790"/>
      <c r="HG63" s="790"/>
      <c r="HH63" s="790"/>
      <c r="HI63" s="790"/>
      <c r="HJ63" s="790"/>
      <c r="HK63" s="790"/>
      <c r="HL63" s="790"/>
      <c r="HM63" s="790"/>
      <c r="HN63" s="790"/>
      <c r="HO63" s="790"/>
      <c r="HP63" s="790"/>
      <c r="HQ63" s="790"/>
      <c r="HR63" s="790"/>
      <c r="HS63" s="790"/>
      <c r="HT63" s="790"/>
      <c r="HU63" s="790"/>
      <c r="HV63" s="790"/>
      <c r="HW63" s="790"/>
      <c r="HX63" s="790"/>
      <c r="HY63" s="790"/>
      <c r="HZ63" s="790"/>
      <c r="IA63" s="790"/>
      <c r="IB63" s="790"/>
      <c r="IC63" s="790"/>
      <c r="ID63" s="790"/>
      <c r="IE63" s="790"/>
      <c r="IF63" s="790"/>
      <c r="IG63" s="790"/>
      <c r="IH63" s="790"/>
      <c r="II63" s="790"/>
      <c r="IJ63" s="790"/>
      <c r="IK63" s="790"/>
      <c r="IL63" s="790"/>
      <c r="IM63" s="790"/>
      <c r="IN63" s="790"/>
      <c r="IO63" s="790"/>
      <c r="IP63" s="790"/>
      <c r="IQ63" s="790"/>
      <c r="IR63" s="790"/>
      <c r="IS63" s="790"/>
      <c r="IT63" s="790"/>
      <c r="IU63" s="790"/>
      <c r="IV63" s="790"/>
      <c r="IW63" s="790"/>
      <c r="IX63" s="790"/>
      <c r="IY63" s="790"/>
      <c r="IZ63" s="790"/>
      <c r="JA63" s="790"/>
      <c r="JB63" s="790"/>
      <c r="JC63" s="790"/>
      <c r="JD63" s="790"/>
      <c r="JE63" s="790"/>
      <c r="JF63" s="790"/>
      <c r="JG63" s="790"/>
      <c r="JH63" s="790"/>
      <c r="JI63" s="790"/>
      <c r="JJ63" s="790"/>
      <c r="JK63" s="790"/>
      <c r="JL63" s="790"/>
      <c r="JM63" s="790"/>
      <c r="JN63" s="790"/>
      <c r="JO63" s="790"/>
      <c r="JP63" s="790"/>
      <c r="JQ63" s="790"/>
      <c r="JR63" s="790"/>
      <c r="JS63" s="790"/>
      <c r="JT63" s="790"/>
      <c r="JU63" s="790"/>
      <c r="JV63" s="790"/>
      <c r="JW63" s="790"/>
      <c r="JX63" s="790"/>
      <c r="JY63" s="790"/>
      <c r="JZ63" s="790"/>
      <c r="KA63" s="790"/>
      <c r="KB63" s="790"/>
      <c r="KC63" s="790"/>
      <c r="KD63" s="790"/>
      <c r="KE63" s="790"/>
      <c r="KF63" s="790"/>
      <c r="KG63" s="790"/>
      <c r="KH63" s="790"/>
      <c r="KI63" s="790"/>
      <c r="KJ63" s="790"/>
      <c r="KK63" s="790"/>
      <c r="KL63" s="790"/>
      <c r="KM63" s="790"/>
      <c r="KN63" s="790"/>
      <c r="KO63" s="790"/>
      <c r="KP63" s="790"/>
      <c r="KQ63" s="790"/>
      <c r="KR63" s="790"/>
      <c r="KS63" s="790"/>
      <c r="KT63" s="790"/>
      <c r="KU63" s="790"/>
      <c r="KV63" s="790"/>
      <c r="KW63" s="790"/>
      <c r="KX63" s="790"/>
      <c r="KY63" s="790"/>
      <c r="KZ63" s="790"/>
      <c r="LA63" s="790"/>
      <c r="LB63" s="790"/>
      <c r="LC63" s="790"/>
      <c r="LD63" s="790"/>
      <c r="LE63" s="790"/>
      <c r="LF63" s="790"/>
      <c r="LG63" s="790"/>
      <c r="LH63" s="790"/>
      <c r="LI63" s="790"/>
      <c r="LJ63" s="790"/>
      <c r="LK63" s="790"/>
      <c r="LL63" s="790"/>
      <c r="LM63" s="790"/>
      <c r="LN63" s="790"/>
      <c r="LO63" s="790"/>
      <c r="LP63" s="790"/>
      <c r="LQ63" s="790"/>
      <c r="LR63" s="790"/>
      <c r="LS63" s="790"/>
      <c r="LT63" s="790"/>
      <c r="LU63" s="790"/>
      <c r="LV63" s="790"/>
      <c r="LW63" s="790"/>
      <c r="LX63" s="790"/>
      <c r="LY63" s="790"/>
      <c r="LZ63" s="790"/>
      <c r="MA63" s="790"/>
      <c r="MB63" s="790"/>
      <c r="MC63" s="790"/>
      <c r="MD63" s="790"/>
      <c r="ME63" s="790"/>
      <c r="MF63" s="790"/>
      <c r="MG63" s="790"/>
      <c r="MH63" s="790"/>
      <c r="MI63" s="790"/>
      <c r="MJ63" s="790"/>
      <c r="MK63" s="790"/>
      <c r="ML63" s="790"/>
      <c r="MM63" s="790"/>
      <c r="MN63" s="790"/>
      <c r="MO63" s="790"/>
      <c r="MP63" s="790"/>
      <c r="MQ63" s="790"/>
      <c r="MR63" s="790"/>
      <c r="MS63" s="790"/>
      <c r="MT63" s="790"/>
      <c r="MU63" s="790"/>
      <c r="MV63" s="790"/>
      <c r="MW63" s="790"/>
      <c r="MX63" s="790"/>
      <c r="MY63" s="790"/>
      <c r="MZ63" s="790"/>
      <c r="NA63" s="790"/>
      <c r="NB63" s="790"/>
      <c r="NC63" s="790"/>
      <c r="ND63" s="790"/>
      <c r="NE63" s="790"/>
      <c r="NF63" s="790"/>
      <c r="NG63" s="790"/>
      <c r="NH63" s="790"/>
      <c r="NI63" s="790"/>
      <c r="NJ63" s="790"/>
      <c r="NK63" s="790"/>
      <c r="NL63" s="790"/>
      <c r="NM63" s="790"/>
      <c r="NN63" s="790"/>
      <c r="NO63" s="790"/>
      <c r="NP63" s="790"/>
      <c r="NQ63" s="790"/>
      <c r="NR63" s="790"/>
      <c r="NS63" s="790"/>
      <c r="NT63" s="790"/>
      <c r="NU63" s="790"/>
      <c r="NV63" s="790"/>
      <c r="NW63" s="790"/>
      <c r="NX63" s="790"/>
      <c r="NY63" s="790"/>
      <c r="NZ63" s="790"/>
      <c r="OA63" s="790"/>
      <c r="OB63" s="790"/>
      <c r="OC63" s="790"/>
      <c r="OD63" s="790"/>
      <c r="OE63" s="790"/>
      <c r="OF63" s="790"/>
      <c r="OG63" s="790"/>
      <c r="OH63" s="790"/>
      <c r="OI63" s="790"/>
      <c r="OJ63" s="790"/>
      <c r="OK63" s="790"/>
      <c r="OL63" s="790"/>
      <c r="OM63" s="790"/>
      <c r="ON63" s="790"/>
      <c r="OO63" s="790"/>
      <c r="OP63" s="790"/>
      <c r="OQ63" s="790"/>
      <c r="OR63" s="790"/>
      <c r="OS63" s="790"/>
      <c r="OT63" s="790"/>
      <c r="OU63" s="790"/>
      <c r="OV63" s="790"/>
      <c r="OW63" s="790"/>
      <c r="OX63" s="790"/>
      <c r="OY63" s="790"/>
      <c r="OZ63" s="790"/>
      <c r="PA63" s="790"/>
      <c r="PB63" s="790"/>
      <c r="PC63" s="790"/>
      <c r="PD63" s="790"/>
      <c r="PE63" s="790"/>
      <c r="PF63" s="790"/>
      <c r="PG63" s="790"/>
      <c r="PH63" s="790"/>
      <c r="PI63" s="790"/>
      <c r="PJ63" s="790"/>
      <c r="PK63" s="790"/>
      <c r="PL63" s="790"/>
      <c r="PM63" s="790"/>
      <c r="PN63" s="790"/>
      <c r="PO63" s="790"/>
      <c r="PP63" s="790"/>
      <c r="PQ63" s="790"/>
      <c r="PR63" s="790"/>
      <c r="PS63" s="790"/>
      <c r="PT63" s="790"/>
      <c r="PU63" s="790"/>
      <c r="PV63" s="790"/>
      <c r="PW63" s="790"/>
      <c r="PX63" s="790"/>
      <c r="PY63" s="790"/>
      <c r="PZ63" s="790"/>
      <c r="QA63" s="790"/>
      <c r="QB63" s="790"/>
      <c r="QC63" s="790"/>
      <c r="QD63" s="790"/>
      <c r="QE63" s="790"/>
      <c r="QF63" s="790"/>
      <c r="QG63" s="790"/>
      <c r="QH63" s="790"/>
      <c r="QI63" s="790"/>
      <c r="QJ63" s="790"/>
      <c r="QK63" s="790"/>
      <c r="QL63" s="790"/>
      <c r="QM63" s="790"/>
      <c r="QN63" s="790"/>
      <c r="QO63" s="790"/>
      <c r="QP63" s="790"/>
      <c r="QQ63" s="790"/>
      <c r="QR63" s="790"/>
      <c r="QS63" s="790"/>
      <c r="QT63" s="790"/>
      <c r="QU63" s="790"/>
      <c r="QV63" s="790"/>
      <c r="QW63" s="790"/>
      <c r="QX63" s="790"/>
      <c r="QY63" s="790"/>
      <c r="QZ63" s="790"/>
      <c r="RA63" s="790"/>
      <c r="RB63" s="790"/>
      <c r="RC63" s="790"/>
      <c r="RD63" s="790"/>
      <c r="RE63" s="790"/>
      <c r="RF63" s="790"/>
      <c r="RG63" s="790"/>
      <c r="RH63" s="790"/>
      <c r="RI63" s="790"/>
      <c r="RJ63" s="790"/>
      <c r="RK63" s="790"/>
      <c r="RL63" s="790"/>
      <c r="RM63" s="790"/>
      <c r="RN63" s="790"/>
      <c r="RO63" s="790"/>
      <c r="RP63" s="790"/>
      <c r="RQ63" s="790"/>
      <c r="RR63" s="790"/>
      <c r="RS63" s="790"/>
      <c r="RT63" s="790"/>
      <c r="RU63" s="790"/>
      <c r="RV63" s="790"/>
      <c r="RW63" s="790"/>
      <c r="RX63" s="790"/>
    </row>
    <row r="64" spans="1:492" s="166" customFormat="1">
      <c r="A64" s="790"/>
      <c r="B64" s="790"/>
      <c r="C64" s="790"/>
      <c r="D64" s="790"/>
      <c r="E64" s="790"/>
      <c r="F64" s="790"/>
      <c r="G64" s="790"/>
      <c r="H64" s="790"/>
      <c r="I64" s="790"/>
      <c r="J64" s="790"/>
      <c r="K64" s="790"/>
      <c r="L64" s="790"/>
      <c r="M64" s="790"/>
      <c r="N64" s="790"/>
      <c r="O64" s="790"/>
      <c r="P64" s="790"/>
      <c r="Q64" s="790"/>
      <c r="R64" s="790"/>
      <c r="S64" s="790"/>
      <c r="T64" s="790"/>
      <c r="U64" s="790"/>
      <c r="V64" s="790"/>
      <c r="W64" s="790"/>
      <c r="X64" s="790"/>
      <c r="Y64" s="790"/>
      <c r="Z64" s="790"/>
      <c r="AA64" s="790"/>
      <c r="AB64" s="790"/>
      <c r="AC64" s="790"/>
      <c r="AD64" s="790"/>
      <c r="AE64" s="790"/>
      <c r="AF64" s="790"/>
      <c r="AG64" s="790"/>
      <c r="AH64" s="790"/>
      <c r="AI64" s="790"/>
      <c r="AJ64" s="790"/>
      <c r="AK64" s="790"/>
      <c r="AL64" s="790"/>
      <c r="AM64" s="781"/>
      <c r="AN64" s="781"/>
      <c r="AO64" s="781"/>
      <c r="AP64" s="781"/>
      <c r="AQ64" s="781"/>
      <c r="AR64" s="781"/>
      <c r="AS64" s="781"/>
      <c r="AT64" s="781"/>
      <c r="AU64" s="781"/>
      <c r="AV64" s="781"/>
      <c r="AW64" s="781"/>
      <c r="AX64" s="781"/>
      <c r="AY64" s="781"/>
      <c r="AZ64" s="781"/>
      <c r="BA64" s="781"/>
      <c r="BB64" s="781"/>
      <c r="BC64" s="781"/>
      <c r="BD64" s="781"/>
      <c r="BE64" s="781"/>
      <c r="BF64" s="781"/>
      <c r="BG64" s="781"/>
      <c r="BH64" s="781"/>
      <c r="BI64" s="781"/>
      <c r="BJ64" s="781"/>
      <c r="BK64" s="781"/>
      <c r="BL64" s="781"/>
      <c r="BM64" s="781"/>
      <c r="BN64" s="781"/>
      <c r="BO64" s="781"/>
      <c r="BP64" s="781"/>
      <c r="BQ64" s="781"/>
      <c r="BR64" s="781"/>
      <c r="BS64" s="781"/>
      <c r="BT64" s="781"/>
      <c r="BU64" s="781"/>
      <c r="BV64" s="790"/>
      <c r="BW64" s="790"/>
      <c r="BX64" s="790"/>
      <c r="BY64" s="790"/>
      <c r="BZ64" s="790"/>
      <c r="CA64" s="790"/>
      <c r="CB64" s="790"/>
      <c r="CC64" s="790"/>
      <c r="CD64" s="790"/>
      <c r="CE64" s="790"/>
      <c r="CF64" s="790"/>
      <c r="CG64" s="790"/>
      <c r="CH64" s="790"/>
      <c r="CI64" s="790"/>
      <c r="CJ64" s="790"/>
      <c r="CK64" s="790"/>
      <c r="CL64" s="790"/>
      <c r="CM64" s="790"/>
      <c r="CN64" s="790"/>
      <c r="CO64" s="790"/>
      <c r="CP64" s="790"/>
      <c r="CQ64" s="790"/>
      <c r="CR64" s="790"/>
      <c r="CS64" s="790"/>
      <c r="CT64" s="790"/>
      <c r="CU64" s="790"/>
      <c r="CV64" s="790"/>
      <c r="CW64" s="790"/>
      <c r="CX64" s="790"/>
      <c r="CY64" s="790"/>
      <c r="CZ64" s="790"/>
      <c r="DA64" s="790"/>
      <c r="DB64" s="790"/>
      <c r="DC64" s="790"/>
      <c r="DD64" s="790"/>
      <c r="DE64" s="790"/>
      <c r="DF64" s="790"/>
      <c r="DG64" s="790"/>
      <c r="DH64" s="790"/>
      <c r="DI64" s="790"/>
      <c r="DJ64" s="790"/>
      <c r="DK64" s="790"/>
      <c r="DL64" s="790"/>
      <c r="DM64" s="790"/>
      <c r="DN64" s="790"/>
      <c r="DO64" s="790"/>
      <c r="DP64" s="790"/>
      <c r="DQ64" s="790"/>
      <c r="DR64" s="790"/>
      <c r="DS64" s="790"/>
      <c r="DT64" s="790"/>
      <c r="DU64" s="790"/>
      <c r="DV64" s="790"/>
      <c r="DW64" s="790"/>
      <c r="DX64" s="790"/>
      <c r="DY64" s="790"/>
      <c r="DZ64" s="790"/>
      <c r="EA64" s="790"/>
      <c r="EB64" s="790"/>
      <c r="EC64" s="790"/>
      <c r="ED64" s="790"/>
      <c r="EE64" s="790"/>
      <c r="EF64" s="790"/>
      <c r="EG64" s="790"/>
      <c r="EH64" s="790"/>
      <c r="EI64" s="790"/>
      <c r="EJ64" s="790"/>
      <c r="EK64" s="790"/>
      <c r="EL64" s="790"/>
      <c r="EM64" s="790"/>
      <c r="EN64" s="790"/>
      <c r="EO64" s="790"/>
      <c r="EP64" s="790"/>
      <c r="EQ64" s="790"/>
      <c r="ER64" s="790"/>
      <c r="ES64" s="790"/>
      <c r="ET64" s="790"/>
      <c r="EU64" s="790"/>
      <c r="EV64" s="790"/>
      <c r="EW64" s="790"/>
      <c r="EX64" s="790"/>
      <c r="EY64" s="790"/>
      <c r="EZ64" s="790"/>
      <c r="FA64" s="790"/>
      <c r="FB64" s="790"/>
      <c r="FC64" s="790"/>
      <c r="FD64" s="790"/>
      <c r="FE64" s="790"/>
      <c r="FF64" s="790"/>
      <c r="FG64" s="790"/>
      <c r="FH64" s="790"/>
      <c r="FI64" s="790"/>
      <c r="FJ64" s="790"/>
      <c r="FK64" s="790"/>
      <c r="FL64" s="790"/>
      <c r="FM64" s="790"/>
      <c r="FN64" s="790"/>
      <c r="FO64" s="790"/>
      <c r="FP64" s="790"/>
      <c r="FQ64" s="790"/>
      <c r="FR64" s="790"/>
      <c r="FS64" s="790"/>
      <c r="FT64" s="790"/>
      <c r="FU64" s="790"/>
      <c r="FV64" s="790"/>
      <c r="FW64" s="790"/>
      <c r="FX64" s="790"/>
      <c r="FY64" s="790"/>
      <c r="FZ64" s="790"/>
      <c r="GA64" s="790"/>
      <c r="GB64" s="790"/>
      <c r="GC64" s="790"/>
      <c r="GD64" s="790"/>
      <c r="GE64" s="790"/>
      <c r="GF64" s="790"/>
      <c r="GG64" s="790"/>
      <c r="GH64" s="790"/>
      <c r="GI64" s="790"/>
      <c r="GJ64" s="790"/>
      <c r="GK64" s="790"/>
      <c r="GL64" s="790"/>
      <c r="GM64" s="790"/>
      <c r="GN64" s="790"/>
      <c r="GO64" s="790"/>
      <c r="GP64" s="790"/>
      <c r="GQ64" s="790"/>
      <c r="GR64" s="790"/>
      <c r="GS64" s="790"/>
      <c r="GT64" s="790"/>
      <c r="GU64" s="790"/>
      <c r="GV64" s="790"/>
      <c r="GW64" s="790"/>
      <c r="GX64" s="790"/>
      <c r="GY64" s="790"/>
      <c r="GZ64" s="790"/>
      <c r="HA64" s="790"/>
      <c r="HB64" s="790"/>
      <c r="HC64" s="790"/>
      <c r="HD64" s="790"/>
      <c r="HE64" s="790"/>
      <c r="HF64" s="790"/>
      <c r="HG64" s="790"/>
      <c r="HH64" s="790"/>
      <c r="HI64" s="790"/>
      <c r="HJ64" s="790"/>
      <c r="HK64" s="790"/>
      <c r="HL64" s="790"/>
      <c r="HM64" s="790"/>
      <c r="HN64" s="790"/>
      <c r="HO64" s="790"/>
      <c r="HP64" s="790"/>
      <c r="HQ64" s="790"/>
      <c r="HR64" s="790"/>
      <c r="HS64" s="790"/>
      <c r="HT64" s="790"/>
      <c r="HU64" s="790"/>
      <c r="HV64" s="790"/>
      <c r="HW64" s="790"/>
      <c r="HX64" s="790"/>
      <c r="HY64" s="790"/>
      <c r="HZ64" s="790"/>
      <c r="IA64" s="790"/>
      <c r="IB64" s="790"/>
      <c r="IC64" s="790"/>
      <c r="ID64" s="790"/>
      <c r="IE64" s="790"/>
      <c r="IF64" s="790"/>
      <c r="IG64" s="790"/>
      <c r="IH64" s="790"/>
      <c r="II64" s="790"/>
      <c r="IJ64" s="790"/>
      <c r="IK64" s="790"/>
      <c r="IL64" s="790"/>
      <c r="IM64" s="790"/>
      <c r="IN64" s="790"/>
      <c r="IO64" s="790"/>
      <c r="IP64" s="790"/>
      <c r="IQ64" s="790"/>
      <c r="IR64" s="790"/>
      <c r="IS64" s="790"/>
      <c r="IT64" s="790"/>
      <c r="IU64" s="790"/>
      <c r="IV64" s="790"/>
      <c r="IW64" s="790"/>
      <c r="IX64" s="790"/>
      <c r="IY64" s="790"/>
      <c r="IZ64" s="790"/>
      <c r="JA64" s="790"/>
      <c r="JB64" s="790"/>
      <c r="JC64" s="790"/>
      <c r="JD64" s="790"/>
      <c r="JE64" s="790"/>
      <c r="JF64" s="790"/>
      <c r="JG64" s="790"/>
      <c r="JH64" s="790"/>
      <c r="JI64" s="790"/>
      <c r="JJ64" s="790"/>
      <c r="JK64" s="790"/>
      <c r="JL64" s="790"/>
      <c r="JM64" s="790"/>
      <c r="JN64" s="790"/>
      <c r="JO64" s="790"/>
      <c r="JP64" s="790"/>
      <c r="JQ64" s="790"/>
      <c r="JR64" s="790"/>
      <c r="JS64" s="790"/>
      <c r="JT64" s="790"/>
      <c r="JU64" s="790"/>
      <c r="JV64" s="790"/>
      <c r="JW64" s="790"/>
      <c r="JX64" s="790"/>
      <c r="JY64" s="790"/>
      <c r="JZ64" s="790"/>
      <c r="KA64" s="790"/>
      <c r="KB64" s="790"/>
      <c r="KC64" s="790"/>
      <c r="KD64" s="790"/>
      <c r="KE64" s="790"/>
      <c r="KF64" s="790"/>
      <c r="KG64" s="790"/>
      <c r="KH64" s="790"/>
      <c r="KI64" s="790"/>
      <c r="KJ64" s="790"/>
      <c r="KK64" s="790"/>
      <c r="KL64" s="790"/>
      <c r="KM64" s="790"/>
      <c r="KN64" s="790"/>
      <c r="KO64" s="790"/>
      <c r="KP64" s="790"/>
      <c r="KQ64" s="790"/>
      <c r="KR64" s="790"/>
      <c r="KS64" s="790"/>
      <c r="KT64" s="790"/>
      <c r="KU64" s="790"/>
      <c r="KV64" s="790"/>
      <c r="KW64" s="790"/>
      <c r="KX64" s="790"/>
      <c r="KY64" s="790"/>
      <c r="KZ64" s="790"/>
      <c r="LA64" s="790"/>
      <c r="LB64" s="790"/>
      <c r="LC64" s="790"/>
      <c r="LD64" s="790"/>
      <c r="LE64" s="790"/>
      <c r="LF64" s="790"/>
      <c r="LG64" s="790"/>
      <c r="LH64" s="790"/>
      <c r="LI64" s="790"/>
      <c r="LJ64" s="790"/>
      <c r="LK64" s="790"/>
      <c r="LL64" s="790"/>
      <c r="LM64" s="790"/>
      <c r="LN64" s="790"/>
      <c r="LO64" s="790"/>
      <c r="LP64" s="790"/>
      <c r="LQ64" s="790"/>
      <c r="LR64" s="790"/>
      <c r="LS64" s="790"/>
      <c r="LT64" s="790"/>
      <c r="LU64" s="790"/>
      <c r="LV64" s="790"/>
      <c r="LW64" s="790"/>
      <c r="LX64" s="790"/>
      <c r="LY64" s="790"/>
      <c r="LZ64" s="790"/>
      <c r="MA64" s="790"/>
      <c r="MB64" s="790"/>
      <c r="MC64" s="790"/>
      <c r="MD64" s="790"/>
      <c r="ME64" s="790"/>
      <c r="MF64" s="790"/>
      <c r="MG64" s="790"/>
      <c r="MH64" s="790"/>
      <c r="MI64" s="790"/>
      <c r="MJ64" s="790"/>
      <c r="MK64" s="790"/>
      <c r="ML64" s="790"/>
      <c r="MM64" s="790"/>
      <c r="MN64" s="790"/>
      <c r="MO64" s="790"/>
      <c r="MP64" s="790"/>
      <c r="MQ64" s="790"/>
      <c r="MR64" s="790"/>
      <c r="MS64" s="790"/>
      <c r="MT64" s="790"/>
      <c r="MU64" s="790"/>
      <c r="MV64" s="790"/>
      <c r="MW64" s="790"/>
      <c r="MX64" s="790"/>
      <c r="MY64" s="790"/>
      <c r="MZ64" s="790"/>
      <c r="NA64" s="790"/>
      <c r="NB64" s="790"/>
      <c r="NC64" s="790"/>
      <c r="ND64" s="790"/>
      <c r="NE64" s="790"/>
      <c r="NF64" s="790"/>
      <c r="NG64" s="790"/>
      <c r="NH64" s="790"/>
      <c r="NI64" s="790"/>
      <c r="NJ64" s="790"/>
      <c r="NK64" s="790"/>
      <c r="NL64" s="790"/>
      <c r="NM64" s="790"/>
      <c r="NN64" s="790"/>
      <c r="NO64" s="790"/>
      <c r="NP64" s="790"/>
      <c r="NQ64" s="790"/>
      <c r="NR64" s="790"/>
      <c r="NS64" s="790"/>
      <c r="NT64" s="790"/>
      <c r="NU64" s="790"/>
      <c r="NV64" s="790"/>
      <c r="NW64" s="790"/>
      <c r="NX64" s="790"/>
      <c r="NY64" s="790"/>
      <c r="NZ64" s="790"/>
      <c r="OA64" s="790"/>
      <c r="OB64" s="790"/>
      <c r="OC64" s="790"/>
      <c r="OD64" s="790"/>
      <c r="OE64" s="790"/>
      <c r="OF64" s="790"/>
      <c r="OG64" s="790"/>
      <c r="OH64" s="790"/>
      <c r="OI64" s="790"/>
      <c r="OJ64" s="790"/>
      <c r="OK64" s="790"/>
      <c r="OL64" s="790"/>
      <c r="OM64" s="790"/>
      <c r="ON64" s="790"/>
      <c r="OO64" s="790"/>
      <c r="OP64" s="790"/>
      <c r="OQ64" s="790"/>
      <c r="OR64" s="790"/>
      <c r="OS64" s="790"/>
      <c r="OT64" s="790"/>
      <c r="OU64" s="790"/>
      <c r="OV64" s="790"/>
      <c r="OW64" s="790"/>
      <c r="OX64" s="790"/>
      <c r="OY64" s="790"/>
      <c r="OZ64" s="790"/>
      <c r="PA64" s="790"/>
      <c r="PB64" s="790"/>
      <c r="PC64" s="790"/>
      <c r="PD64" s="790"/>
      <c r="PE64" s="790"/>
      <c r="PF64" s="790"/>
      <c r="PG64" s="790"/>
      <c r="PH64" s="790"/>
      <c r="PI64" s="790"/>
      <c r="PJ64" s="790"/>
      <c r="PK64" s="790"/>
      <c r="PL64" s="790"/>
      <c r="PM64" s="790"/>
      <c r="PN64" s="790"/>
      <c r="PO64" s="790"/>
      <c r="PP64" s="790"/>
      <c r="PQ64" s="790"/>
      <c r="PR64" s="790"/>
      <c r="PS64" s="790"/>
      <c r="PT64" s="790"/>
      <c r="PU64" s="790"/>
      <c r="PV64" s="790"/>
      <c r="PW64" s="790"/>
      <c r="PX64" s="790"/>
      <c r="PY64" s="790"/>
      <c r="PZ64" s="790"/>
      <c r="QA64" s="790"/>
      <c r="QB64" s="790"/>
      <c r="QC64" s="790"/>
      <c r="QD64" s="790"/>
      <c r="QE64" s="790"/>
      <c r="QF64" s="790"/>
      <c r="QG64" s="790"/>
      <c r="QH64" s="790"/>
      <c r="QI64" s="790"/>
      <c r="QJ64" s="790"/>
      <c r="QK64" s="790"/>
      <c r="QL64" s="790"/>
      <c r="QM64" s="790"/>
      <c r="QN64" s="790"/>
      <c r="QO64" s="790"/>
      <c r="QP64" s="790"/>
      <c r="QQ64" s="790"/>
      <c r="QR64" s="790"/>
      <c r="QS64" s="790"/>
      <c r="QT64" s="790"/>
      <c r="QU64" s="790"/>
      <c r="QV64" s="790"/>
      <c r="QW64" s="790"/>
      <c r="QX64" s="790"/>
      <c r="QY64" s="790"/>
      <c r="QZ64" s="790"/>
      <c r="RA64" s="790"/>
      <c r="RB64" s="790"/>
      <c r="RC64" s="790"/>
      <c r="RD64" s="790"/>
      <c r="RE64" s="790"/>
      <c r="RF64" s="790"/>
      <c r="RG64" s="790"/>
      <c r="RH64" s="790"/>
      <c r="RI64" s="790"/>
      <c r="RJ64" s="790"/>
      <c r="RK64" s="790"/>
      <c r="RL64" s="790"/>
      <c r="RM64" s="790"/>
      <c r="RN64" s="790"/>
      <c r="RO64" s="790"/>
      <c r="RP64" s="790"/>
      <c r="RQ64" s="790"/>
      <c r="RR64" s="790"/>
      <c r="RS64" s="790"/>
      <c r="RT64" s="790"/>
      <c r="RU64" s="790"/>
      <c r="RV64" s="790"/>
      <c r="RW64" s="790"/>
      <c r="RX64" s="790"/>
    </row>
    <row r="65" spans="39:73" s="166" customFormat="1">
      <c r="AM65" s="781"/>
      <c r="AN65" s="781"/>
      <c r="AO65" s="781"/>
      <c r="AP65" s="781"/>
      <c r="AQ65" s="781"/>
      <c r="AR65" s="781"/>
      <c r="AS65" s="781"/>
      <c r="AT65" s="781"/>
      <c r="AU65" s="781"/>
      <c r="AV65" s="781"/>
      <c r="AW65" s="781"/>
      <c r="AX65" s="781"/>
      <c r="AY65" s="781"/>
      <c r="AZ65" s="781"/>
      <c r="BA65" s="781"/>
      <c r="BB65" s="781"/>
      <c r="BC65" s="781"/>
      <c r="BD65" s="781"/>
      <c r="BE65" s="781"/>
      <c r="BF65" s="781"/>
      <c r="BG65" s="781"/>
      <c r="BH65" s="781"/>
      <c r="BI65" s="781"/>
      <c r="BJ65" s="781"/>
      <c r="BK65" s="781"/>
      <c r="BL65" s="781"/>
      <c r="BM65" s="781"/>
      <c r="BN65" s="781"/>
      <c r="BO65" s="781"/>
      <c r="BP65" s="781"/>
      <c r="BQ65" s="781"/>
      <c r="BR65" s="781"/>
      <c r="BS65" s="781"/>
      <c r="BT65" s="781"/>
      <c r="BU65" s="781"/>
    </row>
    <row r="66" spans="39:73" s="166" customFormat="1">
      <c r="AM66" s="781"/>
      <c r="AN66" s="781"/>
      <c r="AO66" s="781"/>
      <c r="AP66" s="781"/>
      <c r="AQ66" s="781"/>
      <c r="AR66" s="781"/>
      <c r="AS66" s="781"/>
      <c r="AT66" s="781"/>
      <c r="AU66" s="781"/>
      <c r="AV66" s="781"/>
      <c r="AW66" s="781"/>
      <c r="AX66" s="781"/>
      <c r="AY66" s="781"/>
      <c r="AZ66" s="781"/>
      <c r="BA66" s="781"/>
      <c r="BB66" s="781"/>
      <c r="BC66" s="781"/>
      <c r="BD66" s="781"/>
      <c r="BE66" s="781"/>
      <c r="BF66" s="781"/>
      <c r="BG66" s="781"/>
      <c r="BH66" s="781"/>
      <c r="BI66" s="781"/>
      <c r="BJ66" s="781"/>
      <c r="BK66" s="781"/>
      <c r="BL66" s="781"/>
      <c r="BM66" s="781"/>
      <c r="BN66" s="781"/>
      <c r="BO66" s="781"/>
      <c r="BP66" s="781"/>
      <c r="BQ66" s="781"/>
      <c r="BR66" s="781"/>
      <c r="BS66" s="781"/>
      <c r="BT66" s="781"/>
      <c r="BU66" s="781"/>
    </row>
    <row r="67" spans="39:73" s="166" customFormat="1">
      <c r="AM67" s="781"/>
      <c r="AN67" s="781"/>
      <c r="AO67" s="781"/>
      <c r="AP67" s="781"/>
      <c r="AQ67" s="781"/>
      <c r="AR67" s="781"/>
      <c r="AS67" s="781"/>
      <c r="AT67" s="781"/>
      <c r="AU67" s="781"/>
      <c r="AV67" s="781"/>
      <c r="AW67" s="781"/>
      <c r="AX67" s="781"/>
      <c r="AY67" s="781"/>
      <c r="AZ67" s="781"/>
      <c r="BA67" s="781"/>
      <c r="BB67" s="781"/>
      <c r="BC67" s="781"/>
      <c r="BD67" s="781"/>
      <c r="BE67" s="781"/>
      <c r="BF67" s="781"/>
      <c r="BG67" s="781"/>
      <c r="BH67" s="781"/>
      <c r="BI67" s="781"/>
      <c r="BJ67" s="781"/>
      <c r="BK67" s="781"/>
      <c r="BL67" s="781"/>
      <c r="BM67" s="781"/>
      <c r="BN67" s="781"/>
      <c r="BO67" s="781"/>
      <c r="BP67" s="781"/>
      <c r="BQ67" s="781"/>
      <c r="BR67" s="781"/>
      <c r="BS67" s="781"/>
      <c r="BT67" s="781"/>
      <c r="BU67" s="781"/>
    </row>
    <row r="68" spans="39:73" s="166" customFormat="1">
      <c r="AM68" s="781"/>
      <c r="AN68" s="781"/>
      <c r="AO68" s="781"/>
      <c r="AP68" s="781"/>
      <c r="AQ68" s="781"/>
      <c r="AR68" s="781"/>
      <c r="AS68" s="781"/>
      <c r="AT68" s="781"/>
      <c r="AU68" s="781"/>
      <c r="AV68" s="781"/>
      <c r="AW68" s="781"/>
      <c r="AX68" s="781"/>
      <c r="AY68" s="781"/>
      <c r="AZ68" s="781"/>
      <c r="BA68" s="781"/>
      <c r="BB68" s="781"/>
      <c r="BC68" s="781"/>
      <c r="BD68" s="781"/>
      <c r="BE68" s="781"/>
      <c r="BF68" s="781"/>
      <c r="BG68" s="781"/>
      <c r="BH68" s="781"/>
      <c r="BI68" s="781"/>
      <c r="BJ68" s="781"/>
      <c r="BK68" s="781"/>
      <c r="BL68" s="781"/>
      <c r="BM68" s="781"/>
      <c r="BN68" s="781"/>
      <c r="BO68" s="781"/>
      <c r="BP68" s="781"/>
      <c r="BQ68" s="781"/>
      <c r="BR68" s="781"/>
      <c r="BS68" s="781"/>
      <c r="BT68" s="781"/>
      <c r="BU68" s="781"/>
    </row>
    <row r="69" spans="39:73" s="166" customFormat="1">
      <c r="AM69" s="781"/>
      <c r="AN69" s="781"/>
      <c r="AO69" s="781"/>
      <c r="AP69" s="781"/>
      <c r="AQ69" s="781"/>
      <c r="AR69" s="781"/>
      <c r="AS69" s="781"/>
      <c r="AT69" s="781"/>
      <c r="AU69" s="781"/>
      <c r="AV69" s="781"/>
      <c r="AW69" s="781"/>
      <c r="AX69" s="781"/>
      <c r="AY69" s="781"/>
      <c r="AZ69" s="781"/>
      <c r="BA69" s="781"/>
      <c r="BB69" s="781"/>
      <c r="BC69" s="781"/>
      <c r="BD69" s="781"/>
      <c r="BE69" s="781"/>
      <c r="BF69" s="781"/>
      <c r="BG69" s="781"/>
      <c r="BH69" s="781"/>
      <c r="BI69" s="781"/>
      <c r="BJ69" s="781"/>
      <c r="BK69" s="781"/>
      <c r="BL69" s="781"/>
      <c r="BM69" s="781"/>
      <c r="BN69" s="781"/>
      <c r="BO69" s="781"/>
      <c r="BP69" s="781"/>
      <c r="BQ69" s="781"/>
      <c r="BR69" s="781"/>
      <c r="BS69" s="781"/>
      <c r="BT69" s="781"/>
      <c r="BU69" s="781"/>
    </row>
    <row r="70" spans="39:73" s="166" customFormat="1">
      <c r="AM70" s="781"/>
      <c r="AN70" s="781"/>
      <c r="AO70" s="781"/>
      <c r="AP70" s="781"/>
      <c r="AQ70" s="781"/>
      <c r="AR70" s="781"/>
      <c r="AS70" s="781"/>
      <c r="AT70" s="781"/>
      <c r="AU70" s="781"/>
      <c r="AV70" s="781"/>
      <c r="AW70" s="781"/>
      <c r="AX70" s="781"/>
      <c r="AY70" s="781"/>
      <c r="AZ70" s="781"/>
      <c r="BA70" s="781"/>
      <c r="BB70" s="781"/>
      <c r="BC70" s="781"/>
      <c r="BD70" s="781"/>
      <c r="BE70" s="781"/>
      <c r="BF70" s="781"/>
      <c r="BG70" s="781"/>
      <c r="BH70" s="781"/>
      <c r="BI70" s="781"/>
      <c r="BJ70" s="781"/>
      <c r="BK70" s="781"/>
      <c r="BL70" s="781"/>
      <c r="BM70" s="781"/>
      <c r="BN70" s="781"/>
      <c r="BO70" s="781"/>
      <c r="BP70" s="781"/>
      <c r="BQ70" s="781"/>
      <c r="BR70" s="781"/>
      <c r="BS70" s="781"/>
      <c r="BT70" s="781"/>
      <c r="BU70" s="781"/>
    </row>
    <row r="71" spans="39:73" s="166" customFormat="1">
      <c r="AM71" s="781"/>
      <c r="AN71" s="781"/>
      <c r="AO71" s="781"/>
      <c r="AP71" s="781"/>
      <c r="AQ71" s="781"/>
      <c r="AR71" s="781"/>
      <c r="AS71" s="781"/>
      <c r="AT71" s="781"/>
      <c r="AU71" s="781"/>
      <c r="AV71" s="781"/>
      <c r="AW71" s="781"/>
      <c r="AX71" s="781"/>
      <c r="AY71" s="781"/>
      <c r="AZ71" s="781"/>
      <c r="BA71" s="781"/>
      <c r="BB71" s="781"/>
      <c r="BC71" s="781"/>
      <c r="BD71" s="781"/>
      <c r="BE71" s="781"/>
      <c r="BF71" s="781"/>
      <c r="BG71" s="781"/>
      <c r="BH71" s="781"/>
      <c r="BI71" s="781"/>
      <c r="BJ71" s="781"/>
      <c r="BK71" s="781"/>
      <c r="BL71" s="781"/>
      <c r="BM71" s="781"/>
      <c r="BN71" s="781"/>
      <c r="BO71" s="781"/>
      <c r="BP71" s="781"/>
      <c r="BQ71" s="781"/>
      <c r="BR71" s="781"/>
      <c r="BS71" s="781"/>
      <c r="BT71" s="781"/>
      <c r="BU71" s="781"/>
    </row>
    <row r="72" spans="39:73" s="166" customFormat="1">
      <c r="AM72" s="781"/>
      <c r="AN72" s="781"/>
      <c r="AO72" s="781"/>
      <c r="AP72" s="781"/>
      <c r="AQ72" s="781"/>
      <c r="AR72" s="781"/>
      <c r="AS72" s="781"/>
      <c r="AT72" s="781"/>
      <c r="AU72" s="781"/>
      <c r="AV72" s="781"/>
      <c r="AW72" s="781"/>
      <c r="AX72" s="781"/>
      <c r="AY72" s="781"/>
      <c r="AZ72" s="781"/>
      <c r="BA72" s="781"/>
      <c r="BB72" s="781"/>
      <c r="BC72" s="781"/>
      <c r="BD72" s="781"/>
      <c r="BE72" s="781"/>
      <c r="BF72" s="781"/>
      <c r="BG72" s="781"/>
      <c r="BH72" s="781"/>
      <c r="BI72" s="781"/>
      <c r="BJ72" s="781"/>
      <c r="BK72" s="781"/>
      <c r="BL72" s="781"/>
      <c r="BM72" s="781"/>
      <c r="BN72" s="781"/>
      <c r="BO72" s="781"/>
      <c r="BP72" s="781"/>
      <c r="BQ72" s="781"/>
      <c r="BR72" s="781"/>
      <c r="BS72" s="781"/>
      <c r="BT72" s="781"/>
      <c r="BU72" s="781"/>
    </row>
    <row r="73" spans="39:73" s="166" customFormat="1">
      <c r="AM73" s="781"/>
      <c r="AN73" s="781"/>
      <c r="AO73" s="781"/>
      <c r="AP73" s="781"/>
      <c r="AQ73" s="781"/>
      <c r="AR73" s="781"/>
      <c r="AS73" s="781"/>
      <c r="AT73" s="781"/>
      <c r="AU73" s="781"/>
      <c r="AV73" s="781"/>
      <c r="AW73" s="781"/>
      <c r="AX73" s="781"/>
      <c r="AY73" s="781"/>
      <c r="AZ73" s="781"/>
      <c r="BA73" s="781"/>
      <c r="BB73" s="781"/>
      <c r="BC73" s="781"/>
      <c r="BD73" s="781"/>
      <c r="BE73" s="781"/>
      <c r="BF73" s="781"/>
      <c r="BG73" s="781"/>
      <c r="BH73" s="781"/>
      <c r="BI73" s="781"/>
      <c r="BJ73" s="781"/>
      <c r="BK73" s="781"/>
      <c r="BL73" s="781"/>
      <c r="BM73" s="781"/>
      <c r="BN73" s="781"/>
      <c r="BO73" s="781"/>
      <c r="BP73" s="781"/>
      <c r="BQ73" s="781"/>
      <c r="BR73" s="781"/>
      <c r="BS73" s="781"/>
      <c r="BT73" s="781"/>
      <c r="BU73" s="781"/>
    </row>
    <row r="74" spans="39:73" s="166" customFormat="1">
      <c r="AM74" s="781"/>
      <c r="AN74" s="781"/>
      <c r="AO74" s="781"/>
      <c r="AP74" s="781"/>
      <c r="AQ74" s="781"/>
      <c r="AR74" s="781"/>
      <c r="AS74" s="781"/>
      <c r="AT74" s="781"/>
      <c r="AU74" s="781"/>
      <c r="AV74" s="781"/>
      <c r="AW74" s="781"/>
      <c r="AX74" s="781"/>
      <c r="AY74" s="781"/>
      <c r="AZ74" s="781"/>
      <c r="BA74" s="781"/>
      <c r="BB74" s="781"/>
      <c r="BC74" s="781"/>
      <c r="BD74" s="781"/>
      <c r="BE74" s="781"/>
      <c r="BF74" s="781"/>
      <c r="BG74" s="781"/>
      <c r="BH74" s="781"/>
      <c r="BI74" s="781"/>
      <c r="BJ74" s="781"/>
      <c r="BK74" s="781"/>
      <c r="BL74" s="781"/>
      <c r="BM74" s="781"/>
      <c r="BN74" s="781"/>
      <c r="BO74" s="781"/>
      <c r="BP74" s="781"/>
      <c r="BQ74" s="781"/>
      <c r="BR74" s="781"/>
      <c r="BS74" s="781"/>
      <c r="BT74" s="781"/>
      <c r="BU74" s="781"/>
    </row>
    <row r="75" spans="39:73" s="166" customFormat="1">
      <c r="AM75" s="781"/>
      <c r="AN75" s="781"/>
      <c r="AO75" s="781"/>
      <c r="AP75" s="781"/>
      <c r="AQ75" s="781"/>
      <c r="AR75" s="781"/>
      <c r="AS75" s="781"/>
      <c r="AT75" s="781"/>
      <c r="AU75" s="781"/>
      <c r="AV75" s="781"/>
      <c r="AW75" s="781"/>
      <c r="AX75" s="781"/>
      <c r="AY75" s="781"/>
      <c r="AZ75" s="781"/>
      <c r="BA75" s="781"/>
      <c r="BB75" s="781"/>
      <c r="BC75" s="781"/>
      <c r="BD75" s="781"/>
      <c r="BE75" s="781"/>
      <c r="BF75" s="781"/>
      <c r="BG75" s="781"/>
      <c r="BH75" s="781"/>
      <c r="BI75" s="781"/>
      <c r="BJ75" s="781"/>
      <c r="BK75" s="781"/>
      <c r="BL75" s="781"/>
      <c r="BM75" s="781"/>
      <c r="BN75" s="781"/>
      <c r="BO75" s="781"/>
      <c r="BP75" s="781"/>
      <c r="BQ75" s="781"/>
      <c r="BR75" s="781"/>
      <c r="BS75" s="781"/>
      <c r="BT75" s="781"/>
      <c r="BU75" s="781"/>
    </row>
    <row r="76" spans="39:73" s="166" customFormat="1">
      <c r="AM76" s="781"/>
      <c r="AN76" s="781"/>
      <c r="AO76" s="781"/>
      <c r="AP76" s="781"/>
      <c r="AQ76" s="781"/>
      <c r="AR76" s="781"/>
      <c r="AS76" s="781"/>
      <c r="AT76" s="781"/>
      <c r="AU76" s="781"/>
      <c r="AV76" s="781"/>
      <c r="AW76" s="781"/>
      <c r="AX76" s="781"/>
      <c r="AY76" s="781"/>
      <c r="AZ76" s="781"/>
      <c r="BA76" s="781"/>
      <c r="BB76" s="781"/>
      <c r="BC76" s="781"/>
      <c r="BD76" s="781"/>
      <c r="BE76" s="781"/>
      <c r="BF76" s="781"/>
      <c r="BG76" s="781"/>
      <c r="BH76" s="781"/>
      <c r="BI76" s="781"/>
      <c r="BJ76" s="781"/>
      <c r="BK76" s="781"/>
      <c r="BL76" s="781"/>
      <c r="BM76" s="781"/>
      <c r="BN76" s="781"/>
      <c r="BO76" s="781"/>
      <c r="BP76" s="781"/>
      <c r="BQ76" s="781"/>
      <c r="BR76" s="781"/>
      <c r="BS76" s="781"/>
      <c r="BT76" s="781"/>
      <c r="BU76" s="781"/>
    </row>
    <row r="77" spans="39:73" s="166" customFormat="1">
      <c r="AM77" s="781"/>
      <c r="AN77" s="781"/>
      <c r="AO77" s="781"/>
      <c r="AP77" s="781"/>
      <c r="AQ77" s="781"/>
      <c r="AR77" s="781"/>
      <c r="AS77" s="781"/>
      <c r="AT77" s="781"/>
      <c r="AU77" s="781"/>
      <c r="AV77" s="781"/>
      <c r="AW77" s="781"/>
      <c r="AX77" s="781"/>
      <c r="AY77" s="781"/>
      <c r="AZ77" s="781"/>
      <c r="BA77" s="781"/>
      <c r="BB77" s="781"/>
      <c r="BC77" s="781"/>
      <c r="BD77" s="781"/>
      <c r="BE77" s="781"/>
      <c r="BF77" s="781"/>
      <c r="BG77" s="781"/>
      <c r="BH77" s="781"/>
      <c r="BI77" s="781"/>
      <c r="BJ77" s="781"/>
      <c r="BK77" s="781"/>
      <c r="BL77" s="781"/>
      <c r="BM77" s="781"/>
      <c r="BN77" s="781"/>
      <c r="BO77" s="781"/>
      <c r="BP77" s="781"/>
      <c r="BQ77" s="781"/>
      <c r="BR77" s="781"/>
      <c r="BS77" s="781"/>
      <c r="BT77" s="781"/>
      <c r="BU77" s="781"/>
    </row>
    <row r="78" spans="39:73" s="166" customFormat="1">
      <c r="AM78" s="781"/>
      <c r="AN78" s="781"/>
      <c r="AO78" s="781"/>
      <c r="AP78" s="781"/>
      <c r="AQ78" s="781"/>
      <c r="AR78" s="781"/>
      <c r="AS78" s="781"/>
      <c r="AT78" s="781"/>
      <c r="AU78" s="781"/>
      <c r="AV78" s="781"/>
      <c r="AW78" s="781"/>
      <c r="AX78" s="781"/>
      <c r="AY78" s="781"/>
      <c r="AZ78" s="781"/>
      <c r="BA78" s="781"/>
      <c r="BB78" s="781"/>
      <c r="BC78" s="781"/>
      <c r="BD78" s="781"/>
      <c r="BE78" s="781"/>
      <c r="BF78" s="781"/>
      <c r="BG78" s="781"/>
      <c r="BH78" s="781"/>
      <c r="BI78" s="781"/>
      <c r="BJ78" s="781"/>
      <c r="BK78" s="781"/>
      <c r="BL78" s="781"/>
      <c r="BM78" s="781"/>
      <c r="BN78" s="781"/>
      <c r="BO78" s="781"/>
      <c r="BP78" s="781"/>
      <c r="BQ78" s="781"/>
      <c r="BR78" s="781"/>
      <c r="BS78" s="781"/>
      <c r="BT78" s="781"/>
      <c r="BU78" s="781"/>
    </row>
    <row r="79" spans="39:73" s="166" customFormat="1">
      <c r="AM79" s="781"/>
      <c r="AN79" s="781"/>
      <c r="AO79" s="781"/>
      <c r="AP79" s="781"/>
      <c r="AQ79" s="781"/>
      <c r="AR79" s="781"/>
      <c r="AS79" s="781"/>
      <c r="AT79" s="781"/>
      <c r="AU79" s="781"/>
      <c r="AV79" s="781"/>
      <c r="AW79" s="781"/>
      <c r="AX79" s="781"/>
      <c r="AY79" s="781"/>
      <c r="AZ79" s="781"/>
      <c r="BA79" s="781"/>
      <c r="BB79" s="781"/>
      <c r="BC79" s="781"/>
      <c r="BD79" s="781"/>
      <c r="BE79" s="781"/>
      <c r="BF79" s="781"/>
      <c r="BG79" s="781"/>
      <c r="BH79" s="781"/>
      <c r="BI79" s="781"/>
      <c r="BJ79" s="781"/>
      <c r="BK79" s="781"/>
      <c r="BL79" s="781"/>
      <c r="BM79" s="781"/>
      <c r="BN79" s="781"/>
      <c r="BO79" s="781"/>
      <c r="BP79" s="781"/>
      <c r="BQ79" s="781"/>
      <c r="BR79" s="781"/>
      <c r="BS79" s="781"/>
      <c r="BT79" s="781"/>
      <c r="BU79" s="781"/>
    </row>
    <row r="80" spans="39:73" s="166" customFormat="1">
      <c r="AM80" s="781"/>
      <c r="AN80" s="781"/>
      <c r="AO80" s="781"/>
      <c r="AP80" s="781"/>
      <c r="AQ80" s="781"/>
      <c r="AR80" s="781"/>
      <c r="AS80" s="781"/>
      <c r="AT80" s="781"/>
      <c r="AU80" s="781"/>
      <c r="AV80" s="781"/>
      <c r="AW80" s="781"/>
      <c r="AX80" s="781"/>
      <c r="AY80" s="781"/>
      <c r="AZ80" s="781"/>
      <c r="BA80" s="781"/>
      <c r="BB80" s="781"/>
      <c r="BC80" s="781"/>
      <c r="BD80" s="781"/>
      <c r="BE80" s="781"/>
      <c r="BF80" s="781"/>
      <c r="BG80" s="781"/>
      <c r="BH80" s="781"/>
      <c r="BI80" s="781"/>
      <c r="BJ80" s="781"/>
      <c r="BK80" s="781"/>
      <c r="BL80" s="781"/>
      <c r="BM80" s="781"/>
      <c r="BN80" s="781"/>
      <c r="BO80" s="781"/>
      <c r="BP80" s="781"/>
      <c r="BQ80" s="781"/>
      <c r="BR80" s="781"/>
      <c r="BS80" s="781"/>
      <c r="BT80" s="781"/>
      <c r="BU80" s="781"/>
    </row>
    <row r="81" spans="39:73" s="166" customFormat="1">
      <c r="AM81" s="781"/>
      <c r="AN81" s="781"/>
      <c r="AO81" s="781"/>
      <c r="AP81" s="781"/>
      <c r="AQ81" s="781"/>
      <c r="AR81" s="781"/>
      <c r="AS81" s="781"/>
      <c r="AT81" s="781"/>
      <c r="AU81" s="781"/>
      <c r="AV81" s="781"/>
      <c r="AW81" s="781"/>
      <c r="AX81" s="781"/>
      <c r="AY81" s="781"/>
      <c r="AZ81" s="781"/>
      <c r="BA81" s="781"/>
      <c r="BB81" s="781"/>
      <c r="BC81" s="781"/>
      <c r="BD81" s="781"/>
      <c r="BE81" s="781"/>
      <c r="BF81" s="781"/>
      <c r="BG81" s="781"/>
      <c r="BH81" s="781"/>
      <c r="BI81" s="781"/>
      <c r="BJ81" s="781"/>
      <c r="BK81" s="781"/>
      <c r="BL81" s="781"/>
      <c r="BM81" s="781"/>
      <c r="BN81" s="781"/>
      <c r="BO81" s="781"/>
      <c r="BP81" s="781"/>
      <c r="BQ81" s="781"/>
      <c r="BR81" s="781"/>
      <c r="BS81" s="781"/>
      <c r="BT81" s="781"/>
      <c r="BU81" s="781"/>
    </row>
    <row r="82" spans="39:73" s="166" customFormat="1">
      <c r="AM82" s="781"/>
      <c r="AN82" s="781"/>
      <c r="AO82" s="781"/>
      <c r="AP82" s="781"/>
      <c r="AQ82" s="781"/>
      <c r="AR82" s="781"/>
      <c r="AS82" s="781"/>
      <c r="AT82" s="781"/>
      <c r="AU82" s="781"/>
      <c r="AV82" s="781"/>
      <c r="AW82" s="781"/>
      <c r="AX82" s="781"/>
      <c r="AY82" s="781"/>
      <c r="AZ82" s="781"/>
      <c r="BA82" s="781"/>
      <c r="BB82" s="781"/>
      <c r="BC82" s="781"/>
      <c r="BD82" s="781"/>
      <c r="BE82" s="781"/>
      <c r="BF82" s="781"/>
      <c r="BG82" s="781"/>
      <c r="BH82" s="781"/>
      <c r="BI82" s="781"/>
      <c r="BJ82" s="781"/>
      <c r="BK82" s="781"/>
      <c r="BL82" s="781"/>
      <c r="BM82" s="781"/>
      <c r="BN82" s="781"/>
      <c r="BO82" s="781"/>
      <c r="BP82" s="781"/>
      <c r="BQ82" s="781"/>
      <c r="BR82" s="781"/>
      <c r="BS82" s="781"/>
      <c r="BT82" s="781"/>
      <c r="BU82" s="781"/>
    </row>
    <row r="83" spans="39:73" s="166" customFormat="1">
      <c r="AM83" s="781"/>
      <c r="AN83" s="781"/>
      <c r="AO83" s="781"/>
      <c r="AP83" s="781"/>
      <c r="AQ83" s="781"/>
      <c r="AR83" s="781"/>
      <c r="AS83" s="781"/>
      <c r="AT83" s="781"/>
      <c r="AU83" s="781"/>
      <c r="AV83" s="781"/>
      <c r="AW83" s="781"/>
      <c r="AX83" s="781"/>
      <c r="AY83" s="781"/>
      <c r="AZ83" s="781"/>
      <c r="BA83" s="781"/>
      <c r="BB83" s="781"/>
      <c r="BC83" s="781"/>
      <c r="BD83" s="781"/>
      <c r="BE83" s="781"/>
      <c r="BF83" s="781"/>
      <c r="BG83" s="781"/>
      <c r="BH83" s="781"/>
      <c r="BI83" s="781"/>
      <c r="BJ83" s="781"/>
      <c r="BK83" s="781"/>
      <c r="BL83" s="781"/>
      <c r="BM83" s="781"/>
      <c r="BN83" s="781"/>
      <c r="BO83" s="781"/>
      <c r="BP83" s="781"/>
      <c r="BQ83" s="781"/>
      <c r="BR83" s="781"/>
      <c r="BS83" s="781"/>
      <c r="BT83" s="781"/>
      <c r="BU83" s="781"/>
    </row>
    <row r="84" spans="39:73" s="166" customFormat="1">
      <c r="AM84" s="781"/>
      <c r="AN84" s="781"/>
      <c r="AO84" s="781"/>
      <c r="AP84" s="781"/>
      <c r="AQ84" s="781"/>
      <c r="AR84" s="781"/>
      <c r="AS84" s="781"/>
      <c r="AT84" s="781"/>
      <c r="AU84" s="781"/>
      <c r="AV84" s="781"/>
      <c r="AW84" s="781"/>
      <c r="AX84" s="781"/>
      <c r="AY84" s="781"/>
      <c r="AZ84" s="781"/>
      <c r="BA84" s="781"/>
      <c r="BB84" s="781"/>
      <c r="BC84" s="781"/>
      <c r="BD84" s="781"/>
      <c r="BE84" s="781"/>
      <c r="BF84" s="781"/>
      <c r="BG84" s="781"/>
      <c r="BH84" s="781"/>
      <c r="BI84" s="781"/>
      <c r="BJ84" s="781"/>
      <c r="BK84" s="781"/>
      <c r="BL84" s="781"/>
      <c r="BM84" s="781"/>
      <c r="BN84" s="781"/>
      <c r="BO84" s="781"/>
      <c r="BP84" s="781"/>
      <c r="BQ84" s="781"/>
      <c r="BR84" s="781"/>
      <c r="BS84" s="781"/>
      <c r="BT84" s="781"/>
      <c r="BU84" s="781"/>
    </row>
    <row r="85" spans="39:73" s="166" customFormat="1">
      <c r="AM85" s="781"/>
      <c r="AN85" s="781"/>
      <c r="AO85" s="781"/>
      <c r="AP85" s="781"/>
      <c r="AQ85" s="781"/>
      <c r="AR85" s="781"/>
      <c r="AS85" s="781"/>
      <c r="AT85" s="781"/>
      <c r="AU85" s="781"/>
      <c r="AV85" s="781"/>
      <c r="AW85" s="781"/>
      <c r="AX85" s="781"/>
      <c r="AY85" s="781"/>
      <c r="AZ85" s="781"/>
      <c r="BA85" s="781"/>
      <c r="BB85" s="781"/>
      <c r="BC85" s="781"/>
      <c r="BD85" s="781"/>
      <c r="BE85" s="781"/>
      <c r="BF85" s="781"/>
      <c r="BG85" s="781"/>
      <c r="BH85" s="781"/>
      <c r="BI85" s="781"/>
      <c r="BJ85" s="781"/>
      <c r="BK85" s="781"/>
      <c r="BL85" s="781"/>
      <c r="BM85" s="781"/>
      <c r="BN85" s="781"/>
      <c r="BO85" s="781"/>
      <c r="BP85" s="781"/>
      <c r="BQ85" s="781"/>
      <c r="BR85" s="781"/>
      <c r="BS85" s="781"/>
      <c r="BT85" s="781"/>
      <c r="BU85" s="781"/>
    </row>
    <row r="86" spans="39:73" s="166" customFormat="1">
      <c r="AM86" s="781"/>
      <c r="AN86" s="781"/>
      <c r="AO86" s="781"/>
      <c r="AP86" s="781"/>
      <c r="AQ86" s="781"/>
      <c r="AR86" s="781"/>
      <c r="AS86" s="781"/>
      <c r="AT86" s="781"/>
      <c r="AU86" s="781"/>
      <c r="AV86" s="781"/>
      <c r="AW86" s="781"/>
      <c r="AX86" s="781"/>
      <c r="AY86" s="781"/>
      <c r="AZ86" s="781"/>
      <c r="BA86" s="781"/>
      <c r="BB86" s="781"/>
      <c r="BC86" s="781"/>
      <c r="BD86" s="781"/>
      <c r="BE86" s="781"/>
      <c r="BF86" s="781"/>
      <c r="BG86" s="781"/>
      <c r="BH86" s="781"/>
      <c r="BI86" s="781"/>
      <c r="BJ86" s="781"/>
      <c r="BK86" s="781"/>
      <c r="BL86" s="781"/>
      <c r="BM86" s="781"/>
      <c r="BN86" s="781"/>
      <c r="BO86" s="781"/>
      <c r="BP86" s="781"/>
      <c r="BQ86" s="781"/>
      <c r="BR86" s="781"/>
      <c r="BS86" s="781"/>
      <c r="BT86" s="781"/>
      <c r="BU86" s="781"/>
    </row>
    <row r="87" spans="39:73" s="166" customFormat="1">
      <c r="AM87" s="781"/>
      <c r="AN87" s="781"/>
      <c r="AO87" s="781"/>
      <c r="AP87" s="781"/>
      <c r="AQ87" s="781"/>
      <c r="AR87" s="781"/>
      <c r="AS87" s="781"/>
      <c r="AT87" s="781"/>
      <c r="AU87" s="781"/>
      <c r="AV87" s="781"/>
      <c r="AW87" s="781"/>
      <c r="AX87" s="781"/>
      <c r="AY87" s="781"/>
      <c r="AZ87" s="781"/>
      <c r="BA87" s="781"/>
      <c r="BB87" s="781"/>
      <c r="BC87" s="781"/>
      <c r="BD87" s="781"/>
      <c r="BE87" s="781"/>
      <c r="BF87" s="781"/>
      <c r="BG87" s="781"/>
      <c r="BH87" s="781"/>
      <c r="BI87" s="781"/>
      <c r="BJ87" s="781"/>
      <c r="BK87" s="781"/>
      <c r="BL87" s="781"/>
      <c r="BM87" s="781"/>
      <c r="BN87" s="781"/>
      <c r="BO87" s="781"/>
      <c r="BP87" s="781"/>
      <c r="BQ87" s="781"/>
      <c r="BR87" s="781"/>
      <c r="BS87" s="781"/>
      <c r="BT87" s="781"/>
      <c r="BU87" s="781"/>
    </row>
    <row r="88" spans="39:73" s="166" customFormat="1">
      <c r="AM88" s="781"/>
      <c r="AN88" s="781"/>
      <c r="AO88" s="781"/>
      <c r="AP88" s="781"/>
      <c r="AQ88" s="781"/>
      <c r="AR88" s="781"/>
      <c r="AS88" s="781"/>
      <c r="AT88" s="781"/>
      <c r="AU88" s="781"/>
      <c r="AV88" s="781"/>
      <c r="AW88" s="781"/>
      <c r="AX88" s="781"/>
      <c r="AY88" s="781"/>
      <c r="AZ88" s="781"/>
      <c r="BA88" s="781"/>
      <c r="BB88" s="781"/>
      <c r="BC88" s="781"/>
      <c r="BD88" s="781"/>
      <c r="BE88" s="781"/>
      <c r="BF88" s="781"/>
      <c r="BG88" s="781"/>
      <c r="BH88" s="781"/>
      <c r="BI88" s="781"/>
      <c r="BJ88" s="781"/>
      <c r="BK88" s="781"/>
      <c r="BL88" s="781"/>
      <c r="BM88" s="781"/>
      <c r="BN88" s="781"/>
      <c r="BO88" s="781"/>
      <c r="BP88" s="781"/>
      <c r="BQ88" s="781"/>
      <c r="BR88" s="781"/>
      <c r="BS88" s="781"/>
      <c r="BT88" s="781"/>
      <c r="BU88" s="781"/>
    </row>
    <row r="89" spans="39:73" s="166" customFormat="1">
      <c r="AM89" s="781"/>
      <c r="AN89" s="781"/>
      <c r="AO89" s="781"/>
      <c r="AP89" s="781"/>
      <c r="AQ89" s="781"/>
      <c r="AR89" s="781"/>
      <c r="AS89" s="781"/>
      <c r="AT89" s="781"/>
      <c r="AU89" s="781"/>
      <c r="AV89" s="781"/>
      <c r="AW89" s="781"/>
      <c r="AX89" s="781"/>
      <c r="AY89" s="781"/>
      <c r="AZ89" s="781"/>
      <c r="BA89" s="781"/>
      <c r="BB89" s="781"/>
      <c r="BC89" s="781"/>
      <c r="BD89" s="781"/>
      <c r="BE89" s="781"/>
      <c r="BF89" s="781"/>
      <c r="BG89" s="781"/>
      <c r="BH89" s="781"/>
      <c r="BI89" s="781"/>
      <c r="BJ89" s="781"/>
      <c r="BK89" s="781"/>
      <c r="BL89" s="781"/>
      <c r="BM89" s="781"/>
      <c r="BN89" s="781"/>
      <c r="BO89" s="781"/>
      <c r="BP89" s="781"/>
      <c r="BQ89" s="781"/>
      <c r="BR89" s="781"/>
      <c r="BS89" s="781"/>
      <c r="BT89" s="781"/>
      <c r="BU89" s="781"/>
    </row>
    <row r="90" spans="39:73" s="166" customFormat="1">
      <c r="AM90" s="781"/>
      <c r="AN90" s="781"/>
      <c r="AO90" s="781"/>
      <c r="AP90" s="781"/>
      <c r="AQ90" s="781"/>
      <c r="AR90" s="781"/>
      <c r="AS90" s="781"/>
      <c r="AT90" s="781"/>
      <c r="AU90" s="781"/>
      <c r="AV90" s="781"/>
      <c r="AW90" s="781"/>
      <c r="AX90" s="781"/>
      <c r="AY90" s="781"/>
      <c r="AZ90" s="781"/>
      <c r="BA90" s="781"/>
      <c r="BB90" s="781"/>
      <c r="BC90" s="781"/>
      <c r="BD90" s="781"/>
      <c r="BE90" s="781"/>
      <c r="BF90" s="781"/>
      <c r="BG90" s="781"/>
      <c r="BH90" s="781"/>
      <c r="BI90" s="781"/>
      <c r="BJ90" s="781"/>
      <c r="BK90" s="781"/>
      <c r="BL90" s="781"/>
      <c r="BM90" s="781"/>
      <c r="BN90" s="781"/>
      <c r="BO90" s="781"/>
      <c r="BP90" s="781"/>
      <c r="BQ90" s="781"/>
      <c r="BR90" s="781"/>
      <c r="BS90" s="781"/>
      <c r="BT90" s="781"/>
      <c r="BU90" s="781"/>
    </row>
    <row r="91" spans="39:73" s="166" customFormat="1">
      <c r="AM91" s="781"/>
      <c r="AN91" s="781"/>
      <c r="AO91" s="781"/>
      <c r="AP91" s="781"/>
      <c r="AQ91" s="781"/>
      <c r="AR91" s="781"/>
      <c r="AS91" s="781"/>
      <c r="AT91" s="781"/>
      <c r="AU91" s="781"/>
      <c r="AV91" s="781"/>
      <c r="AW91" s="781"/>
      <c r="AX91" s="781"/>
      <c r="AY91" s="781"/>
      <c r="AZ91" s="781"/>
      <c r="BA91" s="781"/>
      <c r="BB91" s="781"/>
      <c r="BC91" s="781"/>
      <c r="BD91" s="781"/>
      <c r="BE91" s="781"/>
      <c r="BF91" s="781"/>
      <c r="BG91" s="781"/>
      <c r="BH91" s="781"/>
      <c r="BI91" s="781"/>
      <c r="BJ91" s="781"/>
      <c r="BK91" s="781"/>
      <c r="BL91" s="781"/>
      <c r="BM91" s="781"/>
      <c r="BN91" s="781"/>
      <c r="BO91" s="781"/>
      <c r="BP91" s="781"/>
      <c r="BQ91" s="781"/>
      <c r="BR91" s="781"/>
      <c r="BS91" s="781"/>
      <c r="BT91" s="781"/>
      <c r="BU91" s="781"/>
    </row>
    <row r="92" spans="39:73" s="166" customFormat="1">
      <c r="AM92" s="781"/>
      <c r="AN92" s="781"/>
      <c r="AO92" s="781"/>
      <c r="AP92" s="781"/>
      <c r="AQ92" s="781"/>
      <c r="AR92" s="781"/>
      <c r="AS92" s="781"/>
      <c r="AT92" s="781"/>
      <c r="AU92" s="781"/>
      <c r="AV92" s="781"/>
      <c r="AW92" s="781"/>
      <c r="AX92" s="781"/>
      <c r="AY92" s="781"/>
      <c r="AZ92" s="781"/>
      <c r="BA92" s="781"/>
      <c r="BB92" s="781"/>
      <c r="BC92" s="781"/>
      <c r="BD92" s="781"/>
      <c r="BE92" s="781"/>
      <c r="BF92" s="781"/>
      <c r="BG92" s="781"/>
      <c r="BH92" s="781"/>
      <c r="BI92" s="781"/>
      <c r="BJ92" s="781"/>
      <c r="BK92" s="781"/>
      <c r="BL92" s="781"/>
      <c r="BM92" s="781"/>
      <c r="BN92" s="781"/>
      <c r="BO92" s="781"/>
      <c r="BP92" s="781"/>
      <c r="BQ92" s="781"/>
      <c r="BR92" s="781"/>
      <c r="BS92" s="781"/>
      <c r="BT92" s="781"/>
      <c r="BU92" s="781"/>
    </row>
    <row r="93" spans="39:73" s="166" customFormat="1">
      <c r="AM93" s="781"/>
      <c r="AN93" s="781"/>
      <c r="AO93" s="781"/>
      <c r="AP93" s="781"/>
      <c r="AQ93" s="781"/>
      <c r="AR93" s="781"/>
      <c r="AS93" s="781"/>
      <c r="AT93" s="781"/>
      <c r="AU93" s="781"/>
      <c r="AV93" s="781"/>
      <c r="AW93" s="781"/>
      <c r="AX93" s="781"/>
      <c r="AY93" s="781"/>
      <c r="AZ93" s="781"/>
      <c r="BA93" s="781"/>
      <c r="BB93" s="781"/>
      <c r="BC93" s="781"/>
      <c r="BD93" s="781"/>
      <c r="BE93" s="781"/>
      <c r="BF93" s="781"/>
      <c r="BG93" s="781"/>
      <c r="BH93" s="781"/>
      <c r="BI93" s="781"/>
      <c r="BJ93" s="781"/>
      <c r="BK93" s="781"/>
      <c r="BL93" s="781"/>
      <c r="BM93" s="781"/>
      <c r="BN93" s="781"/>
      <c r="BO93" s="781"/>
      <c r="BP93" s="781"/>
      <c r="BQ93" s="781"/>
      <c r="BR93" s="781"/>
      <c r="BS93" s="781"/>
      <c r="BT93" s="781"/>
      <c r="BU93" s="781"/>
    </row>
    <row r="94" spans="39:73" s="166" customFormat="1">
      <c r="AM94" s="781"/>
      <c r="AN94" s="781"/>
      <c r="AO94" s="781"/>
      <c r="AP94" s="781"/>
      <c r="AQ94" s="781"/>
      <c r="AR94" s="781"/>
      <c r="AS94" s="781"/>
      <c r="AT94" s="781"/>
      <c r="AU94" s="781"/>
      <c r="AV94" s="781"/>
      <c r="AW94" s="781"/>
      <c r="AX94" s="781"/>
      <c r="AY94" s="781"/>
      <c r="AZ94" s="781"/>
      <c r="BA94" s="781"/>
      <c r="BB94" s="781"/>
      <c r="BC94" s="781"/>
      <c r="BD94" s="781"/>
      <c r="BE94" s="781"/>
      <c r="BF94" s="781"/>
      <c r="BG94" s="781"/>
      <c r="BH94" s="781"/>
      <c r="BI94" s="781"/>
      <c r="BJ94" s="781"/>
      <c r="BK94" s="781"/>
      <c r="BL94" s="781"/>
      <c r="BM94" s="781"/>
      <c r="BN94" s="781"/>
      <c r="BO94" s="781"/>
      <c r="BP94" s="781"/>
      <c r="BQ94" s="781"/>
      <c r="BR94" s="781"/>
      <c r="BS94" s="781"/>
      <c r="BT94" s="781"/>
      <c r="BU94" s="781"/>
    </row>
    <row r="95" spans="39:73" s="166" customFormat="1">
      <c r="AM95" s="781"/>
      <c r="AN95" s="781"/>
      <c r="AO95" s="781"/>
      <c r="AP95" s="781"/>
      <c r="AQ95" s="781"/>
      <c r="AR95" s="781"/>
      <c r="AS95" s="781"/>
      <c r="AT95" s="781"/>
      <c r="AU95" s="781"/>
      <c r="AV95" s="781"/>
      <c r="AW95" s="781"/>
      <c r="AX95" s="781"/>
      <c r="AY95" s="781"/>
      <c r="AZ95" s="781"/>
      <c r="BA95" s="781"/>
      <c r="BB95" s="781"/>
      <c r="BC95" s="781"/>
      <c r="BD95" s="781"/>
      <c r="BE95" s="781"/>
      <c r="BF95" s="781"/>
      <c r="BG95" s="781"/>
      <c r="BH95" s="781"/>
      <c r="BI95" s="781"/>
      <c r="BJ95" s="781"/>
      <c r="BK95" s="781"/>
      <c r="BL95" s="781"/>
      <c r="BM95" s="781"/>
      <c r="BN95" s="781"/>
      <c r="BO95" s="781"/>
      <c r="BP95" s="781"/>
      <c r="BQ95" s="781"/>
      <c r="BR95" s="781"/>
      <c r="BS95" s="781"/>
      <c r="BT95" s="781"/>
      <c r="BU95" s="781"/>
    </row>
    <row r="96" spans="39:73" s="166" customFormat="1">
      <c r="AM96" s="781"/>
      <c r="AN96" s="781"/>
      <c r="AO96" s="781"/>
      <c r="AP96" s="781"/>
      <c r="AQ96" s="781"/>
      <c r="AR96" s="781"/>
      <c r="AS96" s="781"/>
      <c r="AT96" s="781"/>
      <c r="AU96" s="781"/>
      <c r="AV96" s="781"/>
      <c r="AW96" s="781"/>
      <c r="AX96" s="781"/>
      <c r="AY96" s="781"/>
      <c r="AZ96" s="781"/>
      <c r="BA96" s="781"/>
      <c r="BB96" s="781"/>
      <c r="BC96" s="781"/>
      <c r="BD96" s="781"/>
      <c r="BE96" s="781"/>
      <c r="BF96" s="781"/>
      <c r="BG96" s="781"/>
      <c r="BH96" s="781"/>
      <c r="BI96" s="781"/>
      <c r="BJ96" s="781"/>
      <c r="BK96" s="781"/>
      <c r="BL96" s="781"/>
      <c r="BM96" s="781"/>
      <c r="BN96" s="781"/>
      <c r="BO96" s="781"/>
      <c r="BP96" s="781"/>
      <c r="BQ96" s="781"/>
      <c r="BR96" s="781"/>
      <c r="BS96" s="781"/>
      <c r="BT96" s="781"/>
      <c r="BU96" s="781"/>
    </row>
    <row r="97" spans="39:73" s="166" customFormat="1">
      <c r="AM97" s="781"/>
      <c r="AN97" s="781"/>
      <c r="AO97" s="781"/>
      <c r="AP97" s="781"/>
      <c r="AQ97" s="781"/>
      <c r="AR97" s="781"/>
      <c r="AS97" s="781"/>
      <c r="AT97" s="781"/>
      <c r="AU97" s="781"/>
      <c r="AV97" s="781"/>
      <c r="AW97" s="781"/>
      <c r="AX97" s="781"/>
      <c r="AY97" s="781"/>
      <c r="AZ97" s="781"/>
      <c r="BA97" s="781"/>
      <c r="BB97" s="781"/>
      <c r="BC97" s="781"/>
      <c r="BD97" s="781"/>
      <c r="BE97" s="781"/>
      <c r="BF97" s="781"/>
      <c r="BG97" s="781"/>
      <c r="BH97" s="781"/>
      <c r="BI97" s="781"/>
      <c r="BJ97" s="781"/>
      <c r="BK97" s="781"/>
      <c r="BL97" s="781"/>
      <c r="BM97" s="781"/>
      <c r="BN97" s="781"/>
      <c r="BO97" s="781"/>
      <c r="BP97" s="781"/>
      <c r="BQ97" s="781"/>
      <c r="BR97" s="781"/>
      <c r="BS97" s="781"/>
      <c r="BT97" s="781"/>
      <c r="BU97" s="781"/>
    </row>
    <row r="98" spans="39:73" s="166" customFormat="1">
      <c r="AM98" s="781"/>
      <c r="AN98" s="781"/>
      <c r="AO98" s="781"/>
      <c r="AP98" s="781"/>
      <c r="AQ98" s="781"/>
      <c r="AR98" s="781"/>
      <c r="AS98" s="781"/>
      <c r="AT98" s="781"/>
      <c r="AU98" s="781"/>
      <c r="AV98" s="781"/>
      <c r="AW98" s="781"/>
      <c r="AX98" s="781"/>
      <c r="AY98" s="781"/>
      <c r="AZ98" s="781"/>
      <c r="BA98" s="781"/>
      <c r="BB98" s="781"/>
      <c r="BC98" s="781"/>
      <c r="BD98" s="781"/>
      <c r="BE98" s="781"/>
      <c r="BF98" s="781"/>
      <c r="BG98" s="781"/>
      <c r="BH98" s="781"/>
      <c r="BI98" s="781"/>
      <c r="BJ98" s="781"/>
      <c r="BK98" s="781"/>
      <c r="BL98" s="781"/>
      <c r="BM98" s="781"/>
      <c r="BN98" s="781"/>
      <c r="BO98" s="781"/>
      <c r="BP98" s="781"/>
      <c r="BQ98" s="781"/>
      <c r="BR98" s="781"/>
      <c r="BS98" s="781"/>
      <c r="BT98" s="781"/>
      <c r="BU98" s="781"/>
    </row>
    <row r="99" spans="39:73" s="166" customFormat="1">
      <c r="AM99" s="781"/>
      <c r="AN99" s="781"/>
      <c r="AO99" s="781"/>
      <c r="AP99" s="781"/>
      <c r="AQ99" s="781"/>
      <c r="AR99" s="781"/>
      <c r="AS99" s="781"/>
      <c r="AT99" s="781"/>
      <c r="AU99" s="781"/>
      <c r="AV99" s="781"/>
      <c r="AW99" s="781"/>
      <c r="AX99" s="781"/>
      <c r="AY99" s="781"/>
      <c r="AZ99" s="781"/>
      <c r="BA99" s="781"/>
      <c r="BB99" s="781"/>
      <c r="BC99" s="781"/>
      <c r="BD99" s="781"/>
      <c r="BE99" s="781"/>
      <c r="BF99" s="781"/>
      <c r="BG99" s="781"/>
      <c r="BH99" s="781"/>
      <c r="BI99" s="781"/>
      <c r="BJ99" s="781"/>
      <c r="BK99" s="781"/>
      <c r="BL99" s="781"/>
      <c r="BM99" s="781"/>
      <c r="BN99" s="781"/>
      <c r="BO99" s="781"/>
      <c r="BP99" s="781"/>
      <c r="BQ99" s="781"/>
      <c r="BR99" s="781"/>
      <c r="BS99" s="781"/>
      <c r="BT99" s="781"/>
      <c r="BU99" s="781"/>
    </row>
    <row r="100" spans="39:73" s="166" customFormat="1">
      <c r="AM100" s="781"/>
      <c r="AN100" s="781"/>
      <c r="AO100" s="781"/>
      <c r="AP100" s="781"/>
      <c r="AQ100" s="781"/>
      <c r="AR100" s="781"/>
      <c r="AS100" s="781"/>
      <c r="AT100" s="781"/>
      <c r="AU100" s="781"/>
      <c r="AV100" s="781"/>
      <c r="AW100" s="781"/>
      <c r="AX100" s="781"/>
      <c r="AY100" s="781"/>
      <c r="AZ100" s="781"/>
      <c r="BA100" s="781"/>
      <c r="BB100" s="781"/>
      <c r="BC100" s="781"/>
      <c r="BD100" s="781"/>
      <c r="BE100" s="781"/>
      <c r="BF100" s="781"/>
      <c r="BG100" s="781"/>
      <c r="BH100" s="781"/>
      <c r="BI100" s="781"/>
      <c r="BJ100" s="781"/>
      <c r="BK100" s="781"/>
      <c r="BL100" s="781"/>
      <c r="BM100" s="781"/>
      <c r="BN100" s="781"/>
      <c r="BO100" s="781"/>
      <c r="BP100" s="781"/>
      <c r="BQ100" s="781"/>
      <c r="BR100" s="781"/>
      <c r="BS100" s="781"/>
      <c r="BT100" s="781"/>
      <c r="BU100" s="781"/>
    </row>
    <row r="101" spans="39:73" s="166" customFormat="1">
      <c r="AM101" s="781"/>
      <c r="AN101" s="781"/>
      <c r="AO101" s="781"/>
      <c r="AP101" s="781"/>
      <c r="AQ101" s="781"/>
      <c r="AR101" s="781"/>
      <c r="AS101" s="781"/>
      <c r="AT101" s="781"/>
      <c r="AU101" s="781"/>
      <c r="AV101" s="781"/>
      <c r="AW101" s="781"/>
      <c r="AX101" s="781"/>
      <c r="AY101" s="781"/>
      <c r="AZ101" s="781"/>
      <c r="BA101" s="781"/>
      <c r="BB101" s="781"/>
      <c r="BC101" s="781"/>
      <c r="BD101" s="781"/>
      <c r="BE101" s="781"/>
      <c r="BF101" s="781"/>
      <c r="BG101" s="781"/>
      <c r="BH101" s="781"/>
      <c r="BI101" s="781"/>
      <c r="BJ101" s="781"/>
      <c r="BK101" s="781"/>
      <c r="BL101" s="781"/>
      <c r="BM101" s="781"/>
      <c r="BN101" s="781"/>
      <c r="BO101" s="781"/>
      <c r="BP101" s="781"/>
      <c r="BQ101" s="781"/>
      <c r="BR101" s="781"/>
      <c r="BS101" s="781"/>
      <c r="BT101" s="781"/>
      <c r="BU101" s="781"/>
    </row>
    <row r="102" spans="39:73" s="166" customFormat="1">
      <c r="AM102" s="781"/>
      <c r="AN102" s="781"/>
      <c r="AO102" s="781"/>
      <c r="AP102" s="781"/>
      <c r="AQ102" s="781"/>
      <c r="AR102" s="781"/>
      <c r="AS102" s="781"/>
      <c r="AT102" s="781"/>
      <c r="AU102" s="781"/>
      <c r="AV102" s="781"/>
      <c r="AW102" s="781"/>
      <c r="AX102" s="781"/>
      <c r="AY102" s="781"/>
      <c r="AZ102" s="781"/>
      <c r="BA102" s="781"/>
      <c r="BB102" s="781"/>
      <c r="BC102" s="781"/>
      <c r="BD102" s="781"/>
      <c r="BE102" s="781"/>
      <c r="BF102" s="781"/>
      <c r="BG102" s="781"/>
      <c r="BH102" s="781"/>
      <c r="BI102" s="781"/>
      <c r="BJ102" s="781"/>
      <c r="BK102" s="781"/>
      <c r="BL102" s="781"/>
      <c r="BM102" s="781"/>
      <c r="BN102" s="781"/>
      <c r="BO102" s="781"/>
      <c r="BP102" s="781"/>
      <c r="BQ102" s="781"/>
      <c r="BR102" s="781"/>
      <c r="BS102" s="781"/>
      <c r="BT102" s="781"/>
      <c r="BU102" s="781"/>
    </row>
    <row r="103" spans="39:73" s="166" customFormat="1">
      <c r="AM103" s="781"/>
      <c r="AN103" s="781"/>
      <c r="AO103" s="781"/>
      <c r="AP103" s="781"/>
      <c r="AQ103" s="781"/>
      <c r="AR103" s="781"/>
      <c r="AS103" s="781"/>
      <c r="AT103" s="781"/>
      <c r="AU103" s="781"/>
      <c r="AV103" s="781"/>
      <c r="AW103" s="781"/>
      <c r="AX103" s="781"/>
      <c r="AY103" s="781"/>
      <c r="AZ103" s="781"/>
      <c r="BA103" s="781"/>
      <c r="BB103" s="781"/>
      <c r="BC103" s="781"/>
      <c r="BD103" s="781"/>
      <c r="BE103" s="781"/>
      <c r="BF103" s="781"/>
      <c r="BG103" s="781"/>
      <c r="BH103" s="781"/>
      <c r="BI103" s="781"/>
      <c r="BJ103" s="781"/>
      <c r="BK103" s="781"/>
      <c r="BL103" s="781"/>
      <c r="BM103" s="781"/>
      <c r="BN103" s="781"/>
      <c r="BO103" s="781"/>
      <c r="BP103" s="781"/>
      <c r="BQ103" s="781"/>
      <c r="BR103" s="781"/>
      <c r="BS103" s="781"/>
      <c r="BT103" s="781"/>
      <c r="BU103" s="781"/>
    </row>
    <row r="104" spans="39:73" s="166" customFormat="1">
      <c r="AM104" s="781"/>
      <c r="AN104" s="781"/>
      <c r="AO104" s="781"/>
      <c r="AP104" s="781"/>
      <c r="AQ104" s="781"/>
      <c r="AR104" s="781"/>
      <c r="AS104" s="781"/>
      <c r="AT104" s="781"/>
      <c r="AU104" s="781"/>
      <c r="AV104" s="781"/>
      <c r="AW104" s="781"/>
      <c r="AX104" s="781"/>
      <c r="AY104" s="781"/>
      <c r="AZ104" s="781"/>
      <c r="BA104" s="781"/>
      <c r="BB104" s="781"/>
      <c r="BC104" s="781"/>
      <c r="BD104" s="781"/>
      <c r="BE104" s="781"/>
      <c r="BF104" s="781"/>
      <c r="BG104" s="781"/>
      <c r="BH104" s="781"/>
      <c r="BI104" s="781"/>
      <c r="BJ104" s="781"/>
      <c r="BK104" s="781"/>
      <c r="BL104" s="781"/>
      <c r="BM104" s="781"/>
      <c r="BN104" s="781"/>
      <c r="BO104" s="781"/>
      <c r="BP104" s="781"/>
      <c r="BQ104" s="781"/>
      <c r="BR104" s="781"/>
      <c r="BS104" s="781"/>
      <c r="BT104" s="781"/>
      <c r="BU104" s="781"/>
    </row>
    <row r="105" spans="39:73" s="166" customFormat="1">
      <c r="AM105" s="781"/>
      <c r="AN105" s="781"/>
      <c r="AO105" s="781"/>
      <c r="AP105" s="781"/>
      <c r="AQ105" s="781"/>
      <c r="AR105" s="781"/>
      <c r="AS105" s="781"/>
      <c r="AT105" s="781"/>
      <c r="AU105" s="781"/>
      <c r="AV105" s="781"/>
      <c r="AW105" s="781"/>
      <c r="AX105" s="781"/>
      <c r="AY105" s="781"/>
      <c r="AZ105" s="781"/>
      <c r="BA105" s="781"/>
      <c r="BB105" s="781"/>
      <c r="BC105" s="781"/>
      <c r="BD105" s="781"/>
      <c r="BE105" s="781"/>
      <c r="BF105" s="781"/>
      <c r="BG105" s="781"/>
      <c r="BH105" s="781"/>
      <c r="BI105" s="781"/>
      <c r="BJ105" s="781"/>
      <c r="BK105" s="781"/>
      <c r="BL105" s="781"/>
      <c r="BM105" s="781"/>
      <c r="BN105" s="781"/>
      <c r="BO105" s="781"/>
      <c r="BP105" s="781"/>
      <c r="BQ105" s="781"/>
      <c r="BR105" s="781"/>
      <c r="BS105" s="781"/>
      <c r="BT105" s="781"/>
      <c r="BU105" s="781"/>
    </row>
    <row r="106" spans="39:73" s="166" customFormat="1">
      <c r="AM106" s="781"/>
      <c r="AN106" s="781"/>
      <c r="AO106" s="781"/>
      <c r="AP106" s="781"/>
      <c r="AQ106" s="781"/>
      <c r="AR106" s="781"/>
      <c r="AS106" s="781"/>
      <c r="AT106" s="781"/>
      <c r="AU106" s="781"/>
      <c r="AV106" s="781"/>
      <c r="AW106" s="781"/>
      <c r="AX106" s="781"/>
      <c r="AY106" s="781"/>
      <c r="AZ106" s="781"/>
      <c r="BA106" s="781"/>
      <c r="BB106" s="781"/>
      <c r="BC106" s="781"/>
      <c r="BD106" s="781"/>
      <c r="BE106" s="781"/>
      <c r="BF106" s="781"/>
      <c r="BG106" s="781"/>
      <c r="BH106" s="781"/>
      <c r="BI106" s="781"/>
      <c r="BJ106" s="781"/>
      <c r="BK106" s="781"/>
      <c r="BL106" s="781"/>
      <c r="BM106" s="781"/>
      <c r="BN106" s="781"/>
      <c r="BO106" s="781"/>
      <c r="BP106" s="781"/>
      <c r="BQ106" s="781"/>
      <c r="BR106" s="781"/>
      <c r="BS106" s="781"/>
      <c r="BT106" s="781"/>
      <c r="BU106" s="781"/>
    </row>
    <row r="107" spans="39:73" s="166" customFormat="1">
      <c r="AM107" s="781"/>
      <c r="AN107" s="781"/>
      <c r="AO107" s="781"/>
      <c r="AP107" s="781"/>
      <c r="AQ107" s="781"/>
      <c r="AR107" s="781"/>
      <c r="AS107" s="781"/>
      <c r="AT107" s="781"/>
      <c r="AU107" s="781"/>
      <c r="AV107" s="781"/>
      <c r="AW107" s="781"/>
      <c r="AX107" s="781"/>
      <c r="AY107" s="781"/>
      <c r="AZ107" s="781"/>
      <c r="BA107" s="781"/>
      <c r="BB107" s="781"/>
      <c r="BC107" s="781"/>
      <c r="BD107" s="781"/>
      <c r="BE107" s="781"/>
      <c r="BF107" s="781"/>
      <c r="BG107" s="781"/>
      <c r="BH107" s="781"/>
      <c r="BI107" s="781"/>
      <c r="BJ107" s="781"/>
      <c r="BK107" s="781"/>
      <c r="BL107" s="781"/>
      <c r="BM107" s="781"/>
      <c r="BN107" s="781"/>
      <c r="BO107" s="781"/>
      <c r="BP107" s="781"/>
      <c r="BQ107" s="781"/>
      <c r="BR107" s="781"/>
      <c r="BS107" s="781"/>
      <c r="BT107" s="781"/>
      <c r="BU107" s="781"/>
    </row>
    <row r="108" spans="39:73" s="166" customFormat="1">
      <c r="AM108" s="781"/>
      <c r="AN108" s="781"/>
      <c r="AO108" s="781"/>
      <c r="AP108" s="781"/>
      <c r="AQ108" s="781"/>
      <c r="AR108" s="781"/>
      <c r="AS108" s="781"/>
      <c r="AT108" s="781"/>
      <c r="AU108" s="781"/>
      <c r="AV108" s="781"/>
      <c r="AW108" s="781"/>
      <c r="AX108" s="781"/>
      <c r="AY108" s="781"/>
      <c r="AZ108" s="781"/>
      <c r="BA108" s="781"/>
      <c r="BB108" s="781"/>
      <c r="BC108" s="781"/>
      <c r="BD108" s="781"/>
      <c r="BE108" s="781"/>
      <c r="BF108" s="781"/>
      <c r="BG108" s="781"/>
      <c r="BH108" s="781"/>
      <c r="BI108" s="781"/>
      <c r="BJ108" s="781"/>
      <c r="BK108" s="781"/>
      <c r="BL108" s="781"/>
      <c r="BM108" s="781"/>
      <c r="BN108" s="781"/>
      <c r="BO108" s="781"/>
      <c r="BP108" s="781"/>
      <c r="BQ108" s="781"/>
      <c r="BR108" s="781"/>
      <c r="BS108" s="781"/>
      <c r="BT108" s="781"/>
      <c r="BU108" s="781"/>
    </row>
    <row r="109" spans="39:73" s="166" customFormat="1">
      <c r="AM109" s="781"/>
      <c r="AN109" s="781"/>
      <c r="AO109" s="781"/>
      <c r="AP109" s="781"/>
      <c r="AQ109" s="781"/>
      <c r="AR109" s="781"/>
      <c r="AS109" s="781"/>
      <c r="AT109" s="781"/>
      <c r="AU109" s="781"/>
      <c r="AV109" s="781"/>
      <c r="AW109" s="781"/>
      <c r="AX109" s="781"/>
      <c r="AY109" s="781"/>
      <c r="AZ109" s="781"/>
      <c r="BA109" s="781"/>
      <c r="BB109" s="781"/>
      <c r="BC109" s="781"/>
      <c r="BD109" s="781"/>
      <c r="BE109" s="781"/>
      <c r="BF109" s="781"/>
      <c r="BG109" s="781"/>
      <c r="BH109" s="781"/>
      <c r="BI109" s="781"/>
      <c r="BJ109" s="781"/>
      <c r="BK109" s="781"/>
      <c r="BL109" s="781"/>
      <c r="BM109" s="781"/>
      <c r="BN109" s="781"/>
      <c r="BO109" s="781"/>
      <c r="BP109" s="781"/>
      <c r="BQ109" s="781"/>
      <c r="BR109" s="781"/>
      <c r="BS109" s="781"/>
      <c r="BT109" s="781"/>
      <c r="BU109" s="781"/>
    </row>
    <row r="110" spans="39:73" s="166" customFormat="1">
      <c r="AM110" s="781"/>
      <c r="AN110" s="781"/>
      <c r="AO110" s="781"/>
      <c r="AP110" s="781"/>
      <c r="AQ110" s="781"/>
      <c r="AR110" s="781"/>
      <c r="AS110" s="781"/>
      <c r="AT110" s="781"/>
      <c r="AU110" s="781"/>
      <c r="AV110" s="781"/>
      <c r="AW110" s="781"/>
      <c r="AX110" s="781"/>
      <c r="AY110" s="781"/>
      <c r="AZ110" s="781"/>
      <c r="BA110" s="781"/>
      <c r="BB110" s="781"/>
      <c r="BC110" s="781"/>
      <c r="BD110" s="781"/>
      <c r="BE110" s="781"/>
      <c r="BF110" s="781"/>
      <c r="BG110" s="781"/>
      <c r="BH110" s="781"/>
      <c r="BI110" s="781"/>
      <c r="BJ110" s="781"/>
      <c r="BK110" s="781"/>
      <c r="BL110" s="781"/>
      <c r="BM110" s="781"/>
      <c r="BN110" s="781"/>
      <c r="BO110" s="781"/>
      <c r="BP110" s="781"/>
      <c r="BQ110" s="781"/>
      <c r="BR110" s="781"/>
      <c r="BS110" s="781"/>
      <c r="BT110" s="781"/>
      <c r="BU110" s="781"/>
    </row>
    <row r="111" spans="39:73" s="166" customFormat="1">
      <c r="AM111" s="781"/>
      <c r="AN111" s="781"/>
      <c r="AO111" s="781"/>
      <c r="AP111" s="781"/>
      <c r="AQ111" s="781"/>
      <c r="AR111" s="781"/>
      <c r="AS111" s="781"/>
      <c r="AT111" s="781"/>
      <c r="AU111" s="781"/>
      <c r="AV111" s="781"/>
      <c r="AW111" s="781"/>
      <c r="AX111" s="781"/>
      <c r="AY111" s="781"/>
      <c r="AZ111" s="781"/>
      <c r="BA111" s="781"/>
      <c r="BB111" s="781"/>
      <c r="BC111" s="781"/>
      <c r="BD111" s="781"/>
      <c r="BE111" s="781"/>
      <c r="BF111" s="781"/>
      <c r="BG111" s="781"/>
      <c r="BH111" s="781"/>
      <c r="BI111" s="781"/>
      <c r="BJ111" s="781"/>
      <c r="BK111" s="781"/>
      <c r="BL111" s="781"/>
      <c r="BM111" s="781"/>
      <c r="BN111" s="781"/>
      <c r="BO111" s="781"/>
      <c r="BP111" s="781"/>
      <c r="BQ111" s="781"/>
      <c r="BR111" s="781"/>
      <c r="BS111" s="781"/>
      <c r="BT111" s="781"/>
      <c r="BU111" s="781"/>
    </row>
    <row r="112" spans="39:73" s="166" customFormat="1">
      <c r="AM112" s="781"/>
      <c r="AN112" s="781"/>
      <c r="AO112" s="781"/>
      <c r="AP112" s="781"/>
      <c r="AQ112" s="781"/>
      <c r="AR112" s="781"/>
      <c r="AS112" s="781"/>
      <c r="AT112" s="781"/>
      <c r="AU112" s="781"/>
      <c r="AV112" s="781"/>
      <c r="AW112" s="781"/>
      <c r="AX112" s="781"/>
      <c r="AY112" s="781"/>
      <c r="AZ112" s="781"/>
      <c r="BA112" s="781"/>
      <c r="BB112" s="781"/>
      <c r="BC112" s="781"/>
      <c r="BD112" s="781"/>
      <c r="BE112" s="781"/>
      <c r="BF112" s="781"/>
      <c r="BG112" s="781"/>
      <c r="BH112" s="781"/>
      <c r="BI112" s="781"/>
      <c r="BJ112" s="781"/>
      <c r="BK112" s="781"/>
      <c r="BL112" s="781"/>
      <c r="BM112" s="781"/>
      <c r="BN112" s="781"/>
      <c r="BO112" s="781"/>
      <c r="BP112" s="781"/>
      <c r="BQ112" s="781"/>
      <c r="BR112" s="781"/>
      <c r="BS112" s="781"/>
      <c r="BT112" s="781"/>
      <c r="BU112" s="781"/>
    </row>
    <row r="113" spans="39:73" s="166" customFormat="1">
      <c r="AM113" s="781"/>
      <c r="AN113" s="781"/>
      <c r="AO113" s="781"/>
      <c r="AP113" s="781"/>
      <c r="AQ113" s="781"/>
      <c r="AR113" s="781"/>
      <c r="AS113" s="781"/>
      <c r="AT113" s="781"/>
      <c r="AU113" s="781"/>
      <c r="AV113" s="781"/>
      <c r="AW113" s="781"/>
      <c r="AX113" s="781"/>
      <c r="AY113" s="781"/>
      <c r="AZ113" s="781"/>
      <c r="BA113" s="781"/>
      <c r="BB113" s="781"/>
      <c r="BC113" s="781"/>
      <c r="BD113" s="781"/>
      <c r="BE113" s="781"/>
      <c r="BF113" s="781"/>
      <c r="BG113" s="781"/>
      <c r="BH113" s="781"/>
      <c r="BI113" s="781"/>
      <c r="BJ113" s="781"/>
      <c r="BK113" s="781"/>
      <c r="BL113" s="781"/>
      <c r="BM113" s="781"/>
      <c r="BN113" s="781"/>
      <c r="BO113" s="781"/>
      <c r="BP113" s="781"/>
      <c r="BQ113" s="781"/>
      <c r="BR113" s="781"/>
      <c r="BS113" s="781"/>
      <c r="BT113" s="781"/>
      <c r="BU113" s="781"/>
    </row>
    <row r="114" spans="39:73" s="166" customFormat="1">
      <c r="AM114" s="781"/>
      <c r="AN114" s="781"/>
      <c r="AO114" s="781"/>
      <c r="AP114" s="781"/>
      <c r="AQ114" s="781"/>
      <c r="AR114" s="781"/>
      <c r="AS114" s="781"/>
      <c r="AT114" s="781"/>
      <c r="AU114" s="781"/>
      <c r="AV114" s="781"/>
      <c r="AW114" s="781"/>
      <c r="AX114" s="781"/>
      <c r="AY114" s="781"/>
      <c r="AZ114" s="781"/>
      <c r="BA114" s="781"/>
      <c r="BB114" s="781"/>
      <c r="BC114" s="781"/>
      <c r="BD114" s="781"/>
      <c r="BE114" s="781"/>
      <c r="BF114" s="781"/>
      <c r="BG114" s="781"/>
      <c r="BH114" s="781"/>
      <c r="BI114" s="781"/>
      <c r="BJ114" s="781"/>
      <c r="BK114" s="781"/>
      <c r="BL114" s="781"/>
      <c r="BM114" s="781"/>
      <c r="BN114" s="781"/>
      <c r="BO114" s="781"/>
      <c r="BP114" s="781"/>
      <c r="BQ114" s="781"/>
      <c r="BR114" s="781"/>
      <c r="BS114" s="781"/>
      <c r="BT114" s="781"/>
      <c r="BU114" s="781"/>
    </row>
    <row r="115" spans="39:73" s="166" customFormat="1">
      <c r="AM115" s="781"/>
      <c r="AN115" s="781"/>
      <c r="AO115" s="781"/>
      <c r="AP115" s="781"/>
      <c r="AQ115" s="781"/>
      <c r="AR115" s="781"/>
      <c r="AS115" s="781"/>
      <c r="AT115" s="781"/>
      <c r="AU115" s="781"/>
      <c r="AV115" s="781"/>
      <c r="AW115" s="781"/>
      <c r="AX115" s="781"/>
      <c r="AY115" s="781"/>
      <c r="AZ115" s="781"/>
      <c r="BA115" s="781"/>
      <c r="BB115" s="781"/>
      <c r="BC115" s="781"/>
      <c r="BD115" s="781"/>
      <c r="BE115" s="781"/>
      <c r="BF115" s="781"/>
      <c r="BG115" s="781"/>
      <c r="BH115" s="781"/>
      <c r="BI115" s="781"/>
      <c r="BJ115" s="781"/>
      <c r="BK115" s="781"/>
      <c r="BL115" s="781"/>
      <c r="BM115" s="781"/>
      <c r="BN115" s="781"/>
      <c r="BO115" s="781"/>
      <c r="BP115" s="781"/>
      <c r="BQ115" s="781"/>
      <c r="BR115" s="781"/>
      <c r="BS115" s="781"/>
      <c r="BT115" s="781"/>
      <c r="BU115" s="781"/>
    </row>
    <row r="116" spans="39:73" s="166" customFormat="1">
      <c r="AM116" s="781"/>
      <c r="AN116" s="781"/>
      <c r="AO116" s="781"/>
      <c r="AP116" s="781"/>
      <c r="AQ116" s="781"/>
      <c r="AR116" s="781"/>
      <c r="AS116" s="781"/>
      <c r="AT116" s="781"/>
      <c r="AU116" s="781"/>
      <c r="AV116" s="781"/>
      <c r="AW116" s="781"/>
      <c r="AX116" s="781"/>
      <c r="AY116" s="781"/>
      <c r="AZ116" s="781"/>
      <c r="BA116" s="781"/>
      <c r="BB116" s="781"/>
      <c r="BC116" s="781"/>
      <c r="BD116" s="781"/>
      <c r="BE116" s="781"/>
      <c r="BF116" s="781"/>
      <c r="BG116" s="781"/>
      <c r="BH116" s="781"/>
      <c r="BI116" s="781"/>
      <c r="BJ116" s="781"/>
      <c r="BK116" s="781"/>
      <c r="BL116" s="781"/>
      <c r="BM116" s="781"/>
      <c r="BN116" s="781"/>
      <c r="BO116" s="781"/>
      <c r="BP116" s="781"/>
      <c r="BQ116" s="781"/>
      <c r="BR116" s="781"/>
      <c r="BS116" s="781"/>
      <c r="BT116" s="781"/>
      <c r="BU116" s="781"/>
    </row>
    <row r="117" spans="39:73" s="166" customFormat="1">
      <c r="AM117" s="781"/>
      <c r="AN117" s="781"/>
      <c r="AO117" s="781"/>
      <c r="AP117" s="781"/>
      <c r="AQ117" s="781"/>
      <c r="AR117" s="781"/>
      <c r="AS117" s="781"/>
      <c r="AT117" s="781"/>
      <c r="AU117" s="781"/>
      <c r="AV117" s="781"/>
      <c r="AW117" s="781"/>
      <c r="AX117" s="781"/>
      <c r="AY117" s="781"/>
      <c r="AZ117" s="781"/>
      <c r="BA117" s="781"/>
      <c r="BB117" s="781"/>
      <c r="BC117" s="781"/>
      <c r="BD117" s="781"/>
      <c r="BE117" s="781"/>
      <c r="BF117" s="781"/>
      <c r="BG117" s="781"/>
      <c r="BH117" s="781"/>
      <c r="BI117" s="781"/>
      <c r="BJ117" s="781"/>
      <c r="BK117" s="781"/>
      <c r="BL117" s="781"/>
      <c r="BM117" s="781"/>
      <c r="BN117" s="781"/>
      <c r="BO117" s="781"/>
      <c r="BP117" s="781"/>
      <c r="BQ117" s="781"/>
      <c r="BR117" s="781"/>
      <c r="BS117" s="781"/>
      <c r="BT117" s="781"/>
      <c r="BU117" s="781"/>
    </row>
    <row r="118" spans="39:73" s="166" customFormat="1">
      <c r="AM118" s="781"/>
      <c r="AN118" s="781"/>
      <c r="AO118" s="781"/>
      <c r="AP118" s="781"/>
      <c r="AQ118" s="781"/>
      <c r="AR118" s="781"/>
      <c r="AS118" s="781"/>
      <c r="AT118" s="781"/>
      <c r="AU118" s="781"/>
      <c r="AV118" s="781"/>
      <c r="AW118" s="781"/>
      <c r="AX118" s="781"/>
      <c r="AY118" s="781"/>
      <c r="AZ118" s="781"/>
      <c r="BA118" s="781"/>
      <c r="BB118" s="781"/>
      <c r="BC118" s="781"/>
      <c r="BD118" s="781"/>
      <c r="BE118" s="781"/>
      <c r="BF118" s="781"/>
      <c r="BG118" s="781"/>
      <c r="BH118" s="781"/>
      <c r="BI118" s="781"/>
      <c r="BJ118" s="781"/>
      <c r="BK118" s="781"/>
      <c r="BL118" s="781"/>
      <c r="BM118" s="781"/>
      <c r="BN118" s="781"/>
      <c r="BO118" s="781"/>
      <c r="BP118" s="781"/>
      <c r="BQ118" s="781"/>
      <c r="BR118" s="781"/>
      <c r="BS118" s="781"/>
      <c r="BT118" s="781"/>
      <c r="BU118" s="781"/>
    </row>
    <row r="119" spans="39:73" s="166" customFormat="1">
      <c r="AM119" s="781"/>
      <c r="AN119" s="781"/>
      <c r="AO119" s="781"/>
      <c r="AP119" s="781"/>
      <c r="AQ119" s="781"/>
      <c r="AR119" s="781"/>
      <c r="AS119" s="781"/>
      <c r="AT119" s="781"/>
      <c r="AU119" s="781"/>
      <c r="AV119" s="781"/>
      <c r="AW119" s="781"/>
      <c r="AX119" s="781"/>
      <c r="AY119" s="781"/>
      <c r="AZ119" s="781"/>
      <c r="BA119" s="781"/>
      <c r="BB119" s="781"/>
      <c r="BC119" s="781"/>
      <c r="BD119" s="781"/>
      <c r="BE119" s="781"/>
      <c r="BF119" s="781"/>
      <c r="BG119" s="781"/>
      <c r="BH119" s="781"/>
      <c r="BI119" s="781"/>
      <c r="BJ119" s="781"/>
      <c r="BK119" s="781"/>
      <c r="BL119" s="781"/>
      <c r="BM119" s="781"/>
      <c r="BN119" s="781"/>
      <c r="BO119" s="781"/>
      <c r="BP119" s="781"/>
      <c r="BQ119" s="781"/>
      <c r="BR119" s="781"/>
      <c r="BS119" s="781"/>
      <c r="BT119" s="781"/>
      <c r="BU119" s="781"/>
    </row>
    <row r="120" spans="39:73" s="166" customFormat="1">
      <c r="AM120" s="781"/>
      <c r="AN120" s="781"/>
      <c r="AO120" s="781"/>
      <c r="AP120" s="781"/>
      <c r="AQ120" s="781"/>
      <c r="AR120" s="781"/>
      <c r="AS120" s="781"/>
      <c r="AT120" s="781"/>
      <c r="AU120" s="781"/>
      <c r="AV120" s="781"/>
      <c r="AW120" s="781"/>
      <c r="AX120" s="781"/>
      <c r="AY120" s="781"/>
      <c r="AZ120" s="781"/>
      <c r="BA120" s="781"/>
      <c r="BB120" s="781"/>
      <c r="BC120" s="781"/>
      <c r="BD120" s="781"/>
      <c r="BE120" s="781"/>
      <c r="BF120" s="781"/>
      <c r="BG120" s="781"/>
      <c r="BH120" s="781"/>
      <c r="BI120" s="781"/>
      <c r="BJ120" s="781"/>
      <c r="BK120" s="781"/>
      <c r="BL120" s="781"/>
      <c r="BM120" s="781"/>
      <c r="BN120" s="781"/>
      <c r="BO120" s="781"/>
      <c r="BP120" s="781"/>
      <c r="BQ120" s="781"/>
      <c r="BR120" s="781"/>
      <c r="BS120" s="781"/>
      <c r="BT120" s="781"/>
      <c r="BU120" s="781"/>
    </row>
    <row r="121" spans="39:73" s="166" customFormat="1">
      <c r="AM121" s="781"/>
      <c r="AN121" s="781"/>
      <c r="AO121" s="781"/>
      <c r="AP121" s="781"/>
      <c r="AQ121" s="781"/>
      <c r="AR121" s="781"/>
      <c r="AS121" s="781"/>
      <c r="AT121" s="781"/>
      <c r="AU121" s="781"/>
      <c r="AV121" s="781"/>
      <c r="AW121" s="781"/>
      <c r="AX121" s="781"/>
      <c r="AY121" s="781"/>
      <c r="AZ121" s="781"/>
      <c r="BA121" s="781"/>
      <c r="BB121" s="781"/>
      <c r="BC121" s="781"/>
      <c r="BD121" s="781"/>
      <c r="BE121" s="781"/>
      <c r="BF121" s="781"/>
      <c r="BG121" s="781"/>
      <c r="BH121" s="781"/>
      <c r="BI121" s="781"/>
      <c r="BJ121" s="781"/>
      <c r="BK121" s="781"/>
      <c r="BL121" s="781"/>
      <c r="BM121" s="781"/>
      <c r="BN121" s="781"/>
      <c r="BO121" s="781"/>
      <c r="BP121" s="781"/>
      <c r="BQ121" s="781"/>
      <c r="BR121" s="781"/>
      <c r="BS121" s="781"/>
      <c r="BT121" s="781"/>
      <c r="BU121" s="781"/>
    </row>
    <row r="122" spans="39:73" s="166" customFormat="1">
      <c r="AM122" s="781"/>
      <c r="AN122" s="781"/>
      <c r="AO122" s="781"/>
      <c r="AP122" s="781"/>
      <c r="AQ122" s="781"/>
      <c r="AR122" s="781"/>
      <c r="AS122" s="781"/>
      <c r="AT122" s="781"/>
      <c r="AU122" s="781"/>
      <c r="AV122" s="781"/>
      <c r="AW122" s="781"/>
      <c r="AX122" s="781"/>
      <c r="AY122" s="781"/>
      <c r="AZ122" s="781"/>
      <c r="BA122" s="781"/>
      <c r="BB122" s="781"/>
      <c r="BC122" s="781"/>
      <c r="BD122" s="781"/>
      <c r="BE122" s="781"/>
      <c r="BF122" s="781"/>
      <c r="BG122" s="781"/>
      <c r="BH122" s="781"/>
      <c r="BI122" s="781"/>
      <c r="BJ122" s="781"/>
      <c r="BK122" s="781"/>
      <c r="BL122" s="781"/>
      <c r="BM122" s="781"/>
      <c r="BN122" s="781"/>
      <c r="BO122" s="781"/>
      <c r="BP122" s="781"/>
      <c r="BQ122" s="781"/>
      <c r="BR122" s="781"/>
      <c r="BS122" s="781"/>
      <c r="BT122" s="781"/>
      <c r="BU122" s="781"/>
    </row>
    <row r="123" spans="39:73" s="166" customFormat="1">
      <c r="AM123" s="781"/>
      <c r="AN123" s="781"/>
      <c r="AO123" s="781"/>
      <c r="AP123" s="781"/>
      <c r="AQ123" s="781"/>
      <c r="AR123" s="781"/>
      <c r="AS123" s="781"/>
      <c r="AT123" s="781"/>
      <c r="AU123" s="781"/>
      <c r="AV123" s="781"/>
      <c r="AW123" s="781"/>
      <c r="AX123" s="781"/>
      <c r="AY123" s="781"/>
      <c r="AZ123" s="781"/>
      <c r="BA123" s="781"/>
      <c r="BB123" s="781"/>
      <c r="BC123" s="781"/>
      <c r="BD123" s="781"/>
      <c r="BE123" s="781"/>
      <c r="BF123" s="781"/>
      <c r="BG123" s="781"/>
      <c r="BH123" s="781"/>
      <c r="BI123" s="781"/>
      <c r="BJ123" s="781"/>
      <c r="BK123" s="781"/>
      <c r="BL123" s="781"/>
      <c r="BM123" s="781"/>
      <c r="BN123" s="781"/>
      <c r="BO123" s="781"/>
      <c r="BP123" s="781"/>
      <c r="BQ123" s="781"/>
      <c r="BR123" s="781"/>
      <c r="BS123" s="781"/>
      <c r="BT123" s="781"/>
      <c r="BU123" s="781"/>
    </row>
    <row r="124" spans="39:73" s="166" customFormat="1">
      <c r="AM124" s="781"/>
      <c r="AN124" s="781"/>
      <c r="AO124" s="781"/>
      <c r="AP124" s="781"/>
      <c r="AQ124" s="781"/>
      <c r="AR124" s="781"/>
      <c r="AS124" s="781"/>
      <c r="AT124" s="781"/>
      <c r="AU124" s="781"/>
      <c r="AV124" s="781"/>
      <c r="AW124" s="781"/>
      <c r="AX124" s="781"/>
      <c r="AY124" s="781"/>
      <c r="AZ124" s="781"/>
      <c r="BA124" s="781"/>
      <c r="BB124" s="781"/>
      <c r="BC124" s="781"/>
      <c r="BD124" s="781"/>
      <c r="BE124" s="781"/>
      <c r="BF124" s="781"/>
      <c r="BG124" s="781"/>
      <c r="BH124" s="781"/>
      <c r="BI124" s="781"/>
      <c r="BJ124" s="781"/>
      <c r="BK124" s="781"/>
      <c r="BL124" s="781"/>
      <c r="BM124" s="781"/>
      <c r="BN124" s="781"/>
      <c r="BO124" s="781"/>
      <c r="BP124" s="781"/>
      <c r="BQ124" s="781"/>
      <c r="BR124" s="781"/>
      <c r="BS124" s="781"/>
      <c r="BT124" s="781"/>
      <c r="BU124" s="781"/>
    </row>
    <row r="125" spans="39:73" s="166" customFormat="1">
      <c r="AM125" s="781"/>
      <c r="AN125" s="781"/>
      <c r="AO125" s="781"/>
      <c r="AP125" s="781"/>
      <c r="AQ125" s="781"/>
      <c r="AR125" s="781"/>
      <c r="AS125" s="781"/>
      <c r="AT125" s="781"/>
      <c r="AU125" s="781"/>
      <c r="AV125" s="781"/>
      <c r="AW125" s="781"/>
      <c r="AX125" s="781"/>
      <c r="AY125" s="781"/>
      <c r="AZ125" s="781"/>
      <c r="BA125" s="781"/>
      <c r="BB125" s="781"/>
      <c r="BC125" s="781"/>
      <c r="BD125" s="781"/>
      <c r="BE125" s="781"/>
      <c r="BF125" s="781"/>
      <c r="BG125" s="781"/>
      <c r="BH125" s="781"/>
      <c r="BI125" s="781"/>
      <c r="BJ125" s="781"/>
      <c r="BK125" s="781"/>
      <c r="BL125" s="781"/>
      <c r="BM125" s="781"/>
      <c r="BN125" s="781"/>
      <c r="BO125" s="781"/>
      <c r="BP125" s="781"/>
      <c r="BQ125" s="781"/>
      <c r="BR125" s="781"/>
      <c r="BS125" s="781"/>
      <c r="BT125" s="781"/>
      <c r="BU125" s="781"/>
    </row>
    <row r="126" spans="39:73" s="166" customFormat="1">
      <c r="AM126" s="781"/>
      <c r="AN126" s="781"/>
      <c r="AO126" s="781"/>
      <c r="AP126" s="781"/>
      <c r="AQ126" s="781"/>
      <c r="AR126" s="781"/>
      <c r="AS126" s="781"/>
      <c r="AT126" s="781"/>
      <c r="AU126" s="781"/>
      <c r="AV126" s="781"/>
      <c r="AW126" s="781"/>
      <c r="AX126" s="781"/>
      <c r="AY126" s="781"/>
      <c r="AZ126" s="781"/>
      <c r="BA126" s="781"/>
      <c r="BB126" s="781"/>
      <c r="BC126" s="781"/>
      <c r="BD126" s="781"/>
      <c r="BE126" s="781"/>
      <c r="BF126" s="781"/>
      <c r="BG126" s="781"/>
      <c r="BH126" s="781"/>
      <c r="BI126" s="781"/>
      <c r="BJ126" s="781"/>
      <c r="BK126" s="781"/>
      <c r="BL126" s="781"/>
      <c r="BM126" s="781"/>
      <c r="BN126" s="781"/>
      <c r="BO126" s="781"/>
      <c r="BP126" s="781"/>
      <c r="BQ126" s="781"/>
      <c r="BR126" s="781"/>
      <c r="BS126" s="781"/>
      <c r="BT126" s="781"/>
      <c r="BU126" s="781"/>
    </row>
    <row r="127" spans="39:73" s="166" customFormat="1">
      <c r="AM127" s="781"/>
      <c r="AN127" s="781"/>
      <c r="AO127" s="781"/>
      <c r="AP127" s="781"/>
      <c r="AQ127" s="781"/>
      <c r="AR127" s="781"/>
      <c r="AS127" s="781"/>
      <c r="AT127" s="781"/>
      <c r="AU127" s="781"/>
      <c r="AV127" s="781"/>
      <c r="AW127" s="781"/>
      <c r="AX127" s="781"/>
      <c r="AY127" s="781"/>
      <c r="AZ127" s="781"/>
      <c r="BA127" s="781"/>
      <c r="BB127" s="781"/>
      <c r="BC127" s="781"/>
      <c r="BD127" s="781"/>
      <c r="BE127" s="781"/>
      <c r="BF127" s="781"/>
      <c r="BG127" s="781"/>
      <c r="BH127" s="781"/>
      <c r="BI127" s="781"/>
      <c r="BJ127" s="781"/>
      <c r="BK127" s="781"/>
      <c r="BL127" s="781"/>
      <c r="BM127" s="781"/>
      <c r="BN127" s="781"/>
      <c r="BO127" s="781"/>
      <c r="BP127" s="781"/>
      <c r="BQ127" s="781"/>
      <c r="BR127" s="781"/>
      <c r="BS127" s="781"/>
      <c r="BT127" s="781"/>
      <c r="BU127" s="781"/>
    </row>
    <row r="128" spans="39:73" s="166" customFormat="1">
      <c r="AM128" s="781"/>
      <c r="AN128" s="781"/>
      <c r="AO128" s="781"/>
      <c r="AP128" s="781"/>
      <c r="AQ128" s="781"/>
      <c r="AR128" s="781"/>
      <c r="AS128" s="781"/>
      <c r="AT128" s="781"/>
      <c r="AU128" s="781"/>
      <c r="AV128" s="781"/>
      <c r="AW128" s="781"/>
      <c r="AX128" s="781"/>
      <c r="AY128" s="781"/>
      <c r="AZ128" s="781"/>
      <c r="BA128" s="781"/>
      <c r="BB128" s="781"/>
      <c r="BC128" s="781"/>
      <c r="BD128" s="781"/>
      <c r="BE128" s="781"/>
      <c r="BF128" s="781"/>
      <c r="BG128" s="781"/>
      <c r="BH128" s="781"/>
      <c r="BI128" s="781"/>
      <c r="BJ128" s="781"/>
      <c r="BK128" s="781"/>
      <c r="BL128" s="781"/>
      <c r="BM128" s="781"/>
      <c r="BN128" s="781"/>
      <c r="BO128" s="781"/>
      <c r="BP128" s="781"/>
      <c r="BQ128" s="781"/>
      <c r="BR128" s="781"/>
      <c r="BS128" s="781"/>
      <c r="BT128" s="781"/>
      <c r="BU128" s="781"/>
    </row>
    <row r="129" spans="39:73" s="166" customFormat="1">
      <c r="AM129" s="781"/>
      <c r="AN129" s="781"/>
      <c r="AO129" s="781"/>
      <c r="AP129" s="781"/>
      <c r="AQ129" s="781"/>
      <c r="AR129" s="781"/>
      <c r="AS129" s="781"/>
      <c r="AT129" s="781"/>
      <c r="AU129" s="781"/>
      <c r="AV129" s="781"/>
      <c r="AW129" s="781"/>
      <c r="AX129" s="781"/>
      <c r="AY129" s="781"/>
      <c r="AZ129" s="781"/>
      <c r="BA129" s="781"/>
      <c r="BB129" s="781"/>
      <c r="BC129" s="781"/>
      <c r="BD129" s="781"/>
      <c r="BE129" s="781"/>
      <c r="BF129" s="781"/>
      <c r="BG129" s="781"/>
      <c r="BH129" s="781"/>
      <c r="BI129" s="781"/>
      <c r="BJ129" s="781"/>
      <c r="BK129" s="781"/>
      <c r="BL129" s="781"/>
      <c r="BM129" s="781"/>
      <c r="BN129" s="781"/>
      <c r="BO129" s="781"/>
      <c r="BP129" s="781"/>
      <c r="BQ129" s="781"/>
      <c r="BR129" s="781"/>
      <c r="BS129" s="781"/>
      <c r="BT129" s="781"/>
      <c r="BU129" s="781"/>
    </row>
    <row r="130" spans="39:73" s="166" customFormat="1">
      <c r="AM130" s="781"/>
      <c r="AN130" s="781"/>
      <c r="AO130" s="781"/>
      <c r="AP130" s="781"/>
      <c r="AQ130" s="781"/>
      <c r="AR130" s="781"/>
      <c r="AS130" s="781"/>
      <c r="AT130" s="781"/>
      <c r="AU130" s="781"/>
      <c r="AV130" s="781"/>
      <c r="AW130" s="781"/>
      <c r="AX130" s="781"/>
      <c r="AY130" s="781"/>
      <c r="AZ130" s="781"/>
      <c r="BA130" s="781"/>
      <c r="BB130" s="781"/>
      <c r="BC130" s="781"/>
      <c r="BD130" s="781"/>
      <c r="BE130" s="781"/>
      <c r="BF130" s="781"/>
      <c r="BG130" s="781"/>
      <c r="BH130" s="781"/>
      <c r="BI130" s="781"/>
      <c r="BJ130" s="781"/>
      <c r="BK130" s="781"/>
      <c r="BL130" s="781"/>
      <c r="BM130" s="781"/>
      <c r="BN130" s="781"/>
      <c r="BO130" s="781"/>
      <c r="BP130" s="781"/>
      <c r="BQ130" s="781"/>
      <c r="BR130" s="781"/>
      <c r="BS130" s="781"/>
      <c r="BT130" s="781"/>
      <c r="BU130" s="781"/>
    </row>
    <row r="131" spans="39:73" s="166" customFormat="1">
      <c r="AM131" s="781"/>
      <c r="AN131" s="781"/>
      <c r="AO131" s="781"/>
      <c r="AP131" s="781"/>
      <c r="AQ131" s="781"/>
      <c r="AR131" s="781"/>
      <c r="AS131" s="781"/>
      <c r="AT131" s="781"/>
      <c r="AU131" s="781"/>
      <c r="AV131" s="781"/>
      <c r="AW131" s="781"/>
      <c r="AX131" s="781"/>
      <c r="AY131" s="781"/>
      <c r="AZ131" s="781"/>
      <c r="BA131" s="781"/>
      <c r="BB131" s="781"/>
      <c r="BC131" s="781"/>
      <c r="BD131" s="781"/>
      <c r="BE131" s="781"/>
      <c r="BF131" s="781"/>
      <c r="BG131" s="781"/>
      <c r="BH131" s="781"/>
      <c r="BI131" s="781"/>
      <c r="BJ131" s="781"/>
      <c r="BK131" s="781"/>
      <c r="BL131" s="781"/>
      <c r="BM131" s="781"/>
      <c r="BN131" s="781"/>
      <c r="BO131" s="781"/>
      <c r="BP131" s="781"/>
      <c r="BQ131" s="781"/>
      <c r="BR131" s="781"/>
      <c r="BS131" s="781"/>
      <c r="BT131" s="781"/>
      <c r="BU131" s="781"/>
    </row>
    <row r="132" spans="39:73" s="166" customFormat="1">
      <c r="AM132" s="781"/>
      <c r="AN132" s="781"/>
      <c r="AO132" s="781"/>
      <c r="AP132" s="781"/>
      <c r="AQ132" s="781"/>
      <c r="AR132" s="781"/>
      <c r="AS132" s="781"/>
      <c r="AT132" s="781"/>
      <c r="AU132" s="781"/>
      <c r="AV132" s="781"/>
      <c r="AW132" s="781"/>
      <c r="AX132" s="781"/>
      <c r="AY132" s="781"/>
      <c r="AZ132" s="781"/>
      <c r="BA132" s="781"/>
      <c r="BB132" s="781"/>
      <c r="BC132" s="781"/>
      <c r="BD132" s="781"/>
      <c r="BE132" s="781"/>
      <c r="BF132" s="781"/>
      <c r="BG132" s="781"/>
      <c r="BH132" s="781"/>
      <c r="BI132" s="781"/>
      <c r="BJ132" s="781"/>
      <c r="BK132" s="781"/>
      <c r="BL132" s="781"/>
      <c r="BM132" s="781"/>
      <c r="BN132" s="781"/>
      <c r="BO132" s="781"/>
      <c r="BP132" s="781"/>
      <c r="BQ132" s="781"/>
      <c r="BR132" s="781"/>
      <c r="BS132" s="781"/>
      <c r="BT132" s="781"/>
      <c r="BU132" s="781"/>
    </row>
    <row r="133" spans="39:73" s="166" customFormat="1">
      <c r="AM133" s="781"/>
      <c r="AN133" s="781"/>
      <c r="AO133" s="781"/>
      <c r="AP133" s="781"/>
      <c r="AQ133" s="781"/>
      <c r="AR133" s="781"/>
      <c r="AS133" s="781"/>
      <c r="AT133" s="781"/>
      <c r="AU133" s="781"/>
      <c r="AV133" s="781"/>
      <c r="AW133" s="781"/>
      <c r="AX133" s="781"/>
      <c r="AY133" s="781"/>
      <c r="AZ133" s="781"/>
      <c r="BA133" s="781"/>
      <c r="BB133" s="781"/>
      <c r="BC133" s="781"/>
      <c r="BD133" s="781"/>
      <c r="BE133" s="781"/>
      <c r="BF133" s="781"/>
      <c r="BG133" s="781"/>
      <c r="BH133" s="781"/>
      <c r="BI133" s="781"/>
      <c r="BJ133" s="781"/>
      <c r="BK133" s="781"/>
      <c r="BL133" s="781"/>
      <c r="BM133" s="781"/>
      <c r="BN133" s="781"/>
      <c r="BO133" s="781"/>
      <c r="BP133" s="781"/>
      <c r="BQ133" s="781"/>
      <c r="BR133" s="781"/>
      <c r="BS133" s="781"/>
      <c r="BT133" s="781"/>
      <c r="BU133" s="781"/>
    </row>
    <row r="134" spans="39:73" s="166" customFormat="1">
      <c r="AM134" s="781"/>
      <c r="AN134" s="781"/>
      <c r="AO134" s="781"/>
      <c r="AP134" s="781"/>
      <c r="AQ134" s="781"/>
      <c r="AR134" s="781"/>
      <c r="AS134" s="781"/>
      <c r="AT134" s="781"/>
      <c r="AU134" s="781"/>
      <c r="AV134" s="781"/>
      <c r="AW134" s="781"/>
      <c r="AX134" s="781"/>
      <c r="AY134" s="781"/>
      <c r="AZ134" s="781"/>
      <c r="BA134" s="781"/>
      <c r="BB134" s="781"/>
      <c r="BC134" s="781"/>
      <c r="BD134" s="781"/>
      <c r="BE134" s="781"/>
      <c r="BF134" s="781"/>
      <c r="BG134" s="781"/>
      <c r="BH134" s="781"/>
      <c r="BI134" s="781"/>
      <c r="BJ134" s="781"/>
      <c r="BK134" s="781"/>
      <c r="BL134" s="781"/>
      <c r="BM134" s="781"/>
      <c r="BN134" s="781"/>
      <c r="BO134" s="781"/>
      <c r="BP134" s="781"/>
      <c r="BQ134" s="781"/>
      <c r="BR134" s="781"/>
      <c r="BS134" s="781"/>
      <c r="BT134" s="781"/>
      <c r="BU134" s="781"/>
    </row>
    <row r="135" spans="39:73" s="166" customFormat="1">
      <c r="AM135" s="781"/>
      <c r="AN135" s="781"/>
      <c r="AO135" s="781"/>
      <c r="AP135" s="781"/>
      <c r="AQ135" s="781"/>
      <c r="AR135" s="781"/>
      <c r="AS135" s="781"/>
      <c r="AT135" s="781"/>
      <c r="AU135" s="781"/>
      <c r="AV135" s="781"/>
      <c r="AW135" s="781"/>
      <c r="AX135" s="781"/>
      <c r="AY135" s="781"/>
      <c r="AZ135" s="781"/>
      <c r="BA135" s="781"/>
      <c r="BB135" s="781"/>
      <c r="BC135" s="781"/>
      <c r="BD135" s="781"/>
      <c r="BE135" s="781"/>
      <c r="BF135" s="781"/>
      <c r="BG135" s="781"/>
      <c r="BH135" s="781"/>
      <c r="BI135" s="781"/>
      <c r="BJ135" s="781"/>
      <c r="BK135" s="781"/>
      <c r="BL135" s="781"/>
      <c r="BM135" s="781"/>
      <c r="BN135" s="781"/>
      <c r="BO135" s="781"/>
      <c r="BP135" s="781"/>
      <c r="BQ135" s="781"/>
      <c r="BR135" s="781"/>
      <c r="BS135" s="781"/>
      <c r="BT135" s="781"/>
      <c r="BU135" s="781"/>
    </row>
    <row r="136" spans="39:73" s="166" customFormat="1">
      <c r="AM136" s="781"/>
      <c r="AN136" s="781"/>
      <c r="AO136" s="781"/>
      <c r="AP136" s="781"/>
      <c r="AQ136" s="781"/>
      <c r="AR136" s="781"/>
      <c r="AS136" s="781"/>
      <c r="AT136" s="781"/>
      <c r="AU136" s="781"/>
      <c r="AV136" s="781"/>
      <c r="AW136" s="781"/>
      <c r="AX136" s="781"/>
      <c r="AY136" s="781"/>
      <c r="AZ136" s="781"/>
      <c r="BA136" s="781"/>
      <c r="BB136" s="781"/>
      <c r="BC136" s="781"/>
      <c r="BD136" s="781"/>
      <c r="BE136" s="781"/>
      <c r="BF136" s="781"/>
      <c r="BG136" s="781"/>
      <c r="BH136" s="781"/>
      <c r="BI136" s="781"/>
      <c r="BJ136" s="781"/>
      <c r="BK136" s="781"/>
      <c r="BL136" s="781"/>
      <c r="BM136" s="781"/>
      <c r="BN136" s="781"/>
      <c r="BO136" s="781"/>
      <c r="BP136" s="781"/>
      <c r="BQ136" s="781"/>
      <c r="BR136" s="781"/>
      <c r="BS136" s="781"/>
      <c r="BT136" s="781"/>
      <c r="BU136" s="781"/>
    </row>
    <row r="137" spans="39:73" s="166" customFormat="1">
      <c r="AM137" s="781"/>
      <c r="AN137" s="781"/>
      <c r="AO137" s="781"/>
      <c r="AP137" s="781"/>
      <c r="AQ137" s="781"/>
      <c r="AR137" s="781"/>
      <c r="AS137" s="781"/>
      <c r="AT137" s="781"/>
      <c r="AU137" s="781"/>
      <c r="AV137" s="781"/>
      <c r="AW137" s="781"/>
      <c r="AX137" s="781"/>
      <c r="AY137" s="781"/>
      <c r="AZ137" s="781"/>
      <c r="BA137" s="781"/>
      <c r="BB137" s="781"/>
      <c r="BC137" s="781"/>
      <c r="BD137" s="781"/>
      <c r="BE137" s="781"/>
      <c r="BF137" s="781"/>
      <c r="BG137" s="781"/>
      <c r="BH137" s="781"/>
      <c r="BI137" s="781"/>
      <c r="BJ137" s="781"/>
      <c r="BK137" s="781"/>
      <c r="BL137" s="781"/>
      <c r="BM137" s="781"/>
      <c r="BN137" s="781"/>
      <c r="BO137" s="781"/>
      <c r="BP137" s="781"/>
      <c r="BQ137" s="781"/>
      <c r="BR137" s="781"/>
      <c r="BS137" s="781"/>
      <c r="BT137" s="781"/>
      <c r="BU137" s="781"/>
    </row>
    <row r="138" spans="39:73" s="166" customFormat="1">
      <c r="AM138" s="781"/>
      <c r="AN138" s="781"/>
      <c r="AO138" s="781"/>
      <c r="AP138" s="781"/>
      <c r="AQ138" s="781"/>
      <c r="AR138" s="781"/>
      <c r="AS138" s="781"/>
      <c r="AT138" s="781"/>
      <c r="AU138" s="781"/>
      <c r="AV138" s="781"/>
      <c r="AW138" s="781"/>
      <c r="AX138" s="781"/>
      <c r="AY138" s="781"/>
      <c r="AZ138" s="781"/>
      <c r="BA138" s="781"/>
      <c r="BB138" s="781"/>
      <c r="BC138" s="781"/>
      <c r="BD138" s="781"/>
      <c r="BE138" s="781"/>
      <c r="BF138" s="781"/>
      <c r="BG138" s="781"/>
      <c r="BH138" s="781"/>
      <c r="BI138" s="781"/>
      <c r="BJ138" s="781"/>
      <c r="BK138" s="781"/>
      <c r="BL138" s="781"/>
      <c r="BM138" s="781"/>
      <c r="BN138" s="781"/>
      <c r="BO138" s="781"/>
      <c r="BP138" s="781"/>
      <c r="BQ138" s="781"/>
      <c r="BR138" s="781"/>
      <c r="BS138" s="781"/>
      <c r="BT138" s="781"/>
      <c r="BU138" s="781"/>
    </row>
    <row r="139" spans="39:73" s="166" customFormat="1">
      <c r="AM139" s="781"/>
      <c r="AN139" s="781"/>
      <c r="AO139" s="781"/>
      <c r="AP139" s="781"/>
      <c r="AQ139" s="781"/>
      <c r="AR139" s="781"/>
      <c r="AS139" s="781"/>
      <c r="AT139" s="781"/>
      <c r="AU139" s="781"/>
      <c r="AV139" s="781"/>
      <c r="AW139" s="781"/>
      <c r="AX139" s="781"/>
      <c r="AY139" s="781"/>
      <c r="AZ139" s="781"/>
      <c r="BA139" s="781"/>
      <c r="BB139" s="781"/>
      <c r="BC139" s="781"/>
      <c r="BD139" s="781"/>
      <c r="BE139" s="781"/>
      <c r="BF139" s="781"/>
      <c r="BG139" s="781"/>
      <c r="BH139" s="781"/>
      <c r="BI139" s="781"/>
      <c r="BJ139" s="781"/>
      <c r="BK139" s="781"/>
      <c r="BL139" s="781"/>
      <c r="BM139" s="781"/>
      <c r="BN139" s="781"/>
      <c r="BO139" s="781"/>
      <c r="BP139" s="781"/>
      <c r="BQ139" s="781"/>
      <c r="BR139" s="781"/>
      <c r="BS139" s="781"/>
      <c r="BT139" s="781"/>
      <c r="BU139" s="781"/>
    </row>
    <row r="140" spans="39:73" s="166" customFormat="1">
      <c r="AM140" s="781"/>
      <c r="AN140" s="781"/>
      <c r="AO140" s="781"/>
      <c r="AP140" s="781"/>
      <c r="AQ140" s="781"/>
      <c r="AR140" s="781"/>
      <c r="AS140" s="781"/>
      <c r="AT140" s="781"/>
      <c r="AU140" s="781"/>
      <c r="AV140" s="781"/>
      <c r="AW140" s="781"/>
      <c r="AX140" s="781"/>
      <c r="AY140" s="781"/>
      <c r="AZ140" s="781"/>
      <c r="BA140" s="781"/>
      <c r="BB140" s="781"/>
      <c r="BC140" s="781"/>
      <c r="BD140" s="781"/>
      <c r="BE140" s="781"/>
      <c r="BF140" s="781"/>
      <c r="BG140" s="781"/>
      <c r="BH140" s="781"/>
      <c r="BI140" s="781"/>
      <c r="BJ140" s="781"/>
      <c r="BK140" s="781"/>
      <c r="BL140" s="781"/>
      <c r="BM140" s="781"/>
      <c r="BN140" s="781"/>
      <c r="BO140" s="781"/>
      <c r="BP140" s="781"/>
      <c r="BQ140" s="781"/>
      <c r="BR140" s="781"/>
      <c r="BS140" s="781"/>
      <c r="BT140" s="781"/>
      <c r="BU140" s="781"/>
    </row>
    <row r="141" spans="39:73" s="166" customFormat="1">
      <c r="AM141" s="781"/>
      <c r="AN141" s="781"/>
      <c r="AO141" s="781"/>
      <c r="AP141" s="781"/>
      <c r="AQ141" s="781"/>
      <c r="AR141" s="781"/>
      <c r="AS141" s="781"/>
      <c r="AT141" s="781"/>
      <c r="AU141" s="781"/>
      <c r="AV141" s="781"/>
      <c r="AW141" s="781"/>
      <c r="AX141" s="781"/>
      <c r="AY141" s="781"/>
      <c r="AZ141" s="781"/>
      <c r="BA141" s="781"/>
      <c r="BB141" s="781"/>
      <c r="BC141" s="781"/>
      <c r="BD141" s="781"/>
      <c r="BE141" s="781"/>
      <c r="BF141" s="781"/>
      <c r="BG141" s="781"/>
      <c r="BH141" s="781"/>
      <c r="BI141" s="781"/>
      <c r="BJ141" s="781"/>
      <c r="BK141" s="781"/>
      <c r="BL141" s="781"/>
      <c r="BM141" s="781"/>
      <c r="BN141" s="781"/>
      <c r="BO141" s="781"/>
      <c r="BP141" s="781"/>
      <c r="BQ141" s="781"/>
      <c r="BR141" s="781"/>
      <c r="BS141" s="781"/>
      <c r="BT141" s="781"/>
      <c r="BU141" s="781"/>
    </row>
    <row r="142" spans="39:73" s="166" customFormat="1">
      <c r="AM142" s="781"/>
      <c r="AN142" s="781"/>
      <c r="AO142" s="781"/>
      <c r="AP142" s="781"/>
      <c r="AQ142" s="781"/>
      <c r="AR142" s="781"/>
      <c r="AS142" s="781"/>
      <c r="AT142" s="781"/>
      <c r="AU142" s="781"/>
      <c r="AV142" s="781"/>
      <c r="AW142" s="781"/>
      <c r="AX142" s="781"/>
      <c r="AY142" s="781"/>
      <c r="AZ142" s="781"/>
      <c r="BA142" s="781"/>
      <c r="BB142" s="781"/>
      <c r="BC142" s="781"/>
      <c r="BD142" s="781"/>
      <c r="BE142" s="781"/>
      <c r="BF142" s="781"/>
      <c r="BG142" s="781"/>
      <c r="BH142" s="781"/>
      <c r="BI142" s="781"/>
      <c r="BJ142" s="781"/>
      <c r="BK142" s="781"/>
      <c r="BL142" s="781"/>
      <c r="BM142" s="781"/>
      <c r="BN142" s="781"/>
      <c r="BO142" s="781"/>
      <c r="BP142" s="781"/>
      <c r="BQ142" s="781"/>
      <c r="BR142" s="781"/>
      <c r="BS142" s="781"/>
      <c r="BT142" s="781"/>
      <c r="BU142" s="781"/>
    </row>
    <row r="143" spans="39:73" s="166" customFormat="1">
      <c r="AM143" s="781"/>
      <c r="AN143" s="781"/>
      <c r="AO143" s="781"/>
      <c r="AP143" s="781"/>
      <c r="AQ143" s="781"/>
      <c r="AR143" s="781"/>
      <c r="AS143" s="781"/>
      <c r="AT143" s="781"/>
      <c r="AU143" s="781"/>
      <c r="AV143" s="781"/>
      <c r="AW143" s="781"/>
      <c r="AX143" s="781"/>
      <c r="AY143" s="781"/>
      <c r="AZ143" s="781"/>
      <c r="BA143" s="781"/>
      <c r="BB143" s="781"/>
      <c r="BC143" s="781"/>
      <c r="BD143" s="781"/>
      <c r="BE143" s="781"/>
      <c r="BF143" s="781"/>
      <c r="BG143" s="781"/>
      <c r="BH143" s="781"/>
      <c r="BI143" s="781"/>
      <c r="BJ143" s="781"/>
      <c r="BK143" s="781"/>
      <c r="BL143" s="781"/>
      <c r="BM143" s="781"/>
      <c r="BN143" s="781"/>
      <c r="BO143" s="781"/>
      <c r="BP143" s="781"/>
      <c r="BQ143" s="781"/>
      <c r="BR143" s="781"/>
      <c r="BS143" s="781"/>
      <c r="BT143" s="781"/>
      <c r="BU143" s="781"/>
    </row>
    <row r="144" spans="39:73" s="166" customFormat="1">
      <c r="AM144" s="781"/>
      <c r="AN144" s="781"/>
      <c r="AO144" s="781"/>
      <c r="AP144" s="781"/>
      <c r="AQ144" s="781"/>
      <c r="AR144" s="781"/>
      <c r="AS144" s="781"/>
      <c r="AT144" s="781"/>
      <c r="AU144" s="781"/>
      <c r="AV144" s="781"/>
      <c r="AW144" s="781"/>
      <c r="AX144" s="781"/>
      <c r="AY144" s="781"/>
      <c r="AZ144" s="781"/>
      <c r="BA144" s="781"/>
      <c r="BB144" s="781"/>
      <c r="BC144" s="781"/>
      <c r="BD144" s="781"/>
      <c r="BE144" s="781"/>
      <c r="BF144" s="781"/>
      <c r="BG144" s="781"/>
      <c r="BH144" s="781"/>
      <c r="BI144" s="781"/>
      <c r="BJ144" s="781"/>
      <c r="BK144" s="781"/>
      <c r="BL144" s="781"/>
      <c r="BM144" s="781"/>
      <c r="BN144" s="781"/>
      <c r="BO144" s="781"/>
      <c r="BP144" s="781"/>
      <c r="BQ144" s="781"/>
      <c r="BR144" s="781"/>
      <c r="BS144" s="781"/>
      <c r="BT144" s="781"/>
      <c r="BU144" s="781"/>
    </row>
    <row r="145" spans="39:73" s="166" customFormat="1">
      <c r="AM145" s="781"/>
      <c r="AN145" s="781"/>
      <c r="AO145" s="781"/>
      <c r="AP145" s="781"/>
      <c r="AQ145" s="781"/>
      <c r="AR145" s="781"/>
      <c r="AS145" s="781"/>
      <c r="AT145" s="781"/>
      <c r="AU145" s="781"/>
      <c r="AV145" s="781"/>
      <c r="AW145" s="781"/>
      <c r="AX145" s="781"/>
      <c r="AY145" s="781"/>
      <c r="AZ145" s="781"/>
      <c r="BA145" s="781"/>
      <c r="BB145" s="781"/>
      <c r="BC145" s="781"/>
      <c r="BD145" s="781"/>
      <c r="BE145" s="781"/>
      <c r="BF145" s="781"/>
      <c r="BG145" s="781"/>
      <c r="BH145" s="781"/>
      <c r="BI145" s="781"/>
      <c r="BJ145" s="781"/>
      <c r="BK145" s="781"/>
      <c r="BL145" s="781"/>
      <c r="BM145" s="781"/>
      <c r="BN145" s="781"/>
      <c r="BO145" s="781"/>
      <c r="BP145" s="781"/>
      <c r="BQ145" s="781"/>
      <c r="BR145" s="781"/>
      <c r="BS145" s="781"/>
      <c r="BT145" s="781"/>
      <c r="BU145" s="781"/>
    </row>
    <row r="146" spans="39:73" s="166" customFormat="1">
      <c r="AM146" s="781"/>
      <c r="AN146" s="781"/>
      <c r="AO146" s="781"/>
      <c r="AP146" s="781"/>
      <c r="AQ146" s="781"/>
      <c r="AR146" s="781"/>
      <c r="AS146" s="781"/>
      <c r="AT146" s="781"/>
      <c r="AU146" s="781"/>
      <c r="AV146" s="781"/>
      <c r="AW146" s="781"/>
      <c r="AX146" s="781"/>
      <c r="AY146" s="781"/>
      <c r="AZ146" s="781"/>
      <c r="BA146" s="781"/>
      <c r="BB146" s="781"/>
      <c r="BC146" s="781"/>
      <c r="BD146" s="781"/>
      <c r="BE146" s="781"/>
      <c r="BF146" s="781"/>
      <c r="BG146" s="781"/>
      <c r="BH146" s="781"/>
      <c r="BI146" s="781"/>
      <c r="BJ146" s="781"/>
      <c r="BK146" s="781"/>
      <c r="BL146" s="781"/>
      <c r="BM146" s="781"/>
      <c r="BN146" s="781"/>
      <c r="BO146" s="781"/>
      <c r="BP146" s="781"/>
      <c r="BQ146" s="781"/>
      <c r="BR146" s="781"/>
      <c r="BS146" s="781"/>
      <c r="BT146" s="781"/>
      <c r="BU146" s="781"/>
    </row>
    <row r="147" spans="39:73" s="166" customFormat="1">
      <c r="AM147" s="781"/>
      <c r="AN147" s="781"/>
      <c r="AO147" s="781"/>
      <c r="AP147" s="781"/>
      <c r="AQ147" s="781"/>
      <c r="AR147" s="781"/>
      <c r="AS147" s="781"/>
      <c r="AT147" s="781"/>
      <c r="AU147" s="781"/>
      <c r="AV147" s="781"/>
      <c r="AW147" s="781"/>
      <c r="AX147" s="781"/>
      <c r="AY147" s="781"/>
      <c r="AZ147" s="781"/>
      <c r="BA147" s="781"/>
      <c r="BB147" s="781"/>
      <c r="BC147" s="781"/>
      <c r="BD147" s="781"/>
      <c r="BE147" s="781"/>
      <c r="BF147" s="781"/>
      <c r="BG147" s="781"/>
      <c r="BH147" s="781"/>
      <c r="BI147" s="781"/>
      <c r="BJ147" s="781"/>
      <c r="BK147" s="781"/>
      <c r="BL147" s="781"/>
      <c r="BM147" s="781"/>
      <c r="BN147" s="781"/>
      <c r="BO147" s="781"/>
      <c r="BP147" s="781"/>
      <c r="BQ147" s="781"/>
      <c r="BR147" s="781"/>
      <c r="BS147" s="781"/>
      <c r="BT147" s="781"/>
      <c r="BU147" s="781"/>
    </row>
    <row r="148" spans="39:73" s="166" customFormat="1">
      <c r="AM148" s="781"/>
      <c r="AN148" s="781"/>
      <c r="AO148" s="781"/>
      <c r="AP148" s="781"/>
      <c r="AQ148" s="781"/>
      <c r="AR148" s="781"/>
      <c r="AS148" s="781"/>
      <c r="AT148" s="781"/>
      <c r="AU148" s="781"/>
      <c r="AV148" s="781"/>
      <c r="AW148" s="781"/>
      <c r="AX148" s="781"/>
      <c r="AY148" s="781"/>
      <c r="AZ148" s="781"/>
      <c r="BA148" s="781"/>
      <c r="BB148" s="781"/>
      <c r="BC148" s="781"/>
      <c r="BD148" s="781"/>
      <c r="BE148" s="781"/>
      <c r="BF148" s="781"/>
      <c r="BG148" s="781"/>
      <c r="BH148" s="781"/>
      <c r="BI148" s="781"/>
      <c r="BJ148" s="781"/>
      <c r="BK148" s="781"/>
      <c r="BL148" s="781"/>
      <c r="BM148" s="781"/>
      <c r="BN148" s="781"/>
      <c r="BO148" s="781"/>
      <c r="BP148" s="781"/>
      <c r="BQ148" s="781"/>
      <c r="BR148" s="781"/>
      <c r="BS148" s="781"/>
      <c r="BT148" s="781"/>
      <c r="BU148" s="781"/>
    </row>
    <row r="149" spans="39:73" s="166" customFormat="1">
      <c r="AM149" s="781"/>
      <c r="AN149" s="781"/>
      <c r="AO149" s="781"/>
      <c r="AP149" s="781"/>
      <c r="AQ149" s="781"/>
      <c r="AR149" s="781"/>
      <c r="AS149" s="781"/>
      <c r="AT149" s="781"/>
      <c r="AU149" s="781"/>
      <c r="AV149" s="781"/>
      <c r="AW149" s="781"/>
      <c r="AX149" s="781"/>
      <c r="AY149" s="781"/>
      <c r="AZ149" s="781"/>
      <c r="BA149" s="781"/>
      <c r="BB149" s="781"/>
      <c r="BC149" s="781"/>
      <c r="BD149" s="781"/>
      <c r="BE149" s="781"/>
      <c r="BF149" s="781"/>
      <c r="BG149" s="781"/>
      <c r="BH149" s="781"/>
      <c r="BI149" s="781"/>
      <c r="BJ149" s="781"/>
      <c r="BK149" s="781"/>
      <c r="BL149" s="781"/>
      <c r="BM149" s="781"/>
      <c r="BN149" s="781"/>
      <c r="BO149" s="781"/>
      <c r="BP149" s="781"/>
      <c r="BQ149" s="781"/>
      <c r="BR149" s="781"/>
      <c r="BS149" s="781"/>
      <c r="BT149" s="781"/>
      <c r="BU149" s="781"/>
    </row>
    <row r="150" spans="39:73" s="166" customFormat="1">
      <c r="AM150" s="781"/>
      <c r="AN150" s="781"/>
      <c r="AO150" s="781"/>
      <c r="AP150" s="781"/>
      <c r="AQ150" s="781"/>
      <c r="AR150" s="781"/>
      <c r="AS150" s="781"/>
      <c r="AT150" s="781"/>
      <c r="AU150" s="781"/>
      <c r="AV150" s="781"/>
      <c r="AW150" s="781"/>
      <c r="AX150" s="781"/>
      <c r="AY150" s="781"/>
      <c r="AZ150" s="781"/>
      <c r="BA150" s="781"/>
      <c r="BB150" s="781"/>
      <c r="BC150" s="781"/>
      <c r="BD150" s="781"/>
      <c r="BE150" s="781"/>
      <c r="BF150" s="781"/>
      <c r="BG150" s="781"/>
      <c r="BH150" s="781"/>
      <c r="BI150" s="781"/>
      <c r="BJ150" s="781"/>
      <c r="BK150" s="781"/>
      <c r="BL150" s="781"/>
      <c r="BM150" s="781"/>
      <c r="BN150" s="781"/>
      <c r="BO150" s="781"/>
      <c r="BP150" s="781"/>
      <c r="BQ150" s="781"/>
      <c r="BR150" s="781"/>
      <c r="BS150" s="781"/>
      <c r="BT150" s="781"/>
      <c r="BU150" s="781"/>
    </row>
    <row r="151" spans="39:73" s="166" customFormat="1">
      <c r="AM151" s="781"/>
      <c r="AN151" s="781"/>
      <c r="AO151" s="781"/>
      <c r="AP151" s="781"/>
      <c r="AQ151" s="781"/>
      <c r="AR151" s="781"/>
      <c r="AS151" s="781"/>
      <c r="AT151" s="781"/>
      <c r="AU151" s="781"/>
      <c r="AV151" s="781"/>
      <c r="AW151" s="781"/>
      <c r="AX151" s="781"/>
      <c r="AY151" s="781"/>
      <c r="AZ151" s="781"/>
      <c r="BA151" s="781"/>
      <c r="BB151" s="781"/>
      <c r="BC151" s="781"/>
      <c r="BD151" s="781"/>
      <c r="BE151" s="781"/>
      <c r="BF151" s="781"/>
      <c r="BG151" s="781"/>
      <c r="BH151" s="781"/>
      <c r="BI151" s="781"/>
      <c r="BJ151" s="781"/>
      <c r="BK151" s="781"/>
      <c r="BL151" s="781"/>
      <c r="BM151" s="781"/>
      <c r="BN151" s="781"/>
      <c r="BO151" s="781"/>
      <c r="BP151" s="781"/>
      <c r="BQ151" s="781"/>
      <c r="BR151" s="781"/>
      <c r="BS151" s="781"/>
      <c r="BT151" s="781"/>
      <c r="BU151" s="781"/>
    </row>
    <row r="152" spans="39:73" s="166" customFormat="1">
      <c r="AM152" s="781"/>
      <c r="AN152" s="781"/>
      <c r="AO152" s="781"/>
      <c r="AP152" s="781"/>
      <c r="AQ152" s="781"/>
      <c r="AR152" s="781"/>
      <c r="AS152" s="781"/>
      <c r="AT152" s="781"/>
      <c r="AU152" s="781"/>
      <c r="AV152" s="781"/>
      <c r="AW152" s="781"/>
      <c r="AX152" s="781"/>
      <c r="AY152" s="781"/>
      <c r="AZ152" s="781"/>
      <c r="BA152" s="781"/>
      <c r="BB152" s="781"/>
      <c r="BC152" s="781"/>
      <c r="BD152" s="781"/>
      <c r="BE152" s="781"/>
      <c r="BF152" s="781"/>
      <c r="BG152" s="781"/>
      <c r="BH152" s="781"/>
      <c r="BI152" s="781"/>
      <c r="BJ152" s="781"/>
      <c r="BK152" s="781"/>
      <c r="BL152" s="781"/>
      <c r="BM152" s="781"/>
      <c r="BN152" s="781"/>
      <c r="BO152" s="781"/>
      <c r="BP152" s="781"/>
      <c r="BQ152" s="781"/>
      <c r="BR152" s="781"/>
      <c r="BS152" s="781"/>
      <c r="BT152" s="781"/>
      <c r="BU152" s="781"/>
    </row>
    <row r="153" spans="39:73" s="166" customFormat="1">
      <c r="AM153" s="781"/>
      <c r="AN153" s="781"/>
      <c r="AO153" s="781"/>
      <c r="AP153" s="781"/>
      <c r="AQ153" s="781"/>
      <c r="AR153" s="781"/>
      <c r="AS153" s="781"/>
      <c r="AT153" s="781"/>
      <c r="AU153" s="781"/>
      <c r="AV153" s="781"/>
      <c r="AW153" s="781"/>
      <c r="AX153" s="781"/>
      <c r="AY153" s="781"/>
      <c r="AZ153" s="781"/>
      <c r="BA153" s="781"/>
      <c r="BB153" s="781"/>
      <c r="BC153" s="781"/>
      <c r="BD153" s="781"/>
      <c r="BE153" s="781"/>
      <c r="BF153" s="781"/>
      <c r="BG153" s="781"/>
      <c r="BH153" s="781"/>
      <c r="BI153" s="781"/>
      <c r="BJ153" s="781"/>
      <c r="BK153" s="781"/>
      <c r="BL153" s="781"/>
      <c r="BM153" s="781"/>
      <c r="BN153" s="781"/>
      <c r="BO153" s="781"/>
      <c r="BP153" s="781"/>
      <c r="BQ153" s="781"/>
      <c r="BR153" s="781"/>
      <c r="BS153" s="781"/>
      <c r="BT153" s="781"/>
      <c r="BU153" s="781"/>
    </row>
    <row r="154" spans="39:73" s="166" customFormat="1">
      <c r="AM154" s="781"/>
      <c r="AN154" s="781"/>
      <c r="AO154" s="781"/>
      <c r="AP154" s="781"/>
      <c r="AQ154" s="781"/>
      <c r="AR154" s="781"/>
      <c r="AS154" s="781"/>
      <c r="AT154" s="781"/>
      <c r="AU154" s="781"/>
      <c r="AV154" s="781"/>
      <c r="AW154" s="781"/>
      <c r="AX154" s="781"/>
      <c r="AY154" s="781"/>
      <c r="AZ154" s="781"/>
      <c r="BA154" s="781"/>
      <c r="BB154" s="781"/>
      <c r="BC154" s="781"/>
      <c r="BD154" s="781"/>
      <c r="BE154" s="781"/>
      <c r="BF154" s="781"/>
      <c r="BG154" s="781"/>
      <c r="BH154" s="781"/>
      <c r="BI154" s="781"/>
      <c r="BJ154" s="781"/>
      <c r="BK154" s="781"/>
      <c r="BL154" s="781"/>
      <c r="BM154" s="781"/>
      <c r="BN154" s="781"/>
      <c r="BO154" s="781"/>
      <c r="BP154" s="781"/>
      <c r="BQ154" s="781"/>
      <c r="BR154" s="781"/>
      <c r="BS154" s="781"/>
      <c r="BT154" s="781"/>
      <c r="BU154" s="781"/>
    </row>
    <row r="155" spans="39:73" s="166" customFormat="1">
      <c r="AM155" s="781"/>
      <c r="AN155" s="781"/>
      <c r="AO155" s="781"/>
      <c r="AP155" s="781"/>
      <c r="AQ155" s="781"/>
      <c r="AR155" s="781"/>
      <c r="AS155" s="781"/>
      <c r="AT155" s="781"/>
      <c r="AU155" s="781"/>
      <c r="AV155" s="781"/>
      <c r="AW155" s="781"/>
      <c r="AX155" s="781"/>
      <c r="AY155" s="781"/>
      <c r="AZ155" s="781"/>
      <c r="BA155" s="781"/>
      <c r="BB155" s="781"/>
      <c r="BC155" s="781"/>
      <c r="BD155" s="781"/>
      <c r="BE155" s="781"/>
      <c r="BF155" s="781"/>
      <c r="BG155" s="781"/>
      <c r="BH155" s="781"/>
      <c r="BI155" s="781"/>
      <c r="BJ155" s="781"/>
      <c r="BK155" s="781"/>
      <c r="BL155" s="781"/>
      <c r="BM155" s="781"/>
      <c r="BN155" s="781"/>
      <c r="BO155" s="781"/>
      <c r="BP155" s="781"/>
      <c r="BQ155" s="781"/>
      <c r="BR155" s="781"/>
      <c r="BS155" s="781"/>
      <c r="BT155" s="781"/>
      <c r="BU155" s="781"/>
    </row>
    <row r="156" spans="39:73" s="166" customFormat="1">
      <c r="AM156" s="781"/>
      <c r="AN156" s="781"/>
      <c r="AO156" s="781"/>
      <c r="AP156" s="781"/>
      <c r="AQ156" s="781"/>
      <c r="AR156" s="781"/>
      <c r="AS156" s="781"/>
      <c r="AT156" s="781"/>
      <c r="AU156" s="781"/>
      <c r="AV156" s="781"/>
      <c r="AW156" s="781"/>
      <c r="AX156" s="781"/>
      <c r="AY156" s="781"/>
      <c r="AZ156" s="781"/>
      <c r="BA156" s="781"/>
      <c r="BB156" s="781"/>
      <c r="BC156" s="781"/>
      <c r="BD156" s="781"/>
      <c r="BE156" s="781"/>
      <c r="BF156" s="781"/>
      <c r="BG156" s="781"/>
      <c r="BH156" s="781"/>
      <c r="BI156" s="781"/>
      <c r="BJ156" s="781"/>
      <c r="BK156" s="781"/>
      <c r="BL156" s="781"/>
      <c r="BM156" s="781"/>
      <c r="BN156" s="781"/>
      <c r="BO156" s="781"/>
      <c r="BP156" s="781"/>
      <c r="BQ156" s="781"/>
      <c r="BR156" s="781"/>
      <c r="BS156" s="781"/>
      <c r="BT156" s="781"/>
      <c r="BU156" s="781"/>
    </row>
    <row r="157" spans="39:73" s="166" customFormat="1">
      <c r="AM157" s="781"/>
      <c r="AN157" s="781"/>
      <c r="AO157" s="781"/>
      <c r="AP157" s="781"/>
      <c r="AQ157" s="781"/>
      <c r="AR157" s="781"/>
      <c r="AS157" s="781"/>
      <c r="AT157" s="781"/>
      <c r="AU157" s="781"/>
      <c r="AV157" s="781"/>
      <c r="AW157" s="781"/>
      <c r="AX157" s="781"/>
      <c r="AY157" s="781"/>
      <c r="AZ157" s="781"/>
      <c r="BA157" s="781"/>
      <c r="BB157" s="781"/>
      <c r="BC157" s="781"/>
      <c r="BD157" s="781"/>
      <c r="BE157" s="781"/>
      <c r="BF157" s="781"/>
      <c r="BG157" s="781"/>
      <c r="BH157" s="781"/>
      <c r="BI157" s="781"/>
      <c r="BJ157" s="781"/>
      <c r="BK157" s="781"/>
      <c r="BL157" s="781"/>
      <c r="BM157" s="781"/>
      <c r="BN157" s="781"/>
      <c r="BO157" s="781"/>
      <c r="BP157" s="781"/>
      <c r="BQ157" s="781"/>
      <c r="BR157" s="781"/>
      <c r="BS157" s="781"/>
      <c r="BT157" s="781"/>
      <c r="BU157" s="781"/>
    </row>
    <row r="158" spans="39:73" s="166" customFormat="1">
      <c r="AM158" s="781"/>
      <c r="AN158" s="781"/>
      <c r="AO158" s="781"/>
      <c r="AP158" s="781"/>
      <c r="AQ158" s="781"/>
      <c r="AR158" s="781"/>
      <c r="AS158" s="781"/>
      <c r="AT158" s="781"/>
      <c r="AU158" s="781"/>
      <c r="AV158" s="781"/>
      <c r="AW158" s="781"/>
      <c r="AX158" s="781"/>
      <c r="AY158" s="781"/>
      <c r="AZ158" s="781"/>
      <c r="BA158" s="781"/>
      <c r="BB158" s="781"/>
      <c r="BC158" s="781"/>
      <c r="BD158" s="781"/>
      <c r="BE158" s="781"/>
      <c r="BF158" s="781"/>
      <c r="BG158" s="781"/>
      <c r="BH158" s="781"/>
      <c r="BI158" s="781"/>
      <c r="BJ158" s="781"/>
      <c r="BK158" s="781"/>
      <c r="BL158" s="781"/>
      <c r="BM158" s="781"/>
      <c r="BN158" s="781"/>
      <c r="BO158" s="781"/>
      <c r="BP158" s="781"/>
      <c r="BQ158" s="781"/>
      <c r="BR158" s="781"/>
      <c r="BS158" s="781"/>
      <c r="BT158" s="781"/>
      <c r="BU158" s="781"/>
    </row>
    <row r="159" spans="39:73" s="166" customFormat="1">
      <c r="AM159" s="781"/>
      <c r="AN159" s="781"/>
      <c r="AO159" s="781"/>
      <c r="AP159" s="781"/>
      <c r="AQ159" s="781"/>
      <c r="AR159" s="781"/>
      <c r="AS159" s="781"/>
      <c r="AT159" s="781"/>
      <c r="AU159" s="781"/>
      <c r="AV159" s="781"/>
      <c r="AW159" s="781"/>
      <c r="AX159" s="781"/>
      <c r="AY159" s="781"/>
      <c r="AZ159" s="781"/>
      <c r="BA159" s="781"/>
      <c r="BB159" s="781"/>
      <c r="BC159" s="781"/>
      <c r="BD159" s="781"/>
      <c r="BE159" s="781"/>
      <c r="BF159" s="781"/>
      <c r="BG159" s="781"/>
      <c r="BH159" s="781"/>
      <c r="BI159" s="781"/>
      <c r="BJ159" s="781"/>
      <c r="BK159" s="781"/>
      <c r="BL159" s="781"/>
      <c r="BM159" s="781"/>
      <c r="BN159" s="781"/>
      <c r="BO159" s="781"/>
      <c r="BP159" s="781"/>
      <c r="BQ159" s="781"/>
      <c r="BR159" s="781"/>
      <c r="BS159" s="781"/>
      <c r="BT159" s="781"/>
      <c r="BU159" s="781"/>
    </row>
    <row r="160" spans="39:73" s="166" customFormat="1">
      <c r="AM160" s="781"/>
      <c r="AN160" s="781"/>
      <c r="AO160" s="781"/>
      <c r="AP160" s="781"/>
      <c r="AQ160" s="781"/>
      <c r="AR160" s="781"/>
      <c r="AS160" s="781"/>
      <c r="AT160" s="781"/>
      <c r="AU160" s="781"/>
      <c r="AV160" s="781"/>
      <c r="AW160" s="781"/>
      <c r="AX160" s="781"/>
      <c r="AY160" s="781"/>
      <c r="AZ160" s="781"/>
      <c r="BA160" s="781"/>
      <c r="BB160" s="781"/>
      <c r="BC160" s="781"/>
      <c r="BD160" s="781"/>
      <c r="BE160" s="781"/>
      <c r="BF160" s="781"/>
      <c r="BG160" s="781"/>
      <c r="BH160" s="781"/>
      <c r="BI160" s="781"/>
      <c r="BJ160" s="781"/>
      <c r="BK160" s="781"/>
      <c r="BL160" s="781"/>
      <c r="BM160" s="781"/>
      <c r="BN160" s="781"/>
      <c r="BO160" s="781"/>
      <c r="BP160" s="781"/>
      <c r="BQ160" s="781"/>
      <c r="BR160" s="781"/>
      <c r="BS160" s="781"/>
      <c r="BT160" s="781"/>
      <c r="BU160" s="781"/>
    </row>
    <row r="161" spans="39:73" s="166" customFormat="1">
      <c r="AM161" s="781"/>
      <c r="AN161" s="781"/>
      <c r="AO161" s="781"/>
      <c r="AP161" s="781"/>
      <c r="AQ161" s="781"/>
      <c r="AR161" s="781"/>
      <c r="AS161" s="781"/>
      <c r="AT161" s="781"/>
      <c r="AU161" s="781"/>
      <c r="AV161" s="781"/>
      <c r="AW161" s="781"/>
      <c r="AX161" s="781"/>
      <c r="AY161" s="781"/>
      <c r="AZ161" s="781"/>
      <c r="BA161" s="781"/>
      <c r="BB161" s="781"/>
      <c r="BC161" s="781"/>
      <c r="BD161" s="781"/>
      <c r="BE161" s="781"/>
      <c r="BF161" s="781"/>
      <c r="BG161" s="781"/>
      <c r="BH161" s="781"/>
      <c r="BI161" s="781"/>
      <c r="BJ161" s="781"/>
      <c r="BK161" s="781"/>
      <c r="BL161" s="781"/>
      <c r="BM161" s="781"/>
      <c r="BN161" s="781"/>
      <c r="BO161" s="781"/>
      <c r="BP161" s="781"/>
      <c r="BQ161" s="781"/>
      <c r="BR161" s="781"/>
      <c r="BS161" s="781"/>
      <c r="BT161" s="781"/>
      <c r="BU161" s="781"/>
    </row>
    <row r="162" spans="39:73" s="166" customFormat="1">
      <c r="AM162" s="781"/>
      <c r="AN162" s="781"/>
      <c r="AO162" s="781"/>
      <c r="AP162" s="781"/>
      <c r="AQ162" s="781"/>
      <c r="AR162" s="781"/>
      <c r="AS162" s="781"/>
      <c r="AT162" s="781"/>
      <c r="AU162" s="781"/>
      <c r="AV162" s="781"/>
      <c r="AW162" s="781"/>
      <c r="AX162" s="781"/>
      <c r="AY162" s="781"/>
      <c r="AZ162" s="781"/>
      <c r="BA162" s="781"/>
      <c r="BB162" s="781"/>
      <c r="BC162" s="781"/>
      <c r="BD162" s="781"/>
      <c r="BE162" s="781"/>
      <c r="BF162" s="781"/>
      <c r="BG162" s="781"/>
      <c r="BH162" s="781"/>
      <c r="BI162" s="781"/>
      <c r="BJ162" s="781"/>
      <c r="BK162" s="781"/>
      <c r="BL162" s="781"/>
      <c r="BM162" s="781"/>
      <c r="BN162" s="781"/>
      <c r="BO162" s="781"/>
      <c r="BP162" s="781"/>
      <c r="BQ162" s="781"/>
      <c r="BR162" s="781"/>
      <c r="BS162" s="781"/>
      <c r="BT162" s="781"/>
      <c r="BU162" s="781"/>
    </row>
    <row r="163" spans="39:73" s="166" customFormat="1">
      <c r="AM163" s="781"/>
      <c r="AN163" s="781"/>
      <c r="AO163" s="781"/>
      <c r="AP163" s="781"/>
      <c r="AQ163" s="781"/>
      <c r="AR163" s="781"/>
      <c r="AS163" s="781"/>
      <c r="AT163" s="781"/>
      <c r="AU163" s="781"/>
      <c r="AV163" s="781"/>
      <c r="AW163" s="781"/>
      <c r="AX163" s="781"/>
      <c r="AY163" s="781"/>
      <c r="AZ163" s="781"/>
      <c r="BA163" s="781"/>
      <c r="BB163" s="781"/>
      <c r="BC163" s="781"/>
      <c r="BD163" s="781"/>
      <c r="BE163" s="781"/>
      <c r="BF163" s="781"/>
      <c r="BG163" s="781"/>
      <c r="BH163" s="781"/>
      <c r="BI163" s="781"/>
      <c r="BJ163" s="781"/>
      <c r="BK163" s="781"/>
      <c r="BL163" s="781"/>
      <c r="BM163" s="781"/>
      <c r="BN163" s="781"/>
      <c r="BO163" s="781"/>
      <c r="BP163" s="781"/>
      <c r="BQ163" s="781"/>
      <c r="BR163" s="781"/>
      <c r="BS163" s="781"/>
      <c r="BT163" s="781"/>
      <c r="BU163" s="781"/>
    </row>
    <row r="164" spans="39:73" s="166" customFormat="1">
      <c r="AM164" s="781"/>
      <c r="AN164" s="781"/>
      <c r="AO164" s="781"/>
      <c r="AP164" s="781"/>
      <c r="AQ164" s="781"/>
      <c r="AR164" s="781"/>
      <c r="AS164" s="781"/>
      <c r="AT164" s="781"/>
      <c r="AU164" s="781"/>
      <c r="AV164" s="781"/>
      <c r="AW164" s="781"/>
      <c r="AX164" s="781"/>
      <c r="AY164" s="781"/>
      <c r="AZ164" s="781"/>
      <c r="BA164" s="781"/>
      <c r="BB164" s="781"/>
      <c r="BC164" s="781"/>
      <c r="BD164" s="781"/>
      <c r="BE164" s="781"/>
      <c r="BF164" s="781"/>
      <c r="BG164" s="781"/>
      <c r="BH164" s="781"/>
      <c r="BI164" s="781"/>
      <c r="BJ164" s="781"/>
      <c r="BK164" s="781"/>
      <c r="BL164" s="781"/>
      <c r="BM164" s="781"/>
      <c r="BN164" s="781"/>
      <c r="BO164" s="781"/>
      <c r="BP164" s="781"/>
      <c r="BQ164" s="781"/>
      <c r="BR164" s="781"/>
      <c r="BS164" s="781"/>
      <c r="BT164" s="781"/>
      <c r="BU164" s="781"/>
    </row>
    <row r="165" spans="39:73" s="166" customFormat="1">
      <c r="AM165" s="781"/>
      <c r="AN165" s="781"/>
      <c r="AO165" s="781"/>
      <c r="AP165" s="781"/>
      <c r="AQ165" s="781"/>
      <c r="AR165" s="781"/>
      <c r="AS165" s="781"/>
      <c r="AT165" s="781"/>
      <c r="AU165" s="781"/>
      <c r="AV165" s="781"/>
      <c r="AW165" s="781"/>
      <c r="AX165" s="781"/>
      <c r="AY165" s="781"/>
      <c r="AZ165" s="781"/>
      <c r="BA165" s="781"/>
      <c r="BB165" s="781"/>
      <c r="BC165" s="781"/>
      <c r="BD165" s="781"/>
      <c r="BE165" s="781"/>
      <c r="BF165" s="781"/>
      <c r="BG165" s="781"/>
      <c r="BH165" s="781"/>
      <c r="BI165" s="781"/>
      <c r="BJ165" s="781"/>
      <c r="BK165" s="781"/>
      <c r="BL165" s="781"/>
      <c r="BM165" s="781"/>
      <c r="BN165" s="781"/>
      <c r="BO165" s="781"/>
      <c r="BP165" s="781"/>
      <c r="BQ165" s="781"/>
      <c r="BR165" s="781"/>
      <c r="BS165" s="781"/>
      <c r="BT165" s="781"/>
      <c r="BU165" s="781"/>
    </row>
    <row r="166" spans="39:73" s="166" customFormat="1">
      <c r="AM166" s="781"/>
      <c r="AN166" s="781"/>
      <c r="AO166" s="781"/>
      <c r="AP166" s="781"/>
      <c r="AQ166" s="781"/>
      <c r="AR166" s="781"/>
      <c r="AS166" s="781"/>
      <c r="AT166" s="781"/>
      <c r="AU166" s="781"/>
      <c r="AV166" s="781"/>
      <c r="AW166" s="781"/>
      <c r="AX166" s="781"/>
      <c r="AY166" s="781"/>
      <c r="AZ166" s="781"/>
      <c r="BA166" s="781"/>
      <c r="BB166" s="781"/>
      <c r="BC166" s="781"/>
      <c r="BD166" s="781"/>
      <c r="BE166" s="781"/>
      <c r="BF166" s="781"/>
      <c r="BG166" s="781"/>
      <c r="BH166" s="781"/>
      <c r="BI166" s="781"/>
      <c r="BJ166" s="781"/>
      <c r="BK166" s="781"/>
      <c r="BL166" s="781"/>
      <c r="BM166" s="781"/>
      <c r="BN166" s="781"/>
      <c r="BO166" s="781"/>
      <c r="BP166" s="781"/>
      <c r="BQ166" s="781"/>
      <c r="BR166" s="781"/>
      <c r="BS166" s="781"/>
      <c r="BT166" s="781"/>
      <c r="BU166" s="781"/>
    </row>
    <row r="167" spans="39:73" s="166" customFormat="1">
      <c r="AM167" s="781"/>
      <c r="AN167" s="781"/>
      <c r="AO167" s="781"/>
      <c r="AP167" s="781"/>
      <c r="AQ167" s="781"/>
      <c r="AR167" s="781"/>
      <c r="AS167" s="781"/>
      <c r="AT167" s="781"/>
      <c r="AU167" s="781"/>
      <c r="AV167" s="781"/>
      <c r="AW167" s="781"/>
      <c r="AX167" s="781"/>
      <c r="AY167" s="781"/>
      <c r="AZ167" s="781"/>
      <c r="BA167" s="781"/>
      <c r="BB167" s="781"/>
      <c r="BC167" s="781"/>
      <c r="BD167" s="781"/>
      <c r="BE167" s="781"/>
      <c r="BF167" s="781"/>
      <c r="BG167" s="781"/>
      <c r="BH167" s="781"/>
      <c r="BI167" s="781"/>
      <c r="BJ167" s="781"/>
      <c r="BK167" s="781"/>
      <c r="BL167" s="781"/>
      <c r="BM167" s="781"/>
      <c r="BN167" s="781"/>
      <c r="BO167" s="781"/>
      <c r="BP167" s="781"/>
      <c r="BQ167" s="781"/>
      <c r="BR167" s="781"/>
      <c r="BS167" s="781"/>
      <c r="BT167" s="781"/>
      <c r="BU167" s="781"/>
    </row>
    <row r="168" spans="39:73" s="166" customFormat="1">
      <c r="AM168" s="781"/>
      <c r="AN168" s="781"/>
      <c r="AO168" s="781"/>
      <c r="AP168" s="781"/>
      <c r="AQ168" s="781"/>
      <c r="AR168" s="781"/>
      <c r="AS168" s="781"/>
      <c r="AT168" s="781"/>
      <c r="AU168" s="781"/>
      <c r="AV168" s="781"/>
      <c r="AW168" s="781"/>
      <c r="AX168" s="781"/>
      <c r="AY168" s="781"/>
      <c r="AZ168" s="781"/>
      <c r="BA168" s="781"/>
      <c r="BB168" s="781"/>
      <c r="BC168" s="781"/>
      <c r="BD168" s="781"/>
      <c r="BE168" s="781"/>
      <c r="BF168" s="781"/>
      <c r="BG168" s="781"/>
      <c r="BH168" s="781"/>
      <c r="BI168" s="781"/>
      <c r="BJ168" s="781"/>
      <c r="BK168" s="781"/>
      <c r="BL168" s="781"/>
      <c r="BM168" s="781"/>
      <c r="BN168" s="781"/>
      <c r="BO168" s="781"/>
      <c r="BP168" s="781"/>
      <c r="BQ168" s="781"/>
      <c r="BR168" s="781"/>
      <c r="BS168" s="781"/>
      <c r="BT168" s="781"/>
      <c r="BU168" s="781"/>
    </row>
    <row r="169" spans="39:73" s="166" customFormat="1">
      <c r="AM169" s="781"/>
      <c r="AN169" s="781"/>
      <c r="AO169" s="781"/>
      <c r="AP169" s="781"/>
      <c r="AQ169" s="781"/>
      <c r="AR169" s="781"/>
      <c r="AS169" s="781"/>
      <c r="AT169" s="781"/>
      <c r="AU169" s="781"/>
      <c r="AV169" s="781"/>
      <c r="AW169" s="781"/>
      <c r="AX169" s="781"/>
      <c r="AY169" s="781"/>
      <c r="AZ169" s="781"/>
      <c r="BA169" s="781"/>
      <c r="BB169" s="781"/>
      <c r="BC169" s="781"/>
      <c r="BD169" s="781"/>
      <c r="BE169" s="781"/>
      <c r="BF169" s="781"/>
      <c r="BG169" s="781"/>
      <c r="BH169" s="781"/>
      <c r="BI169" s="781"/>
      <c r="BJ169" s="781"/>
      <c r="BK169" s="781"/>
      <c r="BL169" s="781"/>
      <c r="BM169" s="781"/>
      <c r="BN169" s="781"/>
      <c r="BO169" s="781"/>
      <c r="BP169" s="781"/>
      <c r="BQ169" s="781"/>
      <c r="BR169" s="781"/>
      <c r="BS169" s="781"/>
      <c r="BT169" s="781"/>
      <c r="BU169" s="781"/>
    </row>
    <row r="170" spans="39:73" s="166" customFormat="1">
      <c r="AM170" s="781"/>
      <c r="AN170" s="781"/>
      <c r="AO170" s="781"/>
      <c r="AP170" s="781"/>
      <c r="AQ170" s="781"/>
      <c r="AR170" s="781"/>
      <c r="AS170" s="781"/>
      <c r="AT170" s="781"/>
      <c r="AU170" s="781"/>
      <c r="AV170" s="781"/>
      <c r="AW170" s="781"/>
      <c r="AX170" s="781"/>
      <c r="AY170" s="781"/>
      <c r="AZ170" s="781"/>
      <c r="BA170" s="781"/>
      <c r="BB170" s="781"/>
      <c r="BC170" s="781"/>
      <c r="BD170" s="781"/>
      <c r="BE170" s="781"/>
      <c r="BF170" s="781"/>
      <c r="BG170" s="781"/>
      <c r="BH170" s="781"/>
      <c r="BI170" s="781"/>
      <c r="BJ170" s="781"/>
      <c r="BK170" s="781"/>
      <c r="BL170" s="781"/>
      <c r="BM170" s="781"/>
      <c r="BN170" s="781"/>
      <c r="BO170" s="781"/>
      <c r="BP170" s="781"/>
      <c r="BQ170" s="781"/>
      <c r="BR170" s="781"/>
      <c r="BS170" s="781"/>
      <c r="BT170" s="781"/>
      <c r="BU170" s="781"/>
    </row>
    <row r="171" spans="39:73" s="166" customFormat="1">
      <c r="AM171" s="781"/>
      <c r="AN171" s="781"/>
      <c r="AO171" s="781"/>
      <c r="AP171" s="781"/>
      <c r="AQ171" s="781"/>
      <c r="AR171" s="781"/>
      <c r="AS171" s="781"/>
      <c r="AT171" s="781"/>
      <c r="AU171" s="781"/>
      <c r="AV171" s="781"/>
      <c r="AW171" s="781"/>
      <c r="AX171" s="781"/>
      <c r="AY171" s="781"/>
      <c r="AZ171" s="781"/>
      <c r="BA171" s="781"/>
      <c r="BB171" s="781"/>
      <c r="BC171" s="781"/>
      <c r="BD171" s="781"/>
      <c r="BE171" s="781"/>
      <c r="BF171" s="781"/>
      <c r="BG171" s="781"/>
      <c r="BH171" s="781"/>
      <c r="BI171" s="781"/>
      <c r="BJ171" s="781"/>
      <c r="BK171" s="781"/>
      <c r="BL171" s="781"/>
      <c r="BM171" s="781"/>
      <c r="BN171" s="781"/>
      <c r="BO171" s="781"/>
      <c r="BP171" s="781"/>
      <c r="BQ171" s="781"/>
      <c r="BR171" s="781"/>
      <c r="BS171" s="781"/>
      <c r="BT171" s="781"/>
      <c r="BU171" s="781"/>
    </row>
    <row r="172" spans="39:73" s="166" customFormat="1">
      <c r="AM172" s="781"/>
      <c r="AN172" s="781"/>
      <c r="AO172" s="781"/>
      <c r="AP172" s="781"/>
      <c r="AQ172" s="781"/>
      <c r="AR172" s="781"/>
      <c r="AS172" s="781"/>
      <c r="AT172" s="781"/>
      <c r="AU172" s="781"/>
      <c r="AV172" s="781"/>
      <c r="AW172" s="781"/>
      <c r="AX172" s="781"/>
      <c r="AY172" s="781"/>
      <c r="AZ172" s="781"/>
      <c r="BA172" s="781"/>
      <c r="BB172" s="781"/>
      <c r="BC172" s="781"/>
      <c r="BD172" s="781"/>
      <c r="BE172" s="781"/>
      <c r="BF172" s="781"/>
      <c r="BG172" s="781"/>
      <c r="BH172" s="781"/>
      <c r="BI172" s="781"/>
      <c r="BJ172" s="781"/>
      <c r="BK172" s="781"/>
      <c r="BL172" s="781"/>
      <c r="BM172" s="781"/>
      <c r="BN172" s="781"/>
      <c r="BO172" s="781"/>
      <c r="BP172" s="781"/>
      <c r="BQ172" s="781"/>
      <c r="BR172" s="781"/>
      <c r="BS172" s="781"/>
      <c r="BT172" s="781"/>
      <c r="BU172" s="781"/>
    </row>
    <row r="173" spans="39:73" s="166" customFormat="1">
      <c r="AM173" s="781"/>
      <c r="AN173" s="781"/>
      <c r="AO173" s="781"/>
      <c r="AP173" s="781"/>
      <c r="AQ173" s="781"/>
      <c r="AR173" s="781"/>
      <c r="AS173" s="781"/>
      <c r="AT173" s="781"/>
      <c r="AU173" s="781"/>
      <c r="AV173" s="781"/>
      <c r="AW173" s="781"/>
      <c r="AX173" s="781"/>
      <c r="AY173" s="781"/>
      <c r="AZ173" s="781"/>
      <c r="BA173" s="781"/>
      <c r="BB173" s="781"/>
      <c r="BC173" s="781"/>
      <c r="BD173" s="781"/>
      <c r="BE173" s="781"/>
      <c r="BF173" s="781"/>
      <c r="BG173" s="781"/>
      <c r="BH173" s="781"/>
      <c r="BI173" s="781"/>
      <c r="BJ173" s="781"/>
      <c r="BK173" s="781"/>
      <c r="BL173" s="781"/>
      <c r="BM173" s="781"/>
      <c r="BN173" s="781"/>
      <c r="BO173" s="781"/>
      <c r="BP173" s="781"/>
      <c r="BQ173" s="781"/>
      <c r="BR173" s="781"/>
      <c r="BS173" s="781"/>
      <c r="BT173" s="781"/>
      <c r="BU173" s="781"/>
    </row>
    <row r="174" spans="39:73" s="166" customFormat="1">
      <c r="AM174" s="781"/>
      <c r="AN174" s="781"/>
      <c r="AO174" s="781"/>
      <c r="AP174" s="781"/>
      <c r="AQ174" s="781"/>
      <c r="AR174" s="781"/>
      <c r="AS174" s="781"/>
      <c r="AT174" s="781"/>
      <c r="AU174" s="781"/>
      <c r="AV174" s="781"/>
      <c r="AW174" s="781"/>
      <c r="AX174" s="781"/>
      <c r="AY174" s="781"/>
      <c r="AZ174" s="781"/>
      <c r="BA174" s="781"/>
      <c r="BB174" s="781"/>
      <c r="BC174" s="781"/>
      <c r="BD174" s="781"/>
      <c r="BE174" s="781"/>
      <c r="BF174" s="781"/>
      <c r="BG174" s="781"/>
      <c r="BH174" s="781"/>
      <c r="BI174" s="781"/>
      <c r="BJ174" s="781"/>
      <c r="BK174" s="781"/>
      <c r="BL174" s="781"/>
      <c r="BM174" s="781"/>
      <c r="BN174" s="781"/>
      <c r="BO174" s="781"/>
      <c r="BP174" s="781"/>
      <c r="BQ174" s="781"/>
      <c r="BR174" s="781"/>
      <c r="BS174" s="781"/>
      <c r="BT174" s="781"/>
      <c r="BU174" s="781"/>
    </row>
    <row r="175" spans="39:73" s="166" customFormat="1">
      <c r="AM175" s="781"/>
      <c r="AN175" s="781"/>
      <c r="AO175" s="781"/>
      <c r="AP175" s="781"/>
      <c r="AQ175" s="781"/>
      <c r="AR175" s="781"/>
      <c r="AS175" s="781"/>
      <c r="AT175" s="781"/>
      <c r="AU175" s="781"/>
      <c r="AV175" s="781"/>
      <c r="AW175" s="781"/>
      <c r="AX175" s="781"/>
      <c r="AY175" s="781"/>
      <c r="AZ175" s="781"/>
      <c r="BA175" s="781"/>
      <c r="BB175" s="781"/>
      <c r="BC175" s="781"/>
      <c r="BD175" s="781"/>
      <c r="BE175" s="781"/>
      <c r="BF175" s="781"/>
      <c r="BG175" s="781"/>
      <c r="BH175" s="781"/>
      <c r="BI175" s="781"/>
      <c r="BJ175" s="781"/>
      <c r="BK175" s="781"/>
      <c r="BL175" s="781"/>
      <c r="BM175" s="781"/>
      <c r="BN175" s="781"/>
      <c r="BO175" s="781"/>
      <c r="BP175" s="781"/>
      <c r="BQ175" s="781"/>
      <c r="BR175" s="781"/>
      <c r="BS175" s="781"/>
      <c r="BT175" s="781"/>
      <c r="BU175" s="781"/>
    </row>
    <row r="176" spans="39:73" s="166" customFormat="1">
      <c r="AM176" s="781"/>
      <c r="AN176" s="781"/>
      <c r="AO176" s="781"/>
      <c r="AP176" s="781"/>
      <c r="AQ176" s="781"/>
      <c r="AR176" s="781"/>
      <c r="AS176" s="781"/>
      <c r="AT176" s="781"/>
      <c r="AU176" s="781"/>
      <c r="AV176" s="781"/>
      <c r="AW176" s="781"/>
      <c r="AX176" s="781"/>
      <c r="AY176" s="781"/>
      <c r="AZ176" s="781"/>
      <c r="BA176" s="781"/>
      <c r="BB176" s="781"/>
      <c r="BC176" s="781"/>
      <c r="BD176" s="781"/>
      <c r="BE176" s="781"/>
      <c r="BF176" s="781"/>
      <c r="BG176" s="781"/>
      <c r="BH176" s="781"/>
      <c r="BI176" s="781"/>
      <c r="BJ176" s="781"/>
      <c r="BK176" s="781"/>
      <c r="BL176" s="781"/>
      <c r="BM176" s="781"/>
      <c r="BN176" s="781"/>
      <c r="BO176" s="781"/>
      <c r="BP176" s="781"/>
      <c r="BQ176" s="781"/>
      <c r="BR176" s="781"/>
      <c r="BS176" s="781"/>
      <c r="BT176" s="781"/>
      <c r="BU176" s="781"/>
    </row>
    <row r="177" spans="39:73" s="166" customFormat="1">
      <c r="AM177" s="781"/>
      <c r="AN177" s="781"/>
      <c r="AO177" s="781"/>
      <c r="AP177" s="781"/>
      <c r="AQ177" s="781"/>
      <c r="AR177" s="781"/>
      <c r="AS177" s="781"/>
      <c r="AT177" s="781"/>
      <c r="AU177" s="781"/>
      <c r="AV177" s="781"/>
      <c r="AW177" s="781"/>
      <c r="AX177" s="781"/>
      <c r="AY177" s="781"/>
      <c r="AZ177" s="781"/>
      <c r="BA177" s="781"/>
      <c r="BB177" s="781"/>
      <c r="BC177" s="781"/>
      <c r="BD177" s="781"/>
      <c r="BE177" s="781"/>
      <c r="BF177" s="781"/>
      <c r="BG177" s="781"/>
      <c r="BH177" s="781"/>
      <c r="BI177" s="781"/>
      <c r="BJ177" s="781"/>
      <c r="BK177" s="781"/>
      <c r="BL177" s="781"/>
      <c r="BM177" s="781"/>
      <c r="BN177" s="781"/>
      <c r="BO177" s="781"/>
      <c r="BP177" s="781"/>
      <c r="BQ177" s="781"/>
      <c r="BR177" s="781"/>
      <c r="BS177" s="781"/>
      <c r="BT177" s="781"/>
      <c r="BU177" s="781"/>
    </row>
    <row r="178" spans="39:73" s="166" customFormat="1">
      <c r="AM178" s="781"/>
      <c r="AN178" s="781"/>
      <c r="AO178" s="781"/>
      <c r="AP178" s="781"/>
      <c r="AQ178" s="781"/>
      <c r="AR178" s="781"/>
      <c r="AS178" s="781"/>
      <c r="AT178" s="781"/>
      <c r="AU178" s="781"/>
      <c r="AV178" s="781"/>
      <c r="AW178" s="781"/>
      <c r="AX178" s="781"/>
      <c r="AY178" s="781"/>
      <c r="AZ178" s="781"/>
      <c r="BA178" s="781"/>
      <c r="BB178" s="781"/>
      <c r="BC178" s="781"/>
      <c r="BD178" s="781"/>
      <c r="BE178" s="781"/>
      <c r="BF178" s="781"/>
      <c r="BG178" s="781"/>
      <c r="BH178" s="781"/>
      <c r="BI178" s="781"/>
      <c r="BJ178" s="781"/>
      <c r="BK178" s="781"/>
      <c r="BL178" s="781"/>
      <c r="BM178" s="781"/>
      <c r="BN178" s="781"/>
      <c r="BO178" s="781"/>
      <c r="BP178" s="781"/>
      <c r="BQ178" s="781"/>
      <c r="BR178" s="781"/>
      <c r="BS178" s="781"/>
      <c r="BT178" s="781"/>
      <c r="BU178" s="781"/>
    </row>
    <row r="179" spans="39:73" s="166" customFormat="1">
      <c r="AM179" s="781"/>
      <c r="AN179" s="781"/>
      <c r="AO179" s="781"/>
      <c r="AP179" s="781"/>
      <c r="AQ179" s="781"/>
      <c r="AR179" s="781"/>
      <c r="AS179" s="781"/>
      <c r="AT179" s="781"/>
      <c r="AU179" s="781"/>
      <c r="AV179" s="781"/>
      <c r="AW179" s="781"/>
      <c r="AX179" s="781"/>
      <c r="AY179" s="781"/>
      <c r="AZ179" s="781"/>
      <c r="BA179" s="781"/>
      <c r="BB179" s="781"/>
      <c r="BC179" s="781"/>
      <c r="BD179" s="781"/>
      <c r="BE179" s="781"/>
      <c r="BF179" s="781"/>
      <c r="BG179" s="781"/>
      <c r="BH179" s="781"/>
      <c r="BI179" s="781"/>
      <c r="BJ179" s="781"/>
      <c r="BK179" s="781"/>
      <c r="BL179" s="781"/>
      <c r="BM179" s="781"/>
      <c r="BN179" s="781"/>
      <c r="BO179" s="781"/>
      <c r="BP179" s="781"/>
      <c r="BQ179" s="781"/>
      <c r="BR179" s="781"/>
      <c r="BS179" s="781"/>
      <c r="BT179" s="781"/>
      <c r="BU179" s="781"/>
    </row>
    <row r="180" spans="39:73" s="166" customFormat="1">
      <c r="AM180" s="781"/>
      <c r="AN180" s="781"/>
      <c r="AO180" s="781"/>
      <c r="AP180" s="781"/>
      <c r="AQ180" s="781"/>
      <c r="AR180" s="781"/>
      <c r="AS180" s="781"/>
      <c r="AT180" s="781"/>
      <c r="AU180" s="781"/>
      <c r="AV180" s="781"/>
      <c r="AW180" s="781"/>
      <c r="AX180" s="781"/>
      <c r="AY180" s="781"/>
      <c r="AZ180" s="781"/>
      <c r="BA180" s="781"/>
      <c r="BB180" s="781"/>
      <c r="BC180" s="781"/>
      <c r="BD180" s="781"/>
      <c r="BE180" s="781"/>
      <c r="BF180" s="781"/>
      <c r="BG180" s="781"/>
      <c r="BH180" s="781"/>
      <c r="BI180" s="781"/>
      <c r="BJ180" s="781"/>
      <c r="BK180" s="781"/>
      <c r="BL180" s="781"/>
      <c r="BM180" s="781"/>
      <c r="BN180" s="781"/>
      <c r="BO180" s="781"/>
      <c r="BP180" s="781"/>
      <c r="BQ180" s="781"/>
      <c r="BR180" s="781"/>
      <c r="BS180" s="781"/>
      <c r="BT180" s="781"/>
      <c r="BU180" s="781"/>
    </row>
    <row r="181" spans="39:73" s="166" customFormat="1">
      <c r="AM181" s="781"/>
      <c r="AN181" s="781"/>
      <c r="AO181" s="781"/>
      <c r="AP181" s="781"/>
      <c r="AQ181" s="781"/>
      <c r="AR181" s="781"/>
      <c r="AS181" s="781"/>
      <c r="AT181" s="781"/>
      <c r="AU181" s="781"/>
      <c r="AV181" s="781"/>
      <c r="AW181" s="781"/>
      <c r="AX181" s="781"/>
      <c r="AY181" s="781"/>
      <c r="AZ181" s="781"/>
      <c r="BA181" s="781"/>
      <c r="BB181" s="781"/>
      <c r="BC181" s="781"/>
      <c r="BD181" s="781"/>
      <c r="BE181" s="781"/>
      <c r="BF181" s="781"/>
      <c r="BG181" s="781"/>
      <c r="BH181" s="781"/>
      <c r="BI181" s="781"/>
      <c r="BJ181" s="781"/>
      <c r="BK181" s="781"/>
      <c r="BL181" s="781"/>
      <c r="BM181" s="781"/>
      <c r="BN181" s="781"/>
      <c r="BO181" s="781"/>
      <c r="BP181" s="781"/>
      <c r="BQ181" s="781"/>
      <c r="BR181" s="781"/>
      <c r="BS181" s="781"/>
      <c r="BT181" s="781"/>
      <c r="BU181" s="781"/>
    </row>
    <row r="182" spans="39:73" s="166" customFormat="1">
      <c r="AM182" s="781"/>
      <c r="AN182" s="781"/>
      <c r="AO182" s="781"/>
      <c r="AP182" s="781"/>
      <c r="AQ182" s="781"/>
      <c r="AR182" s="781"/>
      <c r="AS182" s="781"/>
      <c r="AT182" s="781"/>
      <c r="AU182" s="781"/>
      <c r="AV182" s="781"/>
      <c r="AW182" s="781"/>
      <c r="AX182" s="781"/>
      <c r="AY182" s="781"/>
      <c r="AZ182" s="781"/>
      <c r="BA182" s="781"/>
      <c r="BB182" s="781"/>
      <c r="BC182" s="781"/>
      <c r="BD182" s="781"/>
      <c r="BE182" s="781"/>
      <c r="BF182" s="781"/>
      <c r="BG182" s="781"/>
      <c r="BH182" s="781"/>
      <c r="BI182" s="781"/>
      <c r="BJ182" s="781"/>
      <c r="BK182" s="781"/>
      <c r="BL182" s="781"/>
      <c r="BM182" s="781"/>
      <c r="BN182" s="781"/>
      <c r="BO182" s="781"/>
      <c r="BP182" s="781"/>
      <c r="BQ182" s="781"/>
      <c r="BR182" s="781"/>
      <c r="BS182" s="781"/>
      <c r="BT182" s="781"/>
      <c r="BU182" s="781"/>
    </row>
    <row r="183" spans="39:73" s="166" customFormat="1">
      <c r="AM183" s="781"/>
      <c r="AN183" s="781"/>
      <c r="AO183" s="781"/>
      <c r="AP183" s="781"/>
      <c r="AQ183" s="781"/>
      <c r="AR183" s="781"/>
      <c r="AS183" s="781"/>
      <c r="AT183" s="781"/>
      <c r="AU183" s="781"/>
      <c r="AV183" s="781"/>
      <c r="AW183" s="781"/>
      <c r="AX183" s="781"/>
      <c r="AY183" s="781"/>
      <c r="AZ183" s="781"/>
      <c r="BA183" s="781"/>
      <c r="BB183" s="781"/>
      <c r="BC183" s="781"/>
      <c r="BD183" s="781"/>
      <c r="BE183" s="781"/>
      <c r="BF183" s="781"/>
      <c r="BG183" s="781"/>
      <c r="BH183" s="781"/>
      <c r="BI183" s="781"/>
      <c r="BJ183" s="781"/>
      <c r="BK183" s="781"/>
      <c r="BL183" s="781"/>
      <c r="BM183" s="781"/>
      <c r="BN183" s="781"/>
      <c r="BO183" s="781"/>
      <c r="BP183" s="781"/>
      <c r="BQ183" s="781"/>
      <c r="BR183" s="781"/>
      <c r="BS183" s="781"/>
      <c r="BT183" s="781"/>
      <c r="BU183" s="781"/>
    </row>
    <row r="184" spans="39:73" s="166" customFormat="1">
      <c r="AM184" s="781"/>
      <c r="AN184" s="781"/>
      <c r="AO184" s="781"/>
      <c r="AP184" s="781"/>
      <c r="AQ184" s="781"/>
      <c r="AR184" s="781"/>
      <c r="AS184" s="781"/>
      <c r="AT184" s="781"/>
      <c r="AU184" s="781"/>
      <c r="AV184" s="781"/>
      <c r="AW184" s="781"/>
      <c r="AX184" s="781"/>
      <c r="AY184" s="781"/>
      <c r="AZ184" s="781"/>
      <c r="BA184" s="781"/>
      <c r="BB184" s="781"/>
      <c r="BC184" s="781"/>
      <c r="BD184" s="781"/>
      <c r="BE184" s="781"/>
      <c r="BF184" s="781"/>
      <c r="BG184" s="781"/>
      <c r="BH184" s="781"/>
      <c r="BI184" s="781"/>
      <c r="BJ184" s="781"/>
      <c r="BK184" s="781"/>
      <c r="BL184" s="781"/>
      <c r="BM184" s="781"/>
      <c r="BN184" s="781"/>
      <c r="BO184" s="781"/>
      <c r="BP184" s="781"/>
      <c r="BQ184" s="781"/>
      <c r="BR184" s="781"/>
      <c r="BS184" s="781"/>
      <c r="BT184" s="781"/>
      <c r="BU184" s="781"/>
    </row>
    <row r="185" spans="39:73" s="166" customFormat="1">
      <c r="AM185" s="781"/>
      <c r="AN185" s="781"/>
      <c r="AO185" s="781"/>
      <c r="AP185" s="781"/>
      <c r="AQ185" s="781"/>
      <c r="AR185" s="781"/>
      <c r="AS185" s="781"/>
      <c r="AT185" s="781"/>
      <c r="AU185" s="781"/>
      <c r="AV185" s="781"/>
      <c r="AW185" s="781"/>
      <c r="AX185" s="781"/>
      <c r="AY185" s="781"/>
      <c r="AZ185" s="781"/>
      <c r="BA185" s="781"/>
      <c r="BB185" s="781"/>
      <c r="BC185" s="781"/>
      <c r="BD185" s="781"/>
      <c r="BE185" s="781"/>
      <c r="BF185" s="781"/>
      <c r="BG185" s="781"/>
      <c r="BH185" s="781"/>
      <c r="BI185" s="781"/>
      <c r="BJ185" s="781"/>
      <c r="BK185" s="781"/>
      <c r="BL185" s="781"/>
      <c r="BM185" s="781"/>
      <c r="BN185" s="781"/>
      <c r="BO185" s="781"/>
      <c r="BP185" s="781"/>
      <c r="BQ185" s="781"/>
      <c r="BR185" s="781"/>
      <c r="BS185" s="781"/>
      <c r="BT185" s="781"/>
      <c r="BU185" s="781"/>
    </row>
    <row r="186" spans="39:73" s="166" customFormat="1">
      <c r="AM186" s="781"/>
      <c r="AN186" s="781"/>
      <c r="AO186" s="781"/>
      <c r="AP186" s="781"/>
      <c r="AQ186" s="781"/>
      <c r="AR186" s="781"/>
      <c r="AS186" s="781"/>
      <c r="AT186" s="781"/>
      <c r="AU186" s="781"/>
      <c r="AV186" s="781"/>
      <c r="AW186" s="781"/>
      <c r="AX186" s="781"/>
      <c r="AY186" s="781"/>
      <c r="AZ186" s="781"/>
      <c r="BA186" s="781"/>
      <c r="BB186" s="781"/>
      <c r="BC186" s="781"/>
      <c r="BD186" s="781"/>
      <c r="BE186" s="781"/>
      <c r="BF186" s="781"/>
      <c r="BG186" s="781"/>
      <c r="BH186" s="781"/>
      <c r="BI186" s="781"/>
      <c r="BJ186" s="781"/>
      <c r="BK186" s="781"/>
      <c r="BL186" s="781"/>
      <c r="BM186" s="781"/>
      <c r="BN186" s="781"/>
      <c r="BO186" s="781"/>
      <c r="BP186" s="781"/>
      <c r="BQ186" s="781"/>
      <c r="BR186" s="781"/>
      <c r="BS186" s="781"/>
      <c r="BT186" s="781"/>
      <c r="BU186" s="781"/>
    </row>
    <row r="187" spans="39:73" s="166" customFormat="1">
      <c r="AM187" s="781"/>
      <c r="AN187" s="781"/>
      <c r="AO187" s="781"/>
      <c r="AP187" s="781"/>
      <c r="AQ187" s="781"/>
      <c r="AR187" s="781"/>
      <c r="AS187" s="781"/>
      <c r="AT187" s="781"/>
      <c r="AU187" s="781"/>
      <c r="AV187" s="781"/>
      <c r="AW187" s="781"/>
      <c r="AX187" s="781"/>
      <c r="AY187" s="781"/>
      <c r="AZ187" s="781"/>
      <c r="BA187" s="781"/>
      <c r="BB187" s="781"/>
      <c r="BC187" s="781"/>
      <c r="BD187" s="781"/>
      <c r="BE187" s="781"/>
      <c r="BF187" s="781"/>
      <c r="BG187" s="781"/>
      <c r="BH187" s="781"/>
      <c r="BI187" s="781"/>
      <c r="BJ187" s="781"/>
      <c r="BK187" s="781"/>
      <c r="BL187" s="781"/>
      <c r="BM187" s="781"/>
      <c r="BN187" s="781"/>
      <c r="BO187" s="781"/>
      <c r="BP187" s="781"/>
      <c r="BQ187" s="781"/>
      <c r="BR187" s="781"/>
      <c r="BS187" s="781"/>
      <c r="BT187" s="781"/>
      <c r="BU187" s="781"/>
    </row>
    <row r="188" spans="39:73" s="166" customFormat="1">
      <c r="AM188" s="781"/>
      <c r="AN188" s="781"/>
      <c r="AO188" s="781"/>
      <c r="AP188" s="781"/>
      <c r="AQ188" s="781"/>
      <c r="AR188" s="781"/>
      <c r="AS188" s="781"/>
      <c r="AT188" s="781"/>
      <c r="AU188" s="781"/>
      <c r="AV188" s="781"/>
      <c r="AW188" s="781"/>
      <c r="AX188" s="781"/>
      <c r="AY188" s="781"/>
      <c r="AZ188" s="781"/>
      <c r="BA188" s="781"/>
      <c r="BB188" s="781"/>
      <c r="BC188" s="781"/>
      <c r="BD188" s="781"/>
      <c r="BE188" s="781"/>
      <c r="BF188" s="781"/>
      <c r="BG188" s="781"/>
      <c r="BH188" s="781"/>
      <c r="BI188" s="781"/>
      <c r="BJ188" s="781"/>
      <c r="BK188" s="781"/>
      <c r="BL188" s="781"/>
      <c r="BM188" s="781"/>
      <c r="BN188" s="781"/>
      <c r="BO188" s="781"/>
      <c r="BP188" s="781"/>
      <c r="BQ188" s="781"/>
      <c r="BR188" s="781"/>
      <c r="BS188" s="781"/>
      <c r="BT188" s="781"/>
      <c r="BU188" s="781"/>
    </row>
    <row r="189" spans="39:73" s="166" customFormat="1">
      <c r="AM189" s="781"/>
      <c r="AN189" s="781"/>
      <c r="AO189" s="781"/>
      <c r="AP189" s="781"/>
      <c r="AQ189" s="781"/>
      <c r="AR189" s="781"/>
      <c r="AS189" s="781"/>
      <c r="AT189" s="781"/>
      <c r="AU189" s="781"/>
      <c r="AV189" s="781"/>
      <c r="AW189" s="781"/>
      <c r="AX189" s="781"/>
      <c r="AY189" s="781"/>
      <c r="AZ189" s="781"/>
      <c r="BA189" s="781"/>
      <c r="BB189" s="781"/>
      <c r="BC189" s="781"/>
      <c r="BD189" s="781"/>
      <c r="BE189" s="781"/>
      <c r="BF189" s="781"/>
      <c r="BG189" s="781"/>
      <c r="BH189" s="781"/>
      <c r="BI189" s="781"/>
      <c r="BJ189" s="781"/>
      <c r="BK189" s="781"/>
      <c r="BL189" s="781"/>
      <c r="BM189" s="781"/>
      <c r="BN189" s="781"/>
      <c r="BO189" s="781"/>
      <c r="BP189" s="781"/>
      <c r="BQ189" s="781"/>
      <c r="BR189" s="781"/>
      <c r="BS189" s="781"/>
      <c r="BT189" s="781"/>
      <c r="BU189" s="781"/>
    </row>
    <row r="190" spans="39:73" s="166" customFormat="1">
      <c r="AM190" s="781"/>
      <c r="AN190" s="781"/>
      <c r="AO190" s="781"/>
      <c r="AP190" s="781"/>
      <c r="AQ190" s="781"/>
      <c r="AR190" s="781"/>
      <c r="AS190" s="781"/>
      <c r="AT190" s="781"/>
      <c r="AU190" s="781"/>
      <c r="AV190" s="781"/>
      <c r="AW190" s="781"/>
      <c r="AX190" s="781"/>
      <c r="AY190" s="781"/>
      <c r="AZ190" s="781"/>
      <c r="BA190" s="781"/>
      <c r="BB190" s="781"/>
      <c r="BC190" s="781"/>
      <c r="BD190" s="781"/>
      <c r="BE190" s="781"/>
      <c r="BF190" s="781"/>
      <c r="BG190" s="781"/>
      <c r="BH190" s="781"/>
      <c r="BI190" s="781"/>
      <c r="BJ190" s="781"/>
      <c r="BK190" s="781"/>
      <c r="BL190" s="781"/>
      <c r="BM190" s="781"/>
      <c r="BN190" s="781"/>
      <c r="BO190" s="781"/>
      <c r="BP190" s="781"/>
      <c r="BQ190" s="781"/>
      <c r="BR190" s="781"/>
      <c r="BS190" s="781"/>
      <c r="BT190" s="781"/>
      <c r="BU190" s="781"/>
    </row>
    <row r="191" spans="39:73" s="166" customFormat="1">
      <c r="AM191" s="781"/>
      <c r="AN191" s="781"/>
      <c r="AO191" s="781"/>
      <c r="AP191" s="781"/>
      <c r="AQ191" s="781"/>
      <c r="AR191" s="781"/>
      <c r="AS191" s="781"/>
      <c r="AT191" s="781"/>
      <c r="AU191" s="781"/>
      <c r="AV191" s="781"/>
      <c r="AW191" s="781"/>
      <c r="AX191" s="781"/>
      <c r="AY191" s="781"/>
      <c r="AZ191" s="781"/>
      <c r="BA191" s="781"/>
      <c r="BB191" s="781"/>
      <c r="BC191" s="781"/>
      <c r="BD191" s="781"/>
      <c r="BE191" s="781"/>
      <c r="BF191" s="781"/>
      <c r="BG191" s="781"/>
      <c r="BH191" s="781"/>
      <c r="BI191" s="781"/>
      <c r="BJ191" s="781"/>
      <c r="BK191" s="781"/>
      <c r="BL191" s="781"/>
      <c r="BM191" s="781"/>
      <c r="BN191" s="781"/>
      <c r="BO191" s="781"/>
      <c r="BP191" s="781"/>
      <c r="BQ191" s="781"/>
      <c r="BR191" s="781"/>
      <c r="BS191" s="781"/>
      <c r="BT191" s="781"/>
      <c r="BU191" s="781"/>
    </row>
    <row r="192" spans="39:73" s="166" customFormat="1">
      <c r="AM192" s="781"/>
      <c r="AN192" s="781"/>
      <c r="AO192" s="781"/>
      <c r="AP192" s="781"/>
      <c r="AQ192" s="781"/>
      <c r="AR192" s="781"/>
      <c r="AS192" s="781"/>
      <c r="AT192" s="781"/>
      <c r="AU192" s="781"/>
      <c r="AV192" s="781"/>
      <c r="AW192" s="781"/>
      <c r="AX192" s="781"/>
      <c r="AY192" s="781"/>
      <c r="AZ192" s="781"/>
      <c r="BA192" s="781"/>
      <c r="BB192" s="781"/>
      <c r="BC192" s="781"/>
      <c r="BD192" s="781"/>
      <c r="BE192" s="781"/>
      <c r="BF192" s="781"/>
      <c r="BG192" s="781"/>
      <c r="BH192" s="781"/>
      <c r="BI192" s="781"/>
      <c r="BJ192" s="781"/>
      <c r="BK192" s="781"/>
      <c r="BL192" s="781"/>
      <c r="BM192" s="781"/>
      <c r="BN192" s="781"/>
      <c r="BO192" s="781"/>
      <c r="BP192" s="781"/>
      <c r="BQ192" s="781"/>
      <c r="BR192" s="781"/>
      <c r="BS192" s="781"/>
      <c r="BT192" s="781"/>
      <c r="BU192" s="781"/>
    </row>
    <row r="193" spans="39:73" s="166" customFormat="1">
      <c r="AM193" s="781"/>
      <c r="AN193" s="781"/>
      <c r="AO193" s="781"/>
      <c r="AP193" s="781"/>
      <c r="AQ193" s="781"/>
      <c r="AR193" s="781"/>
      <c r="AS193" s="781"/>
      <c r="AT193" s="781"/>
      <c r="AU193" s="781"/>
      <c r="AV193" s="781"/>
      <c r="AW193" s="781"/>
      <c r="AX193" s="781"/>
      <c r="AY193" s="781"/>
      <c r="AZ193" s="781"/>
      <c r="BA193" s="781"/>
      <c r="BB193" s="781"/>
      <c r="BC193" s="781"/>
      <c r="BD193" s="781"/>
      <c r="BE193" s="781"/>
      <c r="BF193" s="781"/>
      <c r="BG193" s="781"/>
      <c r="BH193" s="781"/>
      <c r="BI193" s="781"/>
      <c r="BJ193" s="781"/>
      <c r="BK193" s="781"/>
      <c r="BL193" s="781"/>
      <c r="BM193" s="781"/>
      <c r="BN193" s="781"/>
      <c r="BO193" s="781"/>
      <c r="BP193" s="781"/>
      <c r="BQ193" s="781"/>
      <c r="BR193" s="781"/>
      <c r="BS193" s="781"/>
      <c r="BT193" s="781"/>
      <c r="BU193" s="781"/>
    </row>
    <row r="194" spans="39:73" s="166" customFormat="1">
      <c r="AM194" s="781"/>
      <c r="AN194" s="781"/>
      <c r="AO194" s="781"/>
      <c r="AP194" s="781"/>
      <c r="AQ194" s="781"/>
      <c r="AR194" s="781"/>
      <c r="AS194" s="781"/>
      <c r="AT194" s="781"/>
      <c r="AU194" s="781"/>
      <c r="AV194" s="781"/>
      <c r="AW194" s="781"/>
      <c r="AX194" s="781"/>
      <c r="AY194" s="781"/>
      <c r="AZ194" s="781"/>
      <c r="BA194" s="781"/>
      <c r="BB194" s="781"/>
      <c r="BC194" s="781"/>
      <c r="BD194" s="781"/>
      <c r="BE194" s="781"/>
      <c r="BF194" s="781"/>
      <c r="BG194" s="781"/>
      <c r="BH194" s="781"/>
      <c r="BI194" s="781"/>
      <c r="BJ194" s="781"/>
      <c r="BK194" s="781"/>
      <c r="BL194" s="781"/>
      <c r="BM194" s="781"/>
      <c r="BN194" s="781"/>
      <c r="BO194" s="781"/>
      <c r="BP194" s="781"/>
      <c r="BQ194" s="781"/>
      <c r="BR194" s="781"/>
      <c r="BS194" s="781"/>
      <c r="BT194" s="781"/>
      <c r="BU194" s="781"/>
    </row>
    <row r="195" spans="39:73" s="166" customFormat="1">
      <c r="AM195" s="781"/>
      <c r="AN195" s="781"/>
      <c r="AO195" s="781"/>
      <c r="AP195" s="781"/>
      <c r="AQ195" s="781"/>
      <c r="AR195" s="781"/>
      <c r="AS195" s="781"/>
      <c r="AT195" s="781"/>
      <c r="AU195" s="781"/>
      <c r="AV195" s="781"/>
      <c r="AW195" s="781"/>
      <c r="AX195" s="781"/>
      <c r="AY195" s="781"/>
      <c r="AZ195" s="781"/>
      <c r="BA195" s="781"/>
      <c r="BB195" s="781"/>
      <c r="BC195" s="781"/>
      <c r="BD195" s="781"/>
      <c r="BE195" s="781"/>
      <c r="BF195" s="781"/>
      <c r="BG195" s="781"/>
      <c r="BH195" s="781"/>
      <c r="BI195" s="781"/>
      <c r="BJ195" s="781"/>
      <c r="BK195" s="781"/>
      <c r="BL195" s="781"/>
      <c r="BM195" s="781"/>
      <c r="BN195" s="781"/>
      <c r="BO195" s="781"/>
      <c r="BP195" s="781"/>
      <c r="BQ195" s="781"/>
      <c r="BR195" s="781"/>
      <c r="BS195" s="781"/>
      <c r="BT195" s="781"/>
      <c r="BU195" s="781"/>
    </row>
    <row r="196" spans="39:73" s="166" customFormat="1">
      <c r="AM196" s="781"/>
      <c r="AN196" s="781"/>
      <c r="AO196" s="781"/>
      <c r="AP196" s="781"/>
      <c r="AQ196" s="781"/>
      <c r="AR196" s="781"/>
      <c r="AS196" s="781"/>
      <c r="AT196" s="781"/>
      <c r="AU196" s="781"/>
      <c r="AV196" s="781"/>
      <c r="AW196" s="781"/>
      <c r="AX196" s="781"/>
      <c r="AY196" s="781"/>
      <c r="AZ196" s="781"/>
      <c r="BA196" s="781"/>
      <c r="BB196" s="781"/>
      <c r="BC196" s="781"/>
      <c r="BD196" s="781"/>
      <c r="BE196" s="781"/>
      <c r="BF196" s="781"/>
      <c r="BG196" s="781"/>
      <c r="BH196" s="781"/>
      <c r="BI196" s="781"/>
      <c r="BJ196" s="781"/>
      <c r="BK196" s="781"/>
      <c r="BL196" s="781"/>
      <c r="BM196" s="781"/>
      <c r="BN196" s="781"/>
      <c r="BO196" s="781"/>
      <c r="BP196" s="781"/>
      <c r="BQ196" s="781"/>
      <c r="BR196" s="781"/>
      <c r="BS196" s="781"/>
      <c r="BT196" s="781"/>
      <c r="BU196" s="781"/>
    </row>
    <row r="197" spans="39:73" s="166" customFormat="1">
      <c r="AM197" s="781"/>
      <c r="AN197" s="781"/>
      <c r="AO197" s="781"/>
      <c r="AP197" s="781"/>
      <c r="AQ197" s="781"/>
      <c r="AR197" s="781"/>
      <c r="AS197" s="781"/>
      <c r="AT197" s="781"/>
      <c r="AU197" s="781"/>
      <c r="AV197" s="781"/>
      <c r="AW197" s="781"/>
      <c r="AX197" s="781"/>
      <c r="AY197" s="781"/>
      <c r="AZ197" s="781"/>
      <c r="BA197" s="781"/>
      <c r="BB197" s="781"/>
      <c r="BC197" s="781"/>
      <c r="BD197" s="781"/>
      <c r="BE197" s="781"/>
      <c r="BF197" s="781"/>
      <c r="BG197" s="781"/>
      <c r="BH197" s="781"/>
      <c r="BI197" s="781"/>
      <c r="BJ197" s="781"/>
      <c r="BK197" s="781"/>
      <c r="BL197" s="781"/>
      <c r="BM197" s="781"/>
      <c r="BN197" s="781"/>
      <c r="BO197" s="781"/>
      <c r="BP197" s="781"/>
      <c r="BQ197" s="781"/>
      <c r="BR197" s="781"/>
      <c r="BS197" s="781"/>
      <c r="BT197" s="781"/>
      <c r="BU197" s="781"/>
    </row>
    <row r="198" spans="39:73" s="166" customFormat="1">
      <c r="AM198" s="781"/>
      <c r="AN198" s="781"/>
      <c r="AO198" s="781"/>
      <c r="AP198" s="781"/>
      <c r="AQ198" s="781"/>
      <c r="AR198" s="781"/>
      <c r="AS198" s="781"/>
      <c r="AT198" s="781"/>
      <c r="AU198" s="781"/>
      <c r="AV198" s="781"/>
      <c r="AW198" s="781"/>
      <c r="AX198" s="781"/>
      <c r="AY198" s="781"/>
      <c r="AZ198" s="781"/>
      <c r="BA198" s="781"/>
      <c r="BB198" s="781"/>
      <c r="BC198" s="781"/>
      <c r="BD198" s="781"/>
      <c r="BE198" s="781"/>
      <c r="BF198" s="781"/>
      <c r="BG198" s="781"/>
      <c r="BH198" s="781"/>
      <c r="BI198" s="781"/>
      <c r="BJ198" s="781"/>
      <c r="BK198" s="781"/>
      <c r="BL198" s="781"/>
      <c r="BM198" s="781"/>
      <c r="BN198" s="781"/>
      <c r="BO198" s="781"/>
      <c r="BP198" s="781"/>
      <c r="BQ198" s="781"/>
      <c r="BR198" s="781"/>
      <c r="BS198" s="781"/>
      <c r="BT198" s="781"/>
      <c r="BU198" s="781"/>
    </row>
    <row r="199" spans="39:73" s="166" customFormat="1">
      <c r="AM199" s="781"/>
      <c r="AN199" s="781"/>
      <c r="AO199" s="781"/>
      <c r="AP199" s="781"/>
      <c r="AQ199" s="781"/>
      <c r="AR199" s="781"/>
      <c r="AS199" s="781"/>
      <c r="AT199" s="781"/>
      <c r="AU199" s="781"/>
      <c r="AV199" s="781"/>
      <c r="AW199" s="781"/>
      <c r="AX199" s="781"/>
      <c r="AY199" s="781"/>
      <c r="AZ199" s="781"/>
      <c r="BA199" s="781"/>
      <c r="BB199" s="781"/>
      <c r="BC199" s="781"/>
      <c r="BD199" s="781"/>
      <c r="BE199" s="781"/>
      <c r="BF199" s="781"/>
      <c r="BG199" s="781"/>
      <c r="BH199" s="781"/>
      <c r="BI199" s="781"/>
      <c r="BJ199" s="781"/>
      <c r="BK199" s="781"/>
      <c r="BL199" s="781"/>
      <c r="BM199" s="781"/>
      <c r="BN199" s="781"/>
      <c r="BO199" s="781"/>
      <c r="BP199" s="781"/>
      <c r="BQ199" s="781"/>
      <c r="BR199" s="781"/>
      <c r="BS199" s="781"/>
      <c r="BT199" s="781"/>
      <c r="BU199" s="781"/>
    </row>
    <row r="200" spans="39:73" s="166" customFormat="1">
      <c r="AM200" s="781"/>
      <c r="AN200" s="781"/>
      <c r="AO200" s="781"/>
      <c r="AP200" s="781"/>
      <c r="AQ200" s="781"/>
      <c r="AR200" s="781"/>
      <c r="AS200" s="781"/>
      <c r="AT200" s="781"/>
      <c r="AU200" s="781"/>
      <c r="AV200" s="781"/>
      <c r="AW200" s="781"/>
      <c r="AX200" s="781"/>
      <c r="AY200" s="781"/>
      <c r="AZ200" s="781"/>
      <c r="BA200" s="781"/>
      <c r="BB200" s="781"/>
      <c r="BC200" s="781"/>
      <c r="BD200" s="781"/>
      <c r="BE200" s="781"/>
      <c r="BF200" s="781"/>
      <c r="BG200" s="781"/>
      <c r="BH200" s="781"/>
      <c r="BI200" s="781"/>
      <c r="BJ200" s="781"/>
      <c r="BK200" s="781"/>
      <c r="BL200" s="781"/>
      <c r="BM200" s="781"/>
      <c r="BN200" s="781"/>
      <c r="BO200" s="781"/>
      <c r="BP200" s="781"/>
      <c r="BQ200" s="781"/>
      <c r="BR200" s="781"/>
      <c r="BS200" s="781"/>
      <c r="BT200" s="781"/>
      <c r="BU200" s="781"/>
    </row>
    <row r="201" spans="39:73" s="166" customFormat="1">
      <c r="AM201" s="781"/>
      <c r="AN201" s="781"/>
      <c r="AO201" s="781"/>
      <c r="AP201" s="781"/>
      <c r="AQ201" s="781"/>
      <c r="AR201" s="781"/>
      <c r="AS201" s="781"/>
      <c r="AT201" s="781"/>
      <c r="AU201" s="781"/>
      <c r="AV201" s="781"/>
      <c r="AW201" s="781"/>
      <c r="AX201" s="781"/>
      <c r="AY201" s="781"/>
      <c r="AZ201" s="781"/>
      <c r="BA201" s="781"/>
      <c r="BB201" s="781"/>
      <c r="BC201" s="781"/>
      <c r="BD201" s="781"/>
      <c r="BE201" s="781"/>
      <c r="BF201" s="781"/>
      <c r="BG201" s="781"/>
      <c r="BH201" s="781"/>
      <c r="BI201" s="781"/>
      <c r="BJ201" s="781"/>
      <c r="BK201" s="781"/>
      <c r="BL201" s="781"/>
      <c r="BM201" s="781"/>
      <c r="BN201" s="781"/>
      <c r="BO201" s="781"/>
      <c r="BP201" s="781"/>
      <c r="BQ201" s="781"/>
      <c r="BR201" s="781"/>
      <c r="BS201" s="781"/>
      <c r="BT201" s="781"/>
      <c r="BU201" s="781"/>
    </row>
    <row r="202" spans="39:73" s="166" customFormat="1">
      <c r="AM202" s="781"/>
      <c r="AN202" s="781"/>
      <c r="AO202" s="781"/>
      <c r="AP202" s="781"/>
      <c r="AQ202" s="781"/>
      <c r="AR202" s="781"/>
      <c r="AS202" s="781"/>
      <c r="AT202" s="781"/>
      <c r="AU202" s="781"/>
      <c r="AV202" s="781"/>
      <c r="AW202" s="781"/>
      <c r="AX202" s="781"/>
      <c r="AY202" s="781"/>
      <c r="AZ202" s="781"/>
      <c r="BA202" s="781"/>
      <c r="BB202" s="781"/>
      <c r="BC202" s="781"/>
      <c r="BD202" s="781"/>
      <c r="BE202" s="781"/>
      <c r="BF202" s="781"/>
      <c r="BG202" s="781"/>
      <c r="BH202" s="781"/>
      <c r="BI202" s="781"/>
      <c r="BJ202" s="781"/>
      <c r="BK202" s="781"/>
      <c r="BL202" s="781"/>
      <c r="BM202" s="781"/>
      <c r="BN202" s="781"/>
      <c r="BO202" s="781"/>
      <c r="BP202" s="781"/>
      <c r="BQ202" s="781"/>
      <c r="BR202" s="781"/>
      <c r="BS202" s="781"/>
      <c r="BT202" s="781"/>
      <c r="BU202" s="781"/>
    </row>
    <row r="203" spans="39:73" s="166" customFormat="1">
      <c r="AM203" s="781"/>
      <c r="AN203" s="781"/>
      <c r="AO203" s="781"/>
      <c r="AP203" s="781"/>
      <c r="AQ203" s="781"/>
      <c r="AR203" s="781"/>
      <c r="AS203" s="781"/>
      <c r="AT203" s="781"/>
      <c r="AU203" s="781"/>
      <c r="AV203" s="781"/>
      <c r="AW203" s="781"/>
      <c r="AX203" s="781"/>
      <c r="AY203" s="781"/>
      <c r="AZ203" s="781"/>
      <c r="BA203" s="781"/>
      <c r="BB203" s="781"/>
      <c r="BC203" s="781"/>
      <c r="BD203" s="781"/>
      <c r="BE203" s="781"/>
      <c r="BF203" s="781"/>
      <c r="BG203" s="781"/>
      <c r="BH203" s="781"/>
      <c r="BI203" s="781"/>
      <c r="BJ203" s="781"/>
      <c r="BK203" s="781"/>
      <c r="BL203" s="781"/>
      <c r="BM203" s="781"/>
      <c r="BN203" s="781"/>
      <c r="BO203" s="781"/>
      <c r="BP203" s="781"/>
      <c r="BQ203" s="781"/>
      <c r="BR203" s="781"/>
      <c r="BS203" s="781"/>
      <c r="BT203" s="781"/>
      <c r="BU203" s="781"/>
    </row>
    <row r="204" spans="39:73" s="166" customFormat="1">
      <c r="AM204" s="781"/>
      <c r="AN204" s="781"/>
      <c r="AO204" s="781"/>
      <c r="AP204" s="781"/>
      <c r="AQ204" s="781"/>
      <c r="AR204" s="781"/>
      <c r="AS204" s="781"/>
      <c r="AT204" s="781"/>
      <c r="AU204" s="781"/>
      <c r="AV204" s="781"/>
      <c r="AW204" s="781"/>
      <c r="AX204" s="781"/>
      <c r="AY204" s="781"/>
      <c r="AZ204" s="781"/>
      <c r="BA204" s="781"/>
      <c r="BB204" s="781"/>
      <c r="BC204" s="781"/>
      <c r="BD204" s="781"/>
      <c r="BE204" s="781"/>
      <c r="BF204" s="781"/>
      <c r="BG204" s="781"/>
      <c r="BH204" s="781"/>
      <c r="BI204" s="781"/>
      <c r="BJ204" s="781"/>
      <c r="BK204" s="781"/>
      <c r="BL204" s="781"/>
      <c r="BM204" s="781"/>
      <c r="BN204" s="781"/>
      <c r="BO204" s="781"/>
      <c r="BP204" s="781"/>
      <c r="BQ204" s="781"/>
      <c r="BR204" s="781"/>
      <c r="BS204" s="781"/>
      <c r="BT204" s="781"/>
      <c r="BU204" s="781"/>
    </row>
    <row r="205" spans="39:73" s="166" customFormat="1">
      <c r="AM205" s="781"/>
      <c r="AN205" s="781"/>
      <c r="AO205" s="781"/>
      <c r="AP205" s="781"/>
      <c r="AQ205" s="781"/>
      <c r="AR205" s="781"/>
      <c r="AS205" s="781"/>
      <c r="AT205" s="781"/>
      <c r="AU205" s="781"/>
      <c r="AV205" s="781"/>
      <c r="AW205" s="781"/>
      <c r="AX205" s="781"/>
      <c r="AY205" s="781"/>
      <c r="AZ205" s="781"/>
      <c r="BA205" s="781"/>
      <c r="BB205" s="781"/>
      <c r="BC205" s="781"/>
      <c r="BD205" s="781"/>
      <c r="BE205" s="781"/>
      <c r="BF205" s="781"/>
      <c r="BG205" s="781"/>
      <c r="BH205" s="781"/>
      <c r="BI205" s="781"/>
      <c r="BJ205" s="781"/>
      <c r="BK205" s="781"/>
      <c r="BL205" s="781"/>
      <c r="BM205" s="781"/>
      <c r="BN205" s="781"/>
      <c r="BO205" s="781"/>
      <c r="BP205" s="781"/>
      <c r="BQ205" s="781"/>
      <c r="BR205" s="781"/>
      <c r="BS205" s="781"/>
      <c r="BT205" s="781"/>
      <c r="BU205" s="781"/>
    </row>
    <row r="206" spans="39:73" s="166" customFormat="1">
      <c r="AM206" s="781"/>
      <c r="AN206" s="781"/>
      <c r="AO206" s="781"/>
      <c r="AP206" s="781"/>
      <c r="AQ206" s="781"/>
      <c r="AR206" s="781"/>
      <c r="AS206" s="781"/>
      <c r="AT206" s="781"/>
      <c r="AU206" s="781"/>
      <c r="AV206" s="781"/>
      <c r="AW206" s="781"/>
      <c r="AX206" s="781"/>
      <c r="AY206" s="781"/>
      <c r="AZ206" s="781"/>
      <c r="BA206" s="781"/>
      <c r="BB206" s="781"/>
      <c r="BC206" s="781"/>
      <c r="BD206" s="781"/>
      <c r="BE206" s="781"/>
      <c r="BF206" s="781"/>
      <c r="BG206" s="781"/>
      <c r="BH206" s="781"/>
      <c r="BI206" s="781"/>
      <c r="BJ206" s="781"/>
      <c r="BK206" s="781"/>
      <c r="BL206" s="781"/>
      <c r="BM206" s="781"/>
      <c r="BN206" s="781"/>
      <c r="BO206" s="781"/>
      <c r="BP206" s="781"/>
      <c r="BQ206" s="781"/>
      <c r="BR206" s="781"/>
      <c r="BS206" s="781"/>
      <c r="BT206" s="781"/>
      <c r="BU206" s="781"/>
    </row>
    <row r="207" spans="39:73" s="166" customFormat="1">
      <c r="AM207" s="781"/>
      <c r="AN207" s="781"/>
      <c r="AO207" s="781"/>
      <c r="AP207" s="781"/>
      <c r="AQ207" s="781"/>
      <c r="AR207" s="781"/>
      <c r="AS207" s="781"/>
      <c r="AT207" s="781"/>
      <c r="AU207" s="781"/>
      <c r="AV207" s="781"/>
      <c r="AW207" s="781"/>
      <c r="AX207" s="781"/>
      <c r="AY207" s="781"/>
      <c r="AZ207" s="781"/>
      <c r="BA207" s="781"/>
      <c r="BB207" s="781"/>
      <c r="BC207" s="781"/>
      <c r="BD207" s="781"/>
      <c r="BE207" s="781"/>
      <c r="BF207" s="781"/>
      <c r="BG207" s="781"/>
      <c r="BH207" s="781"/>
      <c r="BI207" s="781"/>
      <c r="BJ207" s="781"/>
      <c r="BK207" s="781"/>
      <c r="BL207" s="781"/>
      <c r="BM207" s="781"/>
      <c r="BN207" s="781"/>
      <c r="BO207" s="781"/>
      <c r="BP207" s="781"/>
      <c r="BQ207" s="781"/>
      <c r="BR207" s="781"/>
      <c r="BS207" s="781"/>
      <c r="BT207" s="781"/>
      <c r="BU207" s="781"/>
    </row>
    <row r="208" spans="39:73" s="166" customFormat="1">
      <c r="AM208" s="781"/>
      <c r="AN208" s="781"/>
      <c r="AO208" s="781"/>
      <c r="AP208" s="781"/>
      <c r="AQ208" s="781"/>
      <c r="AR208" s="781"/>
      <c r="AS208" s="781"/>
      <c r="AT208" s="781"/>
      <c r="AU208" s="781"/>
      <c r="AV208" s="781"/>
      <c r="AW208" s="781"/>
      <c r="AX208" s="781"/>
      <c r="AY208" s="781"/>
      <c r="AZ208" s="781"/>
      <c r="BA208" s="781"/>
      <c r="BB208" s="781"/>
      <c r="BC208" s="781"/>
      <c r="BD208" s="781"/>
      <c r="BE208" s="781"/>
      <c r="BF208" s="781"/>
      <c r="BG208" s="781"/>
      <c r="BH208" s="781"/>
      <c r="BI208" s="781"/>
      <c r="BJ208" s="781"/>
      <c r="BK208" s="781"/>
      <c r="BL208" s="781"/>
      <c r="BM208" s="781"/>
      <c r="BN208" s="781"/>
      <c r="BO208" s="781"/>
      <c r="BP208" s="781"/>
      <c r="BQ208" s="781"/>
      <c r="BR208" s="781"/>
      <c r="BS208" s="781"/>
      <c r="BT208" s="781"/>
      <c r="BU208" s="781"/>
    </row>
    <row r="209" spans="39:73" s="166" customFormat="1">
      <c r="AM209" s="781"/>
      <c r="AN209" s="781"/>
      <c r="AO209" s="781"/>
      <c r="AP209" s="781"/>
      <c r="AQ209" s="781"/>
      <c r="AR209" s="781"/>
      <c r="AS209" s="781"/>
      <c r="AT209" s="781"/>
      <c r="AU209" s="781"/>
      <c r="AV209" s="781"/>
      <c r="AW209" s="781"/>
      <c r="AX209" s="781"/>
      <c r="AY209" s="781"/>
      <c r="AZ209" s="781"/>
      <c r="BA209" s="781"/>
      <c r="BB209" s="781"/>
      <c r="BC209" s="781"/>
      <c r="BD209" s="781"/>
      <c r="BE209" s="781"/>
      <c r="BF209" s="781"/>
      <c r="BG209" s="781"/>
      <c r="BH209" s="781"/>
      <c r="BI209" s="781"/>
      <c r="BJ209" s="781"/>
      <c r="BK209" s="781"/>
      <c r="BL209" s="781"/>
      <c r="BM209" s="781"/>
      <c r="BN209" s="781"/>
      <c r="BO209" s="781"/>
      <c r="BP209" s="781"/>
      <c r="BQ209" s="781"/>
      <c r="BR209" s="781"/>
      <c r="BS209" s="781"/>
      <c r="BT209" s="781"/>
      <c r="BU209" s="781"/>
    </row>
    <row r="210" spans="39:73" s="166" customFormat="1">
      <c r="AM210" s="781"/>
      <c r="AN210" s="781"/>
      <c r="AO210" s="781"/>
      <c r="AP210" s="781"/>
      <c r="AQ210" s="781"/>
      <c r="AR210" s="781"/>
      <c r="AS210" s="781"/>
      <c r="AT210" s="781"/>
      <c r="AU210" s="781"/>
      <c r="AV210" s="781"/>
      <c r="AW210" s="781"/>
      <c r="AX210" s="781"/>
      <c r="AY210" s="781"/>
      <c r="AZ210" s="781"/>
      <c r="BA210" s="781"/>
      <c r="BB210" s="781"/>
      <c r="BC210" s="781"/>
      <c r="BD210" s="781"/>
      <c r="BE210" s="781"/>
      <c r="BF210" s="781"/>
      <c r="BG210" s="781"/>
      <c r="BH210" s="781"/>
      <c r="BI210" s="781"/>
      <c r="BJ210" s="781"/>
      <c r="BK210" s="781"/>
      <c r="BL210" s="781"/>
      <c r="BM210" s="781"/>
      <c r="BN210" s="781"/>
      <c r="BO210" s="781"/>
      <c r="BP210" s="781"/>
      <c r="BQ210" s="781"/>
      <c r="BR210" s="781"/>
      <c r="BS210" s="781"/>
      <c r="BT210" s="781"/>
      <c r="BU210" s="781"/>
    </row>
    <row r="211" spans="39:73" s="166" customFormat="1">
      <c r="AM211" s="781"/>
      <c r="AN211" s="781"/>
      <c r="AO211" s="781"/>
      <c r="AP211" s="781"/>
      <c r="AQ211" s="781"/>
      <c r="AR211" s="781"/>
      <c r="AS211" s="781"/>
      <c r="AT211" s="781"/>
      <c r="AU211" s="781"/>
      <c r="AV211" s="781"/>
      <c r="AW211" s="781"/>
      <c r="AX211" s="781"/>
      <c r="AY211" s="781"/>
      <c r="AZ211" s="781"/>
      <c r="BA211" s="781"/>
      <c r="BB211" s="781"/>
      <c r="BC211" s="781"/>
      <c r="BD211" s="781"/>
      <c r="BE211" s="781"/>
      <c r="BF211" s="781"/>
      <c r="BG211" s="781"/>
      <c r="BH211" s="781"/>
      <c r="BI211" s="781"/>
      <c r="BJ211" s="781"/>
      <c r="BK211" s="781"/>
      <c r="BL211" s="781"/>
      <c r="BM211" s="781"/>
      <c r="BN211" s="781"/>
      <c r="BO211" s="781"/>
      <c r="BP211" s="781"/>
      <c r="BQ211" s="781"/>
      <c r="BR211" s="781"/>
      <c r="BS211" s="781"/>
      <c r="BT211" s="781"/>
      <c r="BU211" s="781"/>
    </row>
    <row r="212" spans="39:73" s="166" customFormat="1">
      <c r="AM212" s="781"/>
      <c r="AN212" s="781"/>
      <c r="AO212" s="781"/>
      <c r="AP212" s="781"/>
      <c r="AQ212" s="781"/>
      <c r="AR212" s="781"/>
      <c r="AS212" s="781"/>
      <c r="AT212" s="781"/>
      <c r="AU212" s="781"/>
      <c r="AV212" s="781"/>
      <c r="AW212" s="781"/>
      <c r="AX212" s="781"/>
      <c r="AY212" s="781"/>
      <c r="AZ212" s="781"/>
      <c r="BA212" s="781"/>
      <c r="BB212" s="781"/>
      <c r="BC212" s="781"/>
      <c r="BD212" s="781"/>
      <c r="BE212" s="781"/>
      <c r="BF212" s="781"/>
      <c r="BG212" s="781"/>
      <c r="BH212" s="781"/>
      <c r="BI212" s="781"/>
      <c r="BJ212" s="781"/>
      <c r="BK212" s="781"/>
      <c r="BL212" s="781"/>
      <c r="BM212" s="781"/>
      <c r="BN212" s="781"/>
      <c r="BO212" s="781"/>
      <c r="BP212" s="781"/>
      <c r="BQ212" s="781"/>
      <c r="BR212" s="781"/>
      <c r="BS212" s="781"/>
      <c r="BT212" s="781"/>
      <c r="BU212" s="781"/>
    </row>
    <row r="213" spans="39:73" s="166" customFormat="1">
      <c r="AM213" s="781"/>
      <c r="AN213" s="781"/>
      <c r="AO213" s="781"/>
      <c r="AP213" s="781"/>
      <c r="AQ213" s="781"/>
      <c r="AR213" s="781"/>
      <c r="AS213" s="781"/>
      <c r="AT213" s="781"/>
      <c r="AU213" s="781"/>
      <c r="AV213" s="781"/>
      <c r="AW213" s="781"/>
      <c r="AX213" s="781"/>
      <c r="AY213" s="781"/>
      <c r="AZ213" s="781"/>
      <c r="BA213" s="781"/>
      <c r="BB213" s="781"/>
      <c r="BC213" s="781"/>
      <c r="BD213" s="781"/>
      <c r="BE213" s="781"/>
      <c r="BF213" s="781"/>
      <c r="BG213" s="781"/>
      <c r="BH213" s="781"/>
      <c r="BI213" s="781"/>
      <c r="BJ213" s="781"/>
      <c r="BK213" s="781"/>
      <c r="BL213" s="781"/>
      <c r="BM213" s="781"/>
      <c r="BN213" s="781"/>
      <c r="BO213" s="781"/>
      <c r="BP213" s="781"/>
      <c r="BQ213" s="781"/>
      <c r="BR213" s="781"/>
      <c r="BS213" s="781"/>
      <c r="BT213" s="781"/>
      <c r="BU213" s="781"/>
    </row>
    <row r="214" spans="39:73" s="166" customFormat="1">
      <c r="AM214" s="781"/>
      <c r="AN214" s="781"/>
      <c r="AO214" s="781"/>
      <c r="AP214" s="781"/>
      <c r="AQ214" s="781"/>
      <c r="AR214" s="781"/>
      <c r="AS214" s="781"/>
      <c r="AT214" s="781"/>
      <c r="AU214" s="781"/>
      <c r="AV214" s="781"/>
      <c r="AW214" s="781"/>
      <c r="AX214" s="781"/>
      <c r="AY214" s="781"/>
      <c r="AZ214" s="781"/>
      <c r="BA214" s="781"/>
      <c r="BB214" s="781"/>
      <c r="BC214" s="781"/>
      <c r="BD214" s="781"/>
      <c r="BE214" s="781"/>
      <c r="BF214" s="781"/>
      <c r="BG214" s="781"/>
      <c r="BH214" s="781"/>
      <c r="BI214" s="781"/>
      <c r="BJ214" s="781"/>
      <c r="BK214" s="781"/>
      <c r="BL214" s="781"/>
      <c r="BM214" s="781"/>
      <c r="BN214" s="781"/>
      <c r="BO214" s="781"/>
      <c r="BP214" s="781"/>
      <c r="BQ214" s="781"/>
      <c r="BR214" s="781"/>
      <c r="BS214" s="781"/>
      <c r="BT214" s="781"/>
      <c r="BU214" s="781"/>
    </row>
    <row r="215" spans="39:73" s="166" customFormat="1">
      <c r="AM215" s="781"/>
      <c r="AN215" s="781"/>
      <c r="AO215" s="781"/>
      <c r="AP215" s="781"/>
      <c r="AQ215" s="781"/>
      <c r="AR215" s="781"/>
      <c r="AS215" s="781"/>
      <c r="AT215" s="781"/>
      <c r="AU215" s="781"/>
      <c r="AV215" s="781"/>
      <c r="AW215" s="781"/>
      <c r="AX215" s="781"/>
      <c r="AY215" s="781"/>
      <c r="AZ215" s="781"/>
      <c r="BA215" s="781"/>
      <c r="BB215" s="781"/>
      <c r="BC215" s="781"/>
      <c r="BD215" s="781"/>
      <c r="BE215" s="781"/>
      <c r="BF215" s="781"/>
      <c r="BG215" s="781"/>
      <c r="BH215" s="781"/>
      <c r="BI215" s="781"/>
      <c r="BJ215" s="781"/>
      <c r="BK215" s="781"/>
      <c r="BL215" s="781"/>
      <c r="BM215" s="781"/>
      <c r="BN215" s="781"/>
      <c r="BO215" s="781"/>
      <c r="BP215" s="781"/>
      <c r="BQ215" s="781"/>
      <c r="BR215" s="781"/>
      <c r="BS215" s="781"/>
      <c r="BT215" s="781"/>
      <c r="BU215" s="781"/>
    </row>
    <row r="216" spans="39:73" s="166" customFormat="1">
      <c r="AM216" s="781"/>
      <c r="AN216" s="781"/>
      <c r="AO216" s="781"/>
      <c r="AP216" s="781"/>
      <c r="AQ216" s="781"/>
      <c r="AR216" s="781"/>
      <c r="AS216" s="781"/>
      <c r="AT216" s="781"/>
      <c r="AU216" s="781"/>
      <c r="AV216" s="781"/>
      <c r="AW216" s="781"/>
      <c r="AX216" s="781"/>
      <c r="AY216" s="781"/>
      <c r="AZ216" s="781"/>
      <c r="BA216" s="781"/>
      <c r="BB216" s="781"/>
      <c r="BC216" s="781"/>
      <c r="BD216" s="781"/>
      <c r="BE216" s="781"/>
      <c r="BF216" s="781"/>
      <c r="BG216" s="781"/>
      <c r="BH216" s="781"/>
      <c r="BI216" s="781"/>
      <c r="BJ216" s="781"/>
      <c r="BK216" s="781"/>
      <c r="BL216" s="781"/>
      <c r="BM216" s="781"/>
      <c r="BN216" s="781"/>
      <c r="BO216" s="781"/>
      <c r="BP216" s="781"/>
      <c r="BQ216" s="781"/>
      <c r="BR216" s="781"/>
      <c r="BS216" s="781"/>
      <c r="BT216" s="781"/>
      <c r="BU216" s="781"/>
    </row>
    <row r="217" spans="39:73" s="166" customFormat="1">
      <c r="AM217" s="781"/>
      <c r="AN217" s="781"/>
      <c r="AO217" s="781"/>
      <c r="AP217" s="781"/>
      <c r="AQ217" s="781"/>
      <c r="AR217" s="781"/>
      <c r="AS217" s="781"/>
      <c r="AT217" s="781"/>
      <c r="AU217" s="781"/>
      <c r="AV217" s="781"/>
      <c r="AW217" s="781"/>
      <c r="AX217" s="781"/>
      <c r="AY217" s="781"/>
      <c r="AZ217" s="781"/>
      <c r="BA217" s="781"/>
      <c r="BB217" s="781"/>
      <c r="BC217" s="781"/>
      <c r="BD217" s="781"/>
      <c r="BE217" s="781"/>
      <c r="BF217" s="781"/>
      <c r="BG217" s="781"/>
      <c r="BH217" s="781"/>
      <c r="BI217" s="781"/>
      <c r="BJ217" s="781"/>
      <c r="BK217" s="781"/>
      <c r="BL217" s="781"/>
      <c r="BM217" s="781"/>
      <c r="BN217" s="781"/>
      <c r="BO217" s="781"/>
      <c r="BP217" s="781"/>
      <c r="BQ217" s="781"/>
      <c r="BR217" s="781"/>
      <c r="BS217" s="781"/>
      <c r="BT217" s="781"/>
      <c r="BU217" s="781"/>
    </row>
    <row r="218" spans="39:73" s="166" customFormat="1">
      <c r="AM218" s="781"/>
      <c r="AN218" s="781"/>
      <c r="AO218" s="781"/>
      <c r="AP218" s="781"/>
      <c r="AQ218" s="781"/>
      <c r="AR218" s="781"/>
      <c r="AS218" s="781"/>
      <c r="AT218" s="781"/>
      <c r="AU218" s="781"/>
      <c r="AV218" s="781"/>
      <c r="AW218" s="781"/>
      <c r="AX218" s="781"/>
      <c r="AY218" s="781"/>
      <c r="AZ218" s="781"/>
      <c r="BA218" s="781"/>
      <c r="BB218" s="781"/>
      <c r="BC218" s="781"/>
      <c r="BD218" s="781"/>
      <c r="BE218" s="781"/>
      <c r="BF218" s="781"/>
      <c r="BG218" s="781"/>
      <c r="BH218" s="781"/>
      <c r="BI218" s="781"/>
      <c r="BJ218" s="781"/>
      <c r="BK218" s="781"/>
      <c r="BL218" s="781"/>
      <c r="BM218" s="781"/>
      <c r="BN218" s="781"/>
      <c r="BO218" s="781"/>
      <c r="BP218" s="781"/>
      <c r="BQ218" s="781"/>
      <c r="BR218" s="781"/>
      <c r="BS218" s="781"/>
      <c r="BT218" s="781"/>
      <c r="BU218" s="781"/>
    </row>
    <row r="219" spans="39:73" s="166" customFormat="1">
      <c r="AM219" s="781"/>
      <c r="AN219" s="781"/>
      <c r="AO219" s="781"/>
      <c r="AP219" s="781"/>
      <c r="AQ219" s="781"/>
      <c r="AR219" s="781"/>
      <c r="AS219" s="781"/>
      <c r="AT219" s="781"/>
      <c r="AU219" s="781"/>
      <c r="AV219" s="781"/>
      <c r="AW219" s="781"/>
      <c r="AX219" s="781"/>
      <c r="AY219" s="781"/>
      <c r="AZ219" s="781"/>
      <c r="BA219" s="781"/>
      <c r="BB219" s="781"/>
      <c r="BC219" s="781"/>
      <c r="BD219" s="781"/>
      <c r="BE219" s="781"/>
      <c r="BF219" s="781"/>
      <c r="BG219" s="781"/>
      <c r="BH219" s="781"/>
      <c r="BI219" s="781"/>
      <c r="BJ219" s="781"/>
      <c r="BK219" s="781"/>
      <c r="BL219" s="781"/>
      <c r="BM219" s="781"/>
      <c r="BN219" s="781"/>
      <c r="BO219" s="781"/>
      <c r="BP219" s="781"/>
      <c r="BQ219" s="781"/>
      <c r="BR219" s="781"/>
      <c r="BS219" s="781"/>
      <c r="BT219" s="781"/>
      <c r="BU219" s="781"/>
    </row>
    <row r="220" spans="39:73" s="166" customFormat="1">
      <c r="AM220" s="781"/>
      <c r="AN220" s="781"/>
      <c r="AO220" s="781"/>
      <c r="AP220" s="781"/>
      <c r="AQ220" s="781"/>
      <c r="AR220" s="781"/>
      <c r="AS220" s="781"/>
      <c r="AT220" s="781"/>
      <c r="AU220" s="781"/>
      <c r="AV220" s="781"/>
      <c r="AW220" s="781"/>
      <c r="AX220" s="781"/>
      <c r="AY220" s="781"/>
      <c r="AZ220" s="781"/>
      <c r="BA220" s="781"/>
      <c r="BB220" s="781"/>
      <c r="BC220" s="781"/>
      <c r="BD220" s="781"/>
      <c r="BE220" s="781"/>
      <c r="BF220" s="781"/>
      <c r="BG220" s="781"/>
      <c r="BH220" s="781"/>
      <c r="BI220" s="781"/>
      <c r="BJ220" s="781"/>
      <c r="BK220" s="781"/>
      <c r="BL220" s="781"/>
      <c r="BM220" s="781"/>
      <c r="BN220" s="781"/>
      <c r="BO220" s="781"/>
      <c r="BP220" s="781"/>
      <c r="BQ220" s="781"/>
      <c r="BR220" s="781"/>
      <c r="BS220" s="781"/>
      <c r="BT220" s="781"/>
      <c r="BU220" s="781"/>
    </row>
    <row r="221" spans="39:73" s="166" customFormat="1">
      <c r="AM221" s="781"/>
      <c r="AN221" s="781"/>
      <c r="AO221" s="781"/>
      <c r="AP221" s="781"/>
      <c r="AQ221" s="781"/>
      <c r="AR221" s="781"/>
      <c r="AS221" s="781"/>
      <c r="AT221" s="781"/>
      <c r="AU221" s="781"/>
      <c r="AV221" s="781"/>
      <c r="AW221" s="781"/>
      <c r="AX221" s="781"/>
      <c r="AY221" s="781"/>
      <c r="AZ221" s="781"/>
      <c r="BA221" s="781"/>
      <c r="BB221" s="781"/>
      <c r="BC221" s="781"/>
      <c r="BD221" s="781"/>
      <c r="BE221" s="781"/>
      <c r="BF221" s="781"/>
      <c r="BG221" s="781"/>
      <c r="BH221" s="781"/>
      <c r="BI221" s="781"/>
      <c r="BJ221" s="781"/>
      <c r="BK221" s="781"/>
      <c r="BL221" s="781"/>
      <c r="BM221" s="781"/>
      <c r="BN221" s="781"/>
      <c r="BO221" s="781"/>
      <c r="BP221" s="781"/>
      <c r="BQ221" s="781"/>
      <c r="BR221" s="781"/>
      <c r="BS221" s="781"/>
      <c r="BT221" s="781"/>
      <c r="BU221" s="781"/>
    </row>
    <row r="222" spans="39:73" s="166" customFormat="1">
      <c r="AM222" s="781"/>
      <c r="AN222" s="781"/>
      <c r="AO222" s="781"/>
      <c r="AP222" s="781"/>
      <c r="AQ222" s="781"/>
      <c r="AR222" s="781"/>
      <c r="AS222" s="781"/>
      <c r="AT222" s="781"/>
      <c r="AU222" s="781"/>
      <c r="AV222" s="781"/>
      <c r="AW222" s="781"/>
      <c r="AX222" s="781"/>
      <c r="AY222" s="781"/>
      <c r="AZ222" s="781"/>
      <c r="BA222" s="781"/>
      <c r="BB222" s="781"/>
      <c r="BC222" s="781"/>
      <c r="BD222" s="781"/>
      <c r="BE222" s="781"/>
      <c r="BF222" s="781"/>
      <c r="BG222" s="781"/>
      <c r="BH222" s="781"/>
      <c r="BI222" s="781"/>
      <c r="BJ222" s="781"/>
      <c r="BK222" s="781"/>
      <c r="BL222" s="781"/>
      <c r="BM222" s="781"/>
      <c r="BN222" s="781"/>
      <c r="BO222" s="781"/>
      <c r="BP222" s="781"/>
      <c r="BQ222" s="781"/>
      <c r="BR222" s="781"/>
      <c r="BS222" s="781"/>
      <c r="BT222" s="781"/>
      <c r="BU222" s="781"/>
    </row>
    <row r="223" spans="39:73" s="166" customFormat="1">
      <c r="AM223" s="781"/>
      <c r="AN223" s="781"/>
      <c r="AO223" s="781"/>
      <c r="AP223" s="781"/>
      <c r="AQ223" s="781"/>
      <c r="AR223" s="781"/>
      <c r="AS223" s="781"/>
      <c r="AT223" s="781"/>
      <c r="AU223" s="781"/>
      <c r="AV223" s="781"/>
      <c r="AW223" s="781"/>
      <c r="AX223" s="781"/>
      <c r="AY223" s="781"/>
      <c r="AZ223" s="781"/>
      <c r="BA223" s="781"/>
      <c r="BB223" s="781"/>
      <c r="BC223" s="781"/>
      <c r="BD223" s="781"/>
      <c r="BE223" s="781"/>
      <c r="BF223" s="781"/>
      <c r="BG223" s="781"/>
      <c r="BH223" s="781"/>
      <c r="BI223" s="781"/>
      <c r="BJ223" s="781"/>
      <c r="BK223" s="781"/>
      <c r="BL223" s="781"/>
      <c r="BM223" s="781"/>
      <c r="BN223" s="781"/>
      <c r="BO223" s="781"/>
      <c r="BP223" s="781"/>
      <c r="BQ223" s="781"/>
      <c r="BR223" s="781"/>
      <c r="BS223" s="781"/>
      <c r="BT223" s="781"/>
      <c r="BU223" s="781"/>
    </row>
    <row r="224" spans="39:73" s="166" customFormat="1">
      <c r="AM224" s="790"/>
      <c r="AN224" s="790"/>
      <c r="AO224" s="790"/>
      <c r="AP224" s="790"/>
      <c r="AQ224" s="790"/>
      <c r="AR224" s="790"/>
      <c r="AS224" s="790"/>
      <c r="AT224" s="790"/>
      <c r="AU224" s="790"/>
      <c r="AV224" s="790"/>
      <c r="AW224" s="790"/>
      <c r="AX224" s="790"/>
      <c r="AY224" s="790"/>
      <c r="AZ224" s="790"/>
      <c r="BA224" s="790"/>
      <c r="BB224" s="790"/>
      <c r="BC224" s="790"/>
      <c r="BD224" s="790"/>
      <c r="BE224" s="790"/>
      <c r="BF224" s="790"/>
      <c r="BG224" s="790"/>
      <c r="BH224" s="790"/>
      <c r="BI224" s="790"/>
      <c r="BJ224" s="790"/>
      <c r="BK224" s="790"/>
      <c r="BL224" s="790"/>
      <c r="BM224" s="790"/>
      <c r="BN224" s="790"/>
      <c r="BO224" s="790"/>
      <c r="BP224" s="790"/>
      <c r="BQ224" s="790"/>
      <c r="BR224" s="790"/>
      <c r="BS224" s="790"/>
      <c r="BT224" s="790"/>
      <c r="BU224" s="790"/>
    </row>
    <row r="225" spans="39:73" s="166" customFormat="1">
      <c r="AM225" s="790"/>
      <c r="AN225" s="790"/>
      <c r="AO225" s="790"/>
      <c r="AP225" s="790"/>
      <c r="AQ225" s="790"/>
      <c r="AR225" s="790"/>
      <c r="AS225" s="790"/>
      <c r="AT225" s="790"/>
      <c r="AU225" s="790"/>
      <c r="AV225" s="790"/>
      <c r="AW225" s="790"/>
      <c r="AX225" s="790"/>
      <c r="AY225" s="790"/>
      <c r="AZ225" s="790"/>
      <c r="BA225" s="790"/>
      <c r="BB225" s="790"/>
      <c r="BC225" s="790"/>
      <c r="BD225" s="790"/>
      <c r="BE225" s="790"/>
      <c r="BF225" s="790"/>
      <c r="BG225" s="790"/>
      <c r="BH225" s="790"/>
      <c r="BI225" s="790"/>
      <c r="BJ225" s="790"/>
      <c r="BK225" s="790"/>
      <c r="BL225" s="790"/>
      <c r="BM225" s="790"/>
      <c r="BN225" s="790"/>
      <c r="BO225" s="790"/>
      <c r="BP225" s="790"/>
      <c r="BQ225" s="790"/>
      <c r="BR225" s="790"/>
      <c r="BS225" s="790"/>
      <c r="BT225" s="790"/>
      <c r="BU225" s="790"/>
    </row>
    <row r="226" spans="39:73" s="166" customFormat="1">
      <c r="AM226" s="790"/>
      <c r="AN226" s="790"/>
      <c r="AO226" s="790"/>
      <c r="AP226" s="790"/>
      <c r="AQ226" s="790"/>
      <c r="AR226" s="790"/>
      <c r="AS226" s="790"/>
      <c r="AT226" s="790"/>
      <c r="AU226" s="790"/>
      <c r="AV226" s="790"/>
      <c r="AW226" s="790"/>
      <c r="AX226" s="790"/>
      <c r="AY226" s="790"/>
      <c r="AZ226" s="790"/>
      <c r="BA226" s="790"/>
      <c r="BB226" s="790"/>
      <c r="BC226" s="790"/>
      <c r="BD226" s="790"/>
      <c r="BE226" s="790"/>
      <c r="BF226" s="790"/>
      <c r="BG226" s="790"/>
      <c r="BH226" s="790"/>
      <c r="BI226" s="790"/>
      <c r="BJ226" s="790"/>
      <c r="BK226" s="790"/>
      <c r="BL226" s="790"/>
      <c r="BM226" s="790"/>
      <c r="BN226" s="790"/>
      <c r="BO226" s="790"/>
      <c r="BP226" s="790"/>
      <c r="BQ226" s="790"/>
      <c r="BR226" s="790"/>
      <c r="BS226" s="790"/>
      <c r="BT226" s="790"/>
      <c r="BU226" s="790"/>
    </row>
    <row r="227" spans="39:73" s="166" customFormat="1">
      <c r="AM227" s="790"/>
      <c r="AN227" s="790"/>
      <c r="AO227" s="790"/>
      <c r="AP227" s="790"/>
      <c r="AQ227" s="790"/>
      <c r="AR227" s="790"/>
      <c r="AS227" s="790"/>
      <c r="AT227" s="790"/>
      <c r="AU227" s="790"/>
      <c r="AV227" s="790"/>
      <c r="AW227" s="790"/>
      <c r="AX227" s="790"/>
      <c r="AY227" s="790"/>
      <c r="AZ227" s="790"/>
      <c r="BA227" s="790"/>
      <c r="BB227" s="790"/>
      <c r="BC227" s="790"/>
      <c r="BD227" s="790"/>
      <c r="BE227" s="790"/>
      <c r="BF227" s="790"/>
      <c r="BG227" s="790"/>
      <c r="BH227" s="790"/>
      <c r="BI227" s="790"/>
      <c r="BJ227" s="790"/>
      <c r="BK227" s="790"/>
      <c r="BL227" s="790"/>
      <c r="BM227" s="790"/>
      <c r="BN227" s="790"/>
      <c r="BO227" s="790"/>
      <c r="BP227" s="790"/>
      <c r="BQ227" s="790"/>
      <c r="BR227" s="790"/>
      <c r="BS227" s="790"/>
      <c r="BT227" s="790"/>
      <c r="BU227" s="790"/>
    </row>
    <row r="228" spans="39:73" s="166" customFormat="1">
      <c r="AM228" s="790"/>
      <c r="AN228" s="790"/>
      <c r="AO228" s="790"/>
      <c r="AP228" s="790"/>
      <c r="AQ228" s="790"/>
      <c r="AR228" s="790"/>
      <c r="AS228" s="790"/>
      <c r="AT228" s="790"/>
      <c r="AU228" s="790"/>
      <c r="AV228" s="790"/>
      <c r="AW228" s="790"/>
      <c r="AX228" s="790"/>
      <c r="AY228" s="790"/>
      <c r="AZ228" s="790"/>
      <c r="BA228" s="790"/>
      <c r="BB228" s="790"/>
      <c r="BC228" s="790"/>
      <c r="BD228" s="790"/>
      <c r="BE228" s="790"/>
      <c r="BF228" s="790"/>
      <c r="BG228" s="790"/>
      <c r="BH228" s="790"/>
      <c r="BI228" s="790"/>
      <c r="BJ228" s="790"/>
      <c r="BK228" s="790"/>
      <c r="BL228" s="790"/>
      <c r="BM228" s="790"/>
      <c r="BN228" s="790"/>
      <c r="BO228" s="790"/>
      <c r="BP228" s="790"/>
      <c r="BQ228" s="790"/>
      <c r="BR228" s="790"/>
      <c r="BS228" s="790"/>
      <c r="BT228" s="790"/>
      <c r="BU228" s="790"/>
    </row>
    <row r="229" spans="39:73" s="166" customFormat="1">
      <c r="AM229" s="790"/>
      <c r="AN229" s="790"/>
      <c r="AO229" s="790"/>
      <c r="AP229" s="790"/>
      <c r="AQ229" s="790"/>
      <c r="AR229" s="790"/>
      <c r="AS229" s="790"/>
      <c r="AT229" s="790"/>
      <c r="AU229" s="790"/>
      <c r="AV229" s="790"/>
      <c r="AW229" s="790"/>
      <c r="AX229" s="790"/>
      <c r="AY229" s="790"/>
      <c r="AZ229" s="790"/>
      <c r="BA229" s="790"/>
      <c r="BB229" s="790"/>
      <c r="BC229" s="790"/>
      <c r="BD229" s="790"/>
      <c r="BE229" s="790"/>
      <c r="BF229" s="790"/>
      <c r="BG229" s="790"/>
      <c r="BH229" s="790"/>
      <c r="BI229" s="790"/>
      <c r="BJ229" s="790"/>
      <c r="BK229" s="790"/>
      <c r="BL229" s="790"/>
      <c r="BM229" s="790"/>
      <c r="BN229" s="790"/>
      <c r="BO229" s="790"/>
      <c r="BP229" s="790"/>
      <c r="BQ229" s="790"/>
      <c r="BR229" s="790"/>
      <c r="BS229" s="790"/>
      <c r="BT229" s="790"/>
      <c r="BU229" s="790"/>
    </row>
    <row r="230" spans="39:73" s="166" customFormat="1">
      <c r="AM230" s="790"/>
      <c r="AN230" s="790"/>
      <c r="AO230" s="790"/>
      <c r="AP230" s="790"/>
      <c r="AQ230" s="790"/>
      <c r="AR230" s="790"/>
      <c r="AS230" s="790"/>
      <c r="AT230" s="790"/>
      <c r="AU230" s="790"/>
      <c r="AV230" s="790"/>
      <c r="AW230" s="790"/>
      <c r="AX230" s="790"/>
      <c r="AY230" s="790"/>
      <c r="AZ230" s="790"/>
      <c r="BA230" s="790"/>
      <c r="BB230" s="790"/>
      <c r="BC230" s="790"/>
      <c r="BD230" s="790"/>
      <c r="BE230" s="790"/>
      <c r="BF230" s="790"/>
      <c r="BG230" s="790"/>
      <c r="BH230" s="790"/>
      <c r="BI230" s="790"/>
      <c r="BJ230" s="790"/>
      <c r="BK230" s="790"/>
      <c r="BL230" s="790"/>
      <c r="BM230" s="790"/>
      <c r="BN230" s="790"/>
      <c r="BO230" s="790"/>
      <c r="BP230" s="790"/>
      <c r="BQ230" s="790"/>
      <c r="BR230" s="790"/>
      <c r="BS230" s="790"/>
      <c r="BT230" s="790"/>
      <c r="BU230" s="790"/>
    </row>
    <row r="231" spans="39:73" s="166" customFormat="1">
      <c r="AM231" s="790"/>
      <c r="AN231" s="790"/>
      <c r="AO231" s="790"/>
      <c r="AP231" s="790"/>
      <c r="AQ231" s="790"/>
      <c r="AR231" s="790"/>
      <c r="AS231" s="790"/>
      <c r="AT231" s="790"/>
      <c r="AU231" s="790"/>
      <c r="AV231" s="790"/>
      <c r="AW231" s="790"/>
      <c r="AX231" s="790"/>
      <c r="AY231" s="790"/>
      <c r="AZ231" s="790"/>
      <c r="BA231" s="790"/>
      <c r="BB231" s="790"/>
      <c r="BC231" s="790"/>
      <c r="BD231" s="790"/>
      <c r="BE231" s="790"/>
      <c r="BF231" s="790"/>
      <c r="BG231" s="790"/>
      <c r="BH231" s="790"/>
      <c r="BI231" s="790"/>
      <c r="BJ231" s="790"/>
      <c r="BK231" s="790"/>
      <c r="BL231" s="790"/>
      <c r="BM231" s="790"/>
      <c r="BN231" s="790"/>
      <c r="BO231" s="790"/>
      <c r="BP231" s="790"/>
      <c r="BQ231" s="790"/>
      <c r="BR231" s="790"/>
      <c r="BS231" s="790"/>
      <c r="BT231" s="790"/>
      <c r="BU231" s="790"/>
    </row>
    <row r="232" spans="39:73" s="166" customFormat="1">
      <c r="AM232" s="790"/>
      <c r="AN232" s="790"/>
      <c r="AO232" s="790"/>
      <c r="AP232" s="790"/>
      <c r="AQ232" s="790"/>
      <c r="AR232" s="790"/>
      <c r="AS232" s="790"/>
      <c r="AT232" s="790"/>
      <c r="AU232" s="790"/>
      <c r="AV232" s="790"/>
      <c r="AW232" s="790"/>
      <c r="AX232" s="790"/>
      <c r="AY232" s="790"/>
      <c r="AZ232" s="790"/>
      <c r="BA232" s="790"/>
      <c r="BB232" s="790"/>
      <c r="BC232" s="790"/>
      <c r="BD232" s="790"/>
      <c r="BE232" s="790"/>
      <c r="BF232" s="790"/>
      <c r="BG232" s="790"/>
      <c r="BH232" s="790"/>
      <c r="BI232" s="790"/>
      <c r="BJ232" s="790"/>
      <c r="BK232" s="790"/>
      <c r="BL232" s="790"/>
      <c r="BM232" s="790"/>
      <c r="BN232" s="790"/>
      <c r="BO232" s="790"/>
      <c r="BP232" s="790"/>
      <c r="BQ232" s="790"/>
      <c r="BR232" s="790"/>
      <c r="BS232" s="790"/>
      <c r="BT232" s="790"/>
      <c r="BU232" s="790"/>
    </row>
    <row r="233" spans="39:73" s="166" customFormat="1">
      <c r="AM233" s="790"/>
      <c r="AN233" s="790"/>
      <c r="AO233" s="790"/>
      <c r="AP233" s="790"/>
      <c r="AQ233" s="790"/>
      <c r="AR233" s="790"/>
      <c r="AS233" s="790"/>
      <c r="AT233" s="790"/>
      <c r="AU233" s="790"/>
      <c r="AV233" s="790"/>
      <c r="AW233" s="790"/>
      <c r="AX233" s="790"/>
      <c r="AY233" s="790"/>
      <c r="AZ233" s="790"/>
      <c r="BA233" s="790"/>
      <c r="BB233" s="790"/>
      <c r="BC233" s="790"/>
      <c r="BD233" s="790"/>
      <c r="BE233" s="790"/>
      <c r="BF233" s="790"/>
      <c r="BG233" s="790"/>
      <c r="BH233" s="790"/>
      <c r="BI233" s="790"/>
      <c r="BJ233" s="790"/>
      <c r="BK233" s="790"/>
      <c r="BL233" s="790"/>
      <c r="BM233" s="790"/>
      <c r="BN233" s="790"/>
      <c r="BO233" s="790"/>
      <c r="BP233" s="790"/>
      <c r="BQ233" s="790"/>
      <c r="BR233" s="790"/>
      <c r="BS233" s="790"/>
      <c r="BT233" s="790"/>
      <c r="BU233" s="790"/>
    </row>
    <row r="234" spans="39:73" s="166" customFormat="1">
      <c r="AM234" s="790"/>
      <c r="AN234" s="790"/>
      <c r="AO234" s="790"/>
      <c r="AP234" s="790"/>
      <c r="AQ234" s="790"/>
      <c r="AR234" s="790"/>
      <c r="AS234" s="790"/>
      <c r="AT234" s="790"/>
      <c r="AU234" s="790"/>
      <c r="AV234" s="790"/>
      <c r="AW234" s="790"/>
      <c r="AX234" s="790"/>
      <c r="AY234" s="790"/>
      <c r="AZ234" s="790"/>
      <c r="BA234" s="790"/>
      <c r="BB234" s="790"/>
      <c r="BC234" s="790"/>
      <c r="BD234" s="790"/>
      <c r="BE234" s="790"/>
      <c r="BF234" s="790"/>
      <c r="BG234" s="790"/>
      <c r="BH234" s="790"/>
      <c r="BI234" s="790"/>
      <c r="BJ234" s="790"/>
      <c r="BK234" s="790"/>
      <c r="BL234" s="790"/>
      <c r="BM234" s="790"/>
      <c r="BN234" s="790"/>
      <c r="BO234" s="790"/>
      <c r="BP234" s="790"/>
      <c r="BQ234" s="790"/>
      <c r="BR234" s="790"/>
      <c r="BS234" s="790"/>
      <c r="BT234" s="790"/>
      <c r="BU234" s="790"/>
    </row>
    <row r="235" spans="39:73" s="166" customFormat="1">
      <c r="AM235" s="790"/>
      <c r="AN235" s="790"/>
      <c r="AO235" s="790"/>
      <c r="AP235" s="790"/>
      <c r="AQ235" s="790"/>
      <c r="AR235" s="790"/>
      <c r="AS235" s="790"/>
      <c r="AT235" s="790"/>
      <c r="AU235" s="790"/>
      <c r="AV235" s="790"/>
      <c r="AW235" s="790"/>
      <c r="AX235" s="790"/>
      <c r="AY235" s="790"/>
      <c r="AZ235" s="790"/>
      <c r="BA235" s="790"/>
      <c r="BB235" s="790"/>
      <c r="BC235" s="790"/>
      <c r="BD235" s="790"/>
      <c r="BE235" s="790"/>
      <c r="BF235" s="790"/>
      <c r="BG235" s="790"/>
      <c r="BH235" s="790"/>
      <c r="BI235" s="790"/>
      <c r="BJ235" s="790"/>
      <c r="BK235" s="790"/>
      <c r="BL235" s="790"/>
      <c r="BM235" s="790"/>
      <c r="BN235" s="790"/>
      <c r="BO235" s="790"/>
      <c r="BP235" s="790"/>
      <c r="BQ235" s="790"/>
      <c r="BR235" s="790"/>
      <c r="BS235" s="790"/>
      <c r="BT235" s="790"/>
      <c r="BU235" s="790"/>
    </row>
    <row r="236" spans="39:73" s="166" customFormat="1">
      <c r="AM236" s="790"/>
      <c r="AN236" s="790"/>
      <c r="AO236" s="790"/>
      <c r="AP236" s="790"/>
      <c r="AQ236" s="790"/>
      <c r="AR236" s="790"/>
      <c r="AS236" s="790"/>
      <c r="AT236" s="790"/>
      <c r="AU236" s="790"/>
      <c r="AV236" s="790"/>
      <c r="AW236" s="790"/>
      <c r="AX236" s="790"/>
      <c r="AY236" s="790"/>
      <c r="AZ236" s="790"/>
      <c r="BA236" s="790"/>
      <c r="BB236" s="790"/>
      <c r="BC236" s="790"/>
      <c r="BD236" s="790"/>
      <c r="BE236" s="790"/>
      <c r="BF236" s="790"/>
      <c r="BG236" s="790"/>
      <c r="BH236" s="790"/>
      <c r="BI236" s="790"/>
      <c r="BJ236" s="790"/>
      <c r="BK236" s="790"/>
      <c r="BL236" s="790"/>
      <c r="BM236" s="790"/>
      <c r="BN236" s="790"/>
      <c r="BO236" s="790"/>
      <c r="BP236" s="790"/>
      <c r="BQ236" s="790"/>
      <c r="BR236" s="790"/>
      <c r="BS236" s="790"/>
      <c r="BT236" s="790"/>
      <c r="BU236" s="790"/>
    </row>
    <row r="237" spans="39:73" s="166" customFormat="1">
      <c r="AM237" s="790"/>
      <c r="AN237" s="790"/>
      <c r="AO237" s="790"/>
      <c r="AP237" s="790"/>
      <c r="AQ237" s="790"/>
      <c r="AR237" s="790"/>
      <c r="AS237" s="790"/>
      <c r="AT237" s="790"/>
      <c r="AU237" s="790"/>
      <c r="AV237" s="790"/>
      <c r="AW237" s="790"/>
      <c r="AX237" s="790"/>
      <c r="AY237" s="790"/>
      <c r="AZ237" s="790"/>
      <c r="BA237" s="790"/>
      <c r="BB237" s="790"/>
      <c r="BC237" s="790"/>
      <c r="BD237" s="790"/>
      <c r="BE237" s="790"/>
      <c r="BF237" s="790"/>
      <c r="BG237" s="790"/>
      <c r="BH237" s="790"/>
      <c r="BI237" s="790"/>
      <c r="BJ237" s="790"/>
      <c r="BK237" s="790"/>
      <c r="BL237" s="790"/>
      <c r="BM237" s="790"/>
      <c r="BN237" s="790"/>
      <c r="BO237" s="790"/>
      <c r="BP237" s="790"/>
      <c r="BQ237" s="790"/>
      <c r="BR237" s="790"/>
      <c r="BS237" s="790"/>
      <c r="BT237" s="790"/>
      <c r="BU237" s="790"/>
    </row>
    <row r="238" spans="39:73" s="166" customFormat="1">
      <c r="AM238" s="790"/>
      <c r="AN238" s="790"/>
      <c r="AO238" s="790"/>
      <c r="AP238" s="790"/>
      <c r="AQ238" s="790"/>
      <c r="AR238" s="790"/>
      <c r="AS238" s="790"/>
      <c r="AT238" s="790"/>
      <c r="AU238" s="790"/>
      <c r="AV238" s="790"/>
      <c r="AW238" s="790"/>
      <c r="AX238" s="790"/>
      <c r="AY238" s="790"/>
      <c r="AZ238" s="790"/>
      <c r="BA238" s="790"/>
      <c r="BB238" s="790"/>
      <c r="BC238" s="790"/>
      <c r="BD238" s="790"/>
      <c r="BE238" s="790"/>
      <c r="BF238" s="790"/>
      <c r="BG238" s="790"/>
      <c r="BH238" s="790"/>
      <c r="BI238" s="790"/>
      <c r="BJ238" s="790"/>
      <c r="BK238" s="790"/>
      <c r="BL238" s="790"/>
      <c r="BM238" s="790"/>
      <c r="BN238" s="790"/>
      <c r="BO238" s="790"/>
      <c r="BP238" s="790"/>
      <c r="BQ238" s="790"/>
      <c r="BR238" s="790"/>
      <c r="BS238" s="790"/>
      <c r="BT238" s="790"/>
      <c r="BU238" s="790"/>
    </row>
    <row r="239" spans="39:73" s="166" customFormat="1">
      <c r="AM239" s="790"/>
      <c r="AN239" s="790"/>
      <c r="AO239" s="790"/>
      <c r="AP239" s="790"/>
      <c r="AQ239" s="790"/>
      <c r="AR239" s="790"/>
      <c r="AS239" s="790"/>
      <c r="AT239" s="790"/>
      <c r="AU239" s="790"/>
      <c r="AV239" s="790"/>
      <c r="AW239" s="790"/>
      <c r="AX239" s="790"/>
      <c r="AY239" s="790"/>
      <c r="AZ239" s="790"/>
      <c r="BA239" s="790"/>
      <c r="BB239" s="790"/>
      <c r="BC239" s="790"/>
      <c r="BD239" s="790"/>
      <c r="BE239" s="790"/>
      <c r="BF239" s="790"/>
      <c r="BG239" s="790"/>
      <c r="BH239" s="790"/>
      <c r="BI239" s="790"/>
      <c r="BJ239" s="790"/>
      <c r="BK239" s="790"/>
      <c r="BL239" s="790"/>
      <c r="BM239" s="790"/>
      <c r="BN239" s="790"/>
      <c r="BO239" s="790"/>
      <c r="BP239" s="790"/>
      <c r="BQ239" s="790"/>
      <c r="BR239" s="790"/>
      <c r="BS239" s="790"/>
      <c r="BT239" s="790"/>
      <c r="BU239" s="790"/>
    </row>
    <row r="240" spans="39:73" s="166" customFormat="1">
      <c r="AM240" s="790"/>
      <c r="AN240" s="790"/>
      <c r="AO240" s="790"/>
      <c r="AP240" s="790"/>
      <c r="AQ240" s="790"/>
      <c r="AR240" s="790"/>
      <c r="AS240" s="790"/>
      <c r="AT240" s="790"/>
      <c r="AU240" s="790"/>
      <c r="AV240" s="790"/>
      <c r="AW240" s="790"/>
      <c r="AX240" s="790"/>
      <c r="AY240" s="790"/>
      <c r="AZ240" s="790"/>
      <c r="BA240" s="790"/>
      <c r="BB240" s="790"/>
      <c r="BC240" s="790"/>
      <c r="BD240" s="790"/>
      <c r="BE240" s="790"/>
      <c r="BF240" s="790"/>
      <c r="BG240" s="790"/>
      <c r="BH240" s="790"/>
      <c r="BI240" s="790"/>
      <c r="BJ240" s="790"/>
      <c r="BK240" s="790"/>
      <c r="BL240" s="790"/>
      <c r="BM240" s="790"/>
      <c r="BN240" s="790"/>
      <c r="BO240" s="790"/>
      <c r="BP240" s="790"/>
      <c r="BQ240" s="790"/>
      <c r="BR240" s="790"/>
      <c r="BS240" s="790"/>
      <c r="BT240" s="790"/>
      <c r="BU240" s="790"/>
    </row>
    <row r="241" spans="39:73" s="166" customFormat="1">
      <c r="AM241" s="790"/>
      <c r="AN241" s="790"/>
      <c r="AO241" s="790"/>
      <c r="AP241" s="790"/>
      <c r="AQ241" s="790"/>
      <c r="AR241" s="790"/>
      <c r="AS241" s="790"/>
      <c r="AT241" s="790"/>
      <c r="AU241" s="790"/>
      <c r="AV241" s="790"/>
      <c r="AW241" s="790"/>
      <c r="AX241" s="790"/>
      <c r="AY241" s="790"/>
      <c r="AZ241" s="790"/>
      <c r="BA241" s="790"/>
      <c r="BB241" s="790"/>
      <c r="BC241" s="790"/>
      <c r="BD241" s="790"/>
      <c r="BE241" s="790"/>
      <c r="BF241" s="790"/>
      <c r="BG241" s="790"/>
      <c r="BH241" s="790"/>
      <c r="BI241" s="790"/>
      <c r="BJ241" s="790"/>
      <c r="BK241" s="790"/>
      <c r="BL241" s="790"/>
      <c r="BM241" s="790"/>
      <c r="BN241" s="790"/>
      <c r="BO241" s="790"/>
      <c r="BP241" s="790"/>
      <c r="BQ241" s="790"/>
      <c r="BR241" s="790"/>
      <c r="BS241" s="790"/>
      <c r="BT241" s="790"/>
      <c r="BU241" s="790"/>
    </row>
    <row r="242" spans="39:73" s="166" customFormat="1">
      <c r="AM242" s="790"/>
      <c r="AN242" s="790"/>
      <c r="AO242" s="790"/>
      <c r="AP242" s="790"/>
      <c r="AQ242" s="790"/>
      <c r="AR242" s="790"/>
      <c r="AS242" s="790"/>
      <c r="AT242" s="790"/>
      <c r="AU242" s="790"/>
      <c r="AV242" s="790"/>
      <c r="AW242" s="790"/>
      <c r="AX242" s="790"/>
      <c r="AY242" s="790"/>
      <c r="AZ242" s="790"/>
      <c r="BA242" s="790"/>
      <c r="BB242" s="790"/>
      <c r="BC242" s="790"/>
      <c r="BD242" s="790"/>
      <c r="BE242" s="790"/>
      <c r="BF242" s="790"/>
      <c r="BG242" s="790"/>
      <c r="BH242" s="790"/>
      <c r="BI242" s="790"/>
      <c r="BJ242" s="790"/>
      <c r="BK242" s="790"/>
      <c r="BL242" s="790"/>
      <c r="BM242" s="790"/>
      <c r="BN242" s="790"/>
      <c r="BO242" s="790"/>
      <c r="BP242" s="790"/>
      <c r="BQ242" s="790"/>
      <c r="BR242" s="790"/>
      <c r="BS242" s="790"/>
      <c r="BT242" s="790"/>
      <c r="BU242" s="790"/>
    </row>
    <row r="243" spans="39:73" s="166" customFormat="1">
      <c r="AM243" s="790"/>
      <c r="AN243" s="790"/>
      <c r="AO243" s="790"/>
      <c r="AP243" s="790"/>
      <c r="AQ243" s="790"/>
      <c r="AR243" s="790"/>
      <c r="AS243" s="790"/>
      <c r="AT243" s="790"/>
      <c r="AU243" s="790"/>
      <c r="AV243" s="790"/>
      <c r="AW243" s="790"/>
      <c r="AX243" s="790"/>
      <c r="AY243" s="790"/>
      <c r="AZ243" s="790"/>
      <c r="BA243" s="790"/>
      <c r="BB243" s="790"/>
      <c r="BC243" s="790"/>
      <c r="BD243" s="790"/>
      <c r="BE243" s="790"/>
      <c r="BF243" s="790"/>
      <c r="BG243" s="790"/>
      <c r="BH243" s="790"/>
      <c r="BI243" s="790"/>
      <c r="BJ243" s="790"/>
      <c r="BK243" s="790"/>
      <c r="BL243" s="790"/>
      <c r="BM243" s="790"/>
      <c r="BN243" s="790"/>
      <c r="BO243" s="790"/>
      <c r="BP243" s="790"/>
      <c r="BQ243" s="790"/>
      <c r="BR243" s="790"/>
      <c r="BS243" s="790"/>
      <c r="BT243" s="790"/>
      <c r="BU243" s="790"/>
    </row>
    <row r="244" spans="39:73" s="166" customFormat="1">
      <c r="AM244" s="790"/>
      <c r="AN244" s="790"/>
      <c r="AO244" s="790"/>
      <c r="AP244" s="790"/>
      <c r="AQ244" s="790"/>
      <c r="AR244" s="790"/>
      <c r="AS244" s="790"/>
      <c r="AT244" s="790"/>
      <c r="AU244" s="790"/>
      <c r="AV244" s="790"/>
      <c r="AW244" s="790"/>
      <c r="AX244" s="790"/>
      <c r="AY244" s="790"/>
      <c r="AZ244" s="790"/>
      <c r="BA244" s="790"/>
      <c r="BB244" s="790"/>
      <c r="BC244" s="790"/>
      <c r="BD244" s="790"/>
      <c r="BE244" s="790"/>
      <c r="BF244" s="790"/>
      <c r="BG244" s="790"/>
      <c r="BH244" s="790"/>
      <c r="BI244" s="790"/>
      <c r="BJ244" s="790"/>
      <c r="BK244" s="790"/>
      <c r="BL244" s="790"/>
      <c r="BM244" s="790"/>
      <c r="BN244" s="790"/>
      <c r="BO244" s="790"/>
      <c r="BP244" s="790"/>
      <c r="BQ244" s="790"/>
      <c r="BR244" s="790"/>
      <c r="BS244" s="790"/>
      <c r="BT244" s="790"/>
      <c r="BU244" s="790"/>
    </row>
    <row r="245" spans="39:73" s="166" customFormat="1">
      <c r="AM245" s="790"/>
      <c r="AN245" s="790"/>
      <c r="AO245" s="790"/>
      <c r="AP245" s="790"/>
      <c r="AQ245" s="790"/>
      <c r="AR245" s="790"/>
      <c r="AS245" s="790"/>
      <c r="AT245" s="790"/>
      <c r="AU245" s="790"/>
      <c r="AV245" s="790"/>
      <c r="AW245" s="790"/>
      <c r="AX245" s="790"/>
      <c r="AY245" s="790"/>
      <c r="AZ245" s="790"/>
      <c r="BA245" s="790"/>
      <c r="BB245" s="790"/>
      <c r="BC245" s="790"/>
      <c r="BD245" s="790"/>
      <c r="BE245" s="790"/>
      <c r="BF245" s="790"/>
      <c r="BG245" s="790"/>
      <c r="BH245" s="790"/>
      <c r="BI245" s="790"/>
      <c r="BJ245" s="790"/>
      <c r="BK245" s="790"/>
      <c r="BL245" s="790"/>
      <c r="BM245" s="790"/>
      <c r="BN245" s="790"/>
      <c r="BO245" s="790"/>
      <c r="BP245" s="790"/>
      <c r="BQ245" s="790"/>
      <c r="BR245" s="790"/>
      <c r="BS245" s="790"/>
      <c r="BT245" s="790"/>
      <c r="BU245" s="790"/>
    </row>
    <row r="246" spans="39:73" s="166" customFormat="1">
      <c r="AM246" s="790"/>
      <c r="AN246" s="790"/>
      <c r="AO246" s="790"/>
      <c r="AP246" s="790"/>
      <c r="AQ246" s="790"/>
      <c r="AR246" s="790"/>
      <c r="AS246" s="790"/>
      <c r="AT246" s="790"/>
      <c r="AU246" s="790"/>
      <c r="AV246" s="790"/>
      <c r="AW246" s="790"/>
      <c r="AX246" s="790"/>
      <c r="AY246" s="790"/>
      <c r="AZ246" s="790"/>
      <c r="BA246" s="790"/>
      <c r="BB246" s="790"/>
      <c r="BC246" s="790"/>
      <c r="BD246" s="790"/>
      <c r="BE246" s="790"/>
      <c r="BF246" s="790"/>
      <c r="BG246" s="790"/>
      <c r="BH246" s="790"/>
      <c r="BI246" s="790"/>
      <c r="BJ246" s="790"/>
      <c r="BK246" s="790"/>
      <c r="BL246" s="790"/>
      <c r="BM246" s="790"/>
      <c r="BN246" s="790"/>
      <c r="BO246" s="790"/>
      <c r="BP246" s="790"/>
      <c r="BQ246" s="790"/>
      <c r="BR246" s="790"/>
      <c r="BS246" s="790"/>
      <c r="BT246" s="790"/>
      <c r="BU246" s="790"/>
    </row>
    <row r="247" spans="39:73" s="166" customFormat="1">
      <c r="AM247" s="790"/>
      <c r="AN247" s="790"/>
      <c r="AO247" s="790"/>
      <c r="AP247" s="790"/>
      <c r="AQ247" s="790"/>
      <c r="AR247" s="790"/>
      <c r="AS247" s="790"/>
      <c r="AT247" s="790"/>
      <c r="AU247" s="790"/>
      <c r="AV247" s="790"/>
      <c r="AW247" s="790"/>
      <c r="AX247" s="790"/>
      <c r="AY247" s="790"/>
      <c r="AZ247" s="790"/>
      <c r="BA247" s="790"/>
      <c r="BB247" s="790"/>
      <c r="BC247" s="790"/>
      <c r="BD247" s="790"/>
      <c r="BE247" s="790"/>
      <c r="BF247" s="790"/>
      <c r="BG247" s="790"/>
      <c r="BH247" s="790"/>
      <c r="BI247" s="790"/>
      <c r="BJ247" s="790"/>
      <c r="BK247" s="790"/>
      <c r="BL247" s="790"/>
      <c r="BM247" s="790"/>
      <c r="BN247" s="790"/>
      <c r="BO247" s="790"/>
      <c r="BP247" s="790"/>
      <c r="BQ247" s="790"/>
      <c r="BR247" s="790"/>
      <c r="BS247" s="790"/>
      <c r="BT247" s="790"/>
      <c r="BU247" s="790"/>
    </row>
    <row r="248" spans="39:73" s="166" customFormat="1">
      <c r="AM248" s="790"/>
      <c r="AN248" s="790"/>
      <c r="AO248" s="790"/>
      <c r="AP248" s="790"/>
      <c r="AQ248" s="790"/>
      <c r="AR248" s="790"/>
      <c r="AS248" s="790"/>
      <c r="AT248" s="790"/>
      <c r="AU248" s="790"/>
      <c r="AV248" s="790"/>
      <c r="AW248" s="790"/>
      <c r="AX248" s="790"/>
      <c r="AY248" s="790"/>
      <c r="AZ248" s="790"/>
      <c r="BA248" s="790"/>
      <c r="BB248" s="790"/>
      <c r="BC248" s="790"/>
      <c r="BD248" s="790"/>
      <c r="BE248" s="790"/>
      <c r="BF248" s="790"/>
      <c r="BG248" s="790"/>
      <c r="BH248" s="790"/>
      <c r="BI248" s="790"/>
      <c r="BJ248" s="790"/>
      <c r="BK248" s="790"/>
      <c r="BL248" s="790"/>
      <c r="BM248" s="790"/>
      <c r="BN248" s="790"/>
      <c r="BO248" s="790"/>
      <c r="BP248" s="790"/>
      <c r="BQ248" s="790"/>
      <c r="BR248" s="790"/>
      <c r="BS248" s="790"/>
      <c r="BT248" s="790"/>
      <c r="BU248" s="790"/>
    </row>
    <row r="249" spans="39:73" s="166" customFormat="1">
      <c r="AM249" s="790"/>
      <c r="AN249" s="790"/>
      <c r="AO249" s="790"/>
      <c r="AP249" s="790"/>
      <c r="AQ249" s="790"/>
      <c r="AR249" s="790"/>
      <c r="AS249" s="790"/>
      <c r="AT249" s="790"/>
      <c r="AU249" s="790"/>
      <c r="AV249" s="790"/>
      <c r="AW249" s="790"/>
      <c r="AX249" s="790"/>
      <c r="AY249" s="790"/>
      <c r="AZ249" s="790"/>
      <c r="BA249" s="790"/>
      <c r="BB249" s="790"/>
      <c r="BC249" s="790"/>
      <c r="BD249" s="790"/>
      <c r="BE249" s="790"/>
      <c r="BF249" s="790"/>
      <c r="BG249" s="790"/>
      <c r="BH249" s="790"/>
      <c r="BI249" s="790"/>
      <c r="BJ249" s="790"/>
      <c r="BK249" s="790"/>
      <c r="BL249" s="790"/>
      <c r="BM249" s="790"/>
      <c r="BN249" s="790"/>
      <c r="BO249" s="790"/>
      <c r="BP249" s="790"/>
      <c r="BQ249" s="790"/>
      <c r="BR249" s="790"/>
      <c r="BS249" s="790"/>
      <c r="BT249" s="790"/>
      <c r="BU249" s="790"/>
    </row>
    <row r="250" spans="39:73" s="166" customFormat="1">
      <c r="AM250" s="790"/>
      <c r="AN250" s="790"/>
      <c r="AO250" s="790"/>
      <c r="AP250" s="790"/>
      <c r="AQ250" s="790"/>
      <c r="AR250" s="790"/>
      <c r="AS250" s="790"/>
      <c r="AT250" s="790"/>
      <c r="AU250" s="790"/>
      <c r="AV250" s="790"/>
      <c r="AW250" s="790"/>
      <c r="AX250" s="790"/>
      <c r="AY250" s="790"/>
      <c r="AZ250" s="790"/>
      <c r="BA250" s="790"/>
      <c r="BB250" s="790"/>
      <c r="BC250" s="790"/>
      <c r="BD250" s="790"/>
      <c r="BE250" s="790"/>
      <c r="BF250" s="790"/>
      <c r="BG250" s="790"/>
      <c r="BH250" s="790"/>
      <c r="BI250" s="790"/>
      <c r="BJ250" s="790"/>
      <c r="BK250" s="790"/>
      <c r="BL250" s="790"/>
      <c r="BM250" s="790"/>
      <c r="BN250" s="790"/>
      <c r="BO250" s="790"/>
      <c r="BP250" s="790"/>
      <c r="BQ250" s="790"/>
      <c r="BR250" s="790"/>
      <c r="BS250" s="790"/>
      <c r="BT250" s="790"/>
      <c r="BU250" s="790"/>
    </row>
    <row r="251" spans="39:73" s="166" customFormat="1">
      <c r="AM251" s="790"/>
      <c r="AN251" s="790"/>
      <c r="AO251" s="790"/>
      <c r="AP251" s="790"/>
      <c r="AQ251" s="790"/>
      <c r="AR251" s="790"/>
      <c r="AS251" s="790"/>
      <c r="AT251" s="790"/>
      <c r="AU251" s="790"/>
      <c r="AV251" s="790"/>
      <c r="AW251" s="790"/>
      <c r="AX251" s="790"/>
      <c r="AY251" s="790"/>
      <c r="AZ251" s="790"/>
      <c r="BA251" s="790"/>
      <c r="BB251" s="790"/>
      <c r="BC251" s="790"/>
      <c r="BD251" s="790"/>
      <c r="BE251" s="790"/>
      <c r="BF251" s="790"/>
      <c r="BG251" s="790"/>
      <c r="BH251" s="790"/>
      <c r="BI251" s="790"/>
      <c r="BJ251" s="790"/>
      <c r="BK251" s="790"/>
      <c r="BL251" s="790"/>
      <c r="BM251" s="790"/>
      <c r="BN251" s="790"/>
      <c r="BO251" s="790"/>
      <c r="BP251" s="790"/>
      <c r="BQ251" s="790"/>
      <c r="BR251" s="790"/>
      <c r="BS251" s="790"/>
      <c r="BT251" s="790"/>
      <c r="BU251" s="790"/>
    </row>
    <row r="252" spans="39:73" s="166" customFormat="1">
      <c r="AM252" s="790"/>
      <c r="AN252" s="790"/>
      <c r="AO252" s="790"/>
      <c r="AP252" s="790"/>
      <c r="AQ252" s="790"/>
      <c r="AR252" s="790"/>
      <c r="AS252" s="790"/>
      <c r="AT252" s="790"/>
      <c r="AU252" s="790"/>
      <c r="AV252" s="790"/>
      <c r="AW252" s="790"/>
      <c r="AX252" s="790"/>
      <c r="AY252" s="790"/>
      <c r="AZ252" s="790"/>
      <c r="BA252" s="790"/>
      <c r="BB252" s="790"/>
      <c r="BC252" s="790"/>
      <c r="BD252" s="790"/>
      <c r="BE252" s="790"/>
      <c r="BF252" s="790"/>
      <c r="BG252" s="790"/>
      <c r="BH252" s="790"/>
      <c r="BI252" s="790"/>
      <c r="BJ252" s="790"/>
      <c r="BK252" s="790"/>
      <c r="BL252" s="790"/>
      <c r="BM252" s="790"/>
      <c r="BN252" s="790"/>
      <c r="BO252" s="790"/>
      <c r="BP252" s="790"/>
      <c r="BQ252" s="790"/>
      <c r="BR252" s="790"/>
      <c r="BS252" s="790"/>
      <c r="BT252" s="790"/>
      <c r="BU252" s="790"/>
    </row>
    <row r="253" spans="39:73" s="166" customFormat="1">
      <c r="AM253" s="790"/>
      <c r="AN253" s="790"/>
      <c r="AO253" s="790"/>
      <c r="AP253" s="790"/>
      <c r="AQ253" s="790"/>
      <c r="AR253" s="790"/>
      <c r="AS253" s="790"/>
      <c r="AT253" s="790"/>
      <c r="AU253" s="790"/>
      <c r="AV253" s="790"/>
      <c r="AW253" s="790"/>
      <c r="AX253" s="790"/>
      <c r="AY253" s="790"/>
      <c r="AZ253" s="790"/>
      <c r="BA253" s="790"/>
      <c r="BB253" s="790"/>
      <c r="BC253" s="790"/>
      <c r="BD253" s="790"/>
      <c r="BE253" s="790"/>
      <c r="BF253" s="790"/>
      <c r="BG253" s="790"/>
      <c r="BH253" s="790"/>
      <c r="BI253" s="790"/>
      <c r="BJ253" s="790"/>
      <c r="BK253" s="790"/>
      <c r="BL253" s="790"/>
      <c r="BM253" s="790"/>
      <c r="BN253" s="790"/>
      <c r="BO253" s="790"/>
      <c r="BP253" s="790"/>
      <c r="BQ253" s="790"/>
      <c r="BR253" s="790"/>
      <c r="BS253" s="790"/>
      <c r="BT253" s="790"/>
      <c r="BU253" s="790"/>
    </row>
    <row r="254" spans="39:73" s="166" customFormat="1">
      <c r="AM254" s="790"/>
      <c r="AN254" s="790"/>
      <c r="AO254" s="790"/>
      <c r="AP254" s="790"/>
      <c r="AQ254" s="790"/>
      <c r="AR254" s="790"/>
      <c r="AS254" s="790"/>
      <c r="AT254" s="790"/>
      <c r="AU254" s="790"/>
      <c r="AV254" s="790"/>
      <c r="AW254" s="790"/>
      <c r="AX254" s="790"/>
      <c r="AY254" s="790"/>
      <c r="AZ254" s="790"/>
      <c r="BA254" s="790"/>
      <c r="BB254" s="790"/>
      <c r="BC254" s="790"/>
      <c r="BD254" s="790"/>
      <c r="BE254" s="790"/>
      <c r="BF254" s="790"/>
      <c r="BG254" s="790"/>
      <c r="BH254" s="790"/>
      <c r="BI254" s="790"/>
      <c r="BJ254" s="790"/>
      <c r="BK254" s="790"/>
      <c r="BL254" s="790"/>
      <c r="BM254" s="790"/>
      <c r="BN254" s="790"/>
      <c r="BO254" s="790"/>
      <c r="BP254" s="790"/>
      <c r="BQ254" s="790"/>
      <c r="BR254" s="790"/>
      <c r="BS254" s="790"/>
      <c r="BT254" s="790"/>
      <c r="BU254" s="790"/>
    </row>
    <row r="255" spans="39:73" s="166" customFormat="1">
      <c r="AM255" s="790"/>
      <c r="AN255" s="790"/>
      <c r="AO255" s="790"/>
      <c r="AP255" s="790"/>
      <c r="AQ255" s="790"/>
      <c r="AR255" s="790"/>
      <c r="AS255" s="790"/>
      <c r="AT255" s="790"/>
      <c r="AU255" s="790"/>
      <c r="AV255" s="790"/>
      <c r="AW255" s="790"/>
      <c r="AX255" s="790"/>
      <c r="AY255" s="790"/>
      <c r="AZ255" s="790"/>
      <c r="BA255" s="790"/>
      <c r="BB255" s="790"/>
      <c r="BC255" s="790"/>
      <c r="BD255" s="790"/>
      <c r="BE255" s="790"/>
      <c r="BF255" s="790"/>
      <c r="BG255" s="790"/>
      <c r="BH255" s="790"/>
      <c r="BI255" s="790"/>
      <c r="BJ255" s="790"/>
      <c r="BK255" s="790"/>
      <c r="BL255" s="790"/>
      <c r="BM255" s="790"/>
      <c r="BN255" s="790"/>
      <c r="BO255" s="790"/>
      <c r="BP255" s="790"/>
      <c r="BQ255" s="790"/>
      <c r="BR255" s="790"/>
      <c r="BS255" s="790"/>
      <c r="BT255" s="790"/>
      <c r="BU255" s="790"/>
    </row>
    <row r="256" spans="39:73" s="166" customFormat="1">
      <c r="AM256" s="790"/>
      <c r="AN256" s="790"/>
      <c r="AO256" s="790"/>
      <c r="AP256" s="790"/>
      <c r="AQ256" s="790"/>
      <c r="AR256" s="790"/>
      <c r="AS256" s="790"/>
      <c r="AT256" s="790"/>
      <c r="AU256" s="790"/>
      <c r="AV256" s="790"/>
      <c r="AW256" s="790"/>
      <c r="AX256" s="790"/>
      <c r="AY256" s="790"/>
      <c r="AZ256" s="790"/>
      <c r="BA256" s="790"/>
      <c r="BB256" s="790"/>
      <c r="BC256" s="790"/>
      <c r="BD256" s="790"/>
      <c r="BE256" s="790"/>
      <c r="BF256" s="790"/>
      <c r="BG256" s="790"/>
      <c r="BH256" s="790"/>
      <c r="BI256" s="790"/>
      <c r="BJ256" s="790"/>
      <c r="BK256" s="790"/>
      <c r="BL256" s="790"/>
      <c r="BM256" s="790"/>
      <c r="BN256" s="790"/>
      <c r="BO256" s="790"/>
      <c r="BP256" s="790"/>
      <c r="BQ256" s="790"/>
      <c r="BR256" s="790"/>
      <c r="BS256" s="790"/>
      <c r="BT256" s="790"/>
      <c r="BU256" s="790"/>
    </row>
    <row r="257" s="166" customFormat="1"/>
    <row r="258" s="166" customFormat="1"/>
    <row r="259" s="166" customFormat="1"/>
    <row r="260" s="166" customFormat="1"/>
    <row r="261" s="166" customFormat="1"/>
    <row r="262" s="166" customFormat="1"/>
    <row r="263" s="166" customFormat="1"/>
    <row r="264" s="166" customFormat="1"/>
    <row r="265" s="166" customFormat="1"/>
    <row r="266" s="166" customFormat="1"/>
    <row r="267" s="166" customFormat="1"/>
    <row r="268" s="166" customFormat="1"/>
    <row r="269" s="166" customFormat="1"/>
    <row r="270" s="166" customFormat="1"/>
    <row r="271" s="166" customFormat="1"/>
    <row r="272" s="166" customFormat="1"/>
    <row r="273" s="166" customFormat="1"/>
    <row r="274" s="166" customFormat="1"/>
    <row r="275" s="166" customFormat="1"/>
    <row r="276" s="166" customFormat="1"/>
    <row r="277" s="166" customFormat="1"/>
    <row r="278" s="166" customFormat="1"/>
    <row r="279" s="166" customFormat="1"/>
    <row r="280" s="166" customFormat="1"/>
    <row r="281" s="166" customFormat="1"/>
    <row r="282" s="166" customFormat="1"/>
    <row r="283" s="166" customFormat="1"/>
    <row r="284" s="166" customFormat="1"/>
    <row r="285" s="166" customFormat="1"/>
    <row r="286" s="166" customFormat="1"/>
    <row r="287" s="166" customFormat="1"/>
    <row r="288" s="166" customFormat="1"/>
    <row r="289" s="166" customFormat="1"/>
    <row r="290" s="166" customFormat="1"/>
    <row r="291" s="166" customFormat="1"/>
    <row r="292" s="166" customFormat="1"/>
    <row r="293" s="166" customFormat="1"/>
    <row r="294" s="166" customFormat="1"/>
    <row r="295" s="166" customFormat="1"/>
    <row r="296" s="166" customFormat="1"/>
    <row r="297" s="166" customFormat="1"/>
    <row r="298" s="166" customFormat="1"/>
    <row r="299" s="166" customFormat="1"/>
    <row r="300" s="166" customFormat="1"/>
    <row r="301" s="166" customFormat="1"/>
    <row r="302" s="166" customFormat="1"/>
    <row r="303" s="166" customFormat="1"/>
    <row r="304" s="166" customFormat="1"/>
    <row r="305" s="166" customFormat="1"/>
    <row r="306" s="166" customFormat="1"/>
    <row r="307" s="166" customFormat="1"/>
    <row r="308" s="166" customFormat="1"/>
    <row r="309" s="166" customFormat="1"/>
    <row r="310" s="166" customFormat="1"/>
    <row r="311" s="166" customFormat="1"/>
    <row r="312" s="166" customFormat="1"/>
    <row r="313" s="166" customFormat="1"/>
    <row r="314" s="166" customFormat="1"/>
    <row r="315" s="166" customFormat="1"/>
    <row r="316" s="166" customFormat="1"/>
    <row r="317" s="166" customFormat="1"/>
    <row r="318" s="166" customFormat="1"/>
    <row r="319" s="166" customFormat="1"/>
    <row r="320" s="166" customFormat="1"/>
    <row r="321" s="166" customFormat="1"/>
    <row r="322" s="166" customFormat="1"/>
    <row r="323" s="166" customFormat="1"/>
    <row r="324" s="166" customFormat="1"/>
    <row r="325" s="166" customFormat="1"/>
    <row r="326" s="166" customFormat="1"/>
    <row r="327" s="166" customFormat="1"/>
    <row r="328" s="166" customFormat="1"/>
    <row r="329" s="166" customFormat="1"/>
    <row r="330" s="166" customFormat="1"/>
    <row r="331" s="166" customFormat="1"/>
    <row r="332" s="166" customFormat="1"/>
    <row r="333" s="166" customFormat="1"/>
    <row r="334" s="166" customFormat="1"/>
    <row r="335" s="166" customFormat="1"/>
    <row r="336" s="166" customFormat="1"/>
    <row r="337" s="166" customFormat="1"/>
    <row r="338" s="166" customFormat="1"/>
    <row r="339" s="166" customFormat="1"/>
    <row r="340" s="166" customFormat="1"/>
    <row r="341" s="166" customFormat="1"/>
    <row r="342" s="166" customFormat="1"/>
    <row r="343" s="166" customFormat="1"/>
    <row r="344" s="166" customFormat="1"/>
    <row r="345" s="166" customFormat="1"/>
    <row r="346" s="166" customFormat="1"/>
    <row r="347" s="166" customFormat="1"/>
    <row r="348" s="166" customFormat="1"/>
    <row r="349" s="166" customFormat="1"/>
    <row r="350" s="166" customFormat="1"/>
    <row r="351" s="166" customFormat="1"/>
    <row r="352" s="166" customFormat="1"/>
    <row r="353" s="166" customFormat="1"/>
    <row r="354" s="166" customFormat="1"/>
    <row r="355" s="166" customFormat="1"/>
    <row r="356" s="166" customFormat="1"/>
    <row r="357" s="166" customFormat="1"/>
    <row r="358" s="166" customFormat="1"/>
    <row r="359" s="166" customFormat="1"/>
    <row r="360" s="166" customFormat="1"/>
    <row r="361" s="166" customFormat="1"/>
    <row r="362" s="166" customFormat="1"/>
    <row r="363" s="166" customFormat="1"/>
    <row r="364" s="166" customFormat="1"/>
    <row r="365" s="166" customFormat="1"/>
    <row r="366" s="166" customFormat="1"/>
    <row r="367" s="166" customFormat="1"/>
    <row r="368" s="166" customFormat="1"/>
    <row r="369" s="166" customFormat="1"/>
    <row r="370" s="166" customFormat="1"/>
    <row r="371" s="166" customFormat="1"/>
    <row r="372" s="166" customFormat="1"/>
    <row r="373" s="166" customFormat="1"/>
    <row r="374" s="166" customFormat="1"/>
    <row r="375" s="166" customFormat="1"/>
    <row r="376" s="166" customFormat="1"/>
    <row r="377" s="166" customFormat="1"/>
    <row r="378" s="166" customFormat="1"/>
    <row r="379" s="166" customFormat="1"/>
    <row r="380" s="166" customFormat="1"/>
    <row r="381" s="166" customFormat="1"/>
    <row r="382" s="166" customFormat="1"/>
    <row r="383" s="166" customFormat="1"/>
    <row r="384" s="166" customFormat="1"/>
    <row r="385" s="166" customFormat="1"/>
    <row r="386" s="166" customFormat="1"/>
    <row r="387" s="166" customFormat="1"/>
    <row r="388" s="166" customFormat="1"/>
    <row r="389" s="166" customFormat="1"/>
    <row r="390" s="166" customFormat="1"/>
    <row r="391" s="166" customFormat="1"/>
    <row r="392" s="166" customFormat="1"/>
    <row r="393" s="166" customFormat="1"/>
    <row r="394" s="166" customFormat="1"/>
    <row r="395" s="166" customFormat="1"/>
    <row r="396" s="166" customFormat="1"/>
    <row r="397" s="166" customFormat="1"/>
    <row r="398" s="166" customFormat="1"/>
    <row r="399" s="166" customFormat="1"/>
    <row r="400" s="166" customFormat="1"/>
    <row r="401" s="166" customFormat="1"/>
    <row r="402" s="166" customFormat="1"/>
    <row r="403" s="166" customFormat="1"/>
    <row r="404" s="166" customFormat="1"/>
    <row r="405" s="166" customFormat="1"/>
    <row r="406" s="166" customFormat="1"/>
    <row r="407" s="166" customFormat="1"/>
    <row r="408" s="166" customFormat="1"/>
    <row r="409" s="166" customFormat="1"/>
    <row r="410" s="166" customFormat="1"/>
    <row r="411" s="166" customFormat="1"/>
    <row r="412" s="166" customFormat="1"/>
    <row r="413" s="166" customFormat="1"/>
    <row r="414" s="166" customFormat="1"/>
    <row r="415" s="166" customFormat="1"/>
    <row r="416" s="166" customFormat="1"/>
    <row r="417" s="166" customFormat="1"/>
    <row r="418" s="166" customFormat="1"/>
    <row r="419" s="166" customFormat="1"/>
    <row r="420" s="166" customFormat="1"/>
    <row r="421" s="166" customFormat="1"/>
    <row r="422" s="166" customFormat="1"/>
    <row r="423" s="166" customFormat="1"/>
    <row r="424" s="166" customFormat="1"/>
    <row r="425" s="166" customFormat="1"/>
    <row r="426" s="166" customFormat="1"/>
    <row r="427" s="166" customFormat="1"/>
    <row r="428" s="166" customFormat="1"/>
    <row r="429" s="166" customFormat="1"/>
    <row r="430" s="166" customFormat="1"/>
    <row r="431" s="166" customFormat="1"/>
    <row r="432" s="166" customFormat="1"/>
    <row r="433" s="166" customFormat="1"/>
    <row r="434" s="166" customFormat="1"/>
    <row r="435" s="166" customFormat="1"/>
    <row r="436" s="166" customFormat="1"/>
    <row r="437" s="166" customFormat="1"/>
    <row r="438" s="166" customFormat="1"/>
    <row r="439" s="166" customFormat="1"/>
    <row r="440" s="166" customFormat="1"/>
    <row r="441" s="166" customFormat="1"/>
    <row r="442" s="166" customFormat="1"/>
    <row r="443" s="166" customFormat="1"/>
    <row r="444" s="166" customFormat="1"/>
    <row r="445" s="166" customFormat="1"/>
    <row r="446" s="166" customFormat="1"/>
    <row r="447" s="166" customFormat="1"/>
    <row r="448" s="166" customFormat="1"/>
    <row r="449" s="166" customFormat="1"/>
    <row r="450" s="166" customFormat="1"/>
    <row r="451" s="166" customFormat="1"/>
    <row r="452" s="166" customFormat="1"/>
    <row r="453" s="166" customFormat="1"/>
    <row r="454" s="166" customFormat="1"/>
    <row r="455" s="166" customFormat="1"/>
    <row r="456" s="166" customFormat="1"/>
    <row r="457" s="166" customFormat="1"/>
    <row r="458" s="166" customFormat="1"/>
    <row r="459" s="166" customFormat="1"/>
    <row r="460" s="166" customFormat="1"/>
    <row r="461" s="166" customFormat="1"/>
    <row r="462" s="166" customFormat="1"/>
    <row r="463" s="166" customFormat="1"/>
    <row r="464" s="166" customFormat="1"/>
    <row r="465" s="166" customFormat="1"/>
    <row r="466" s="166" customFormat="1"/>
    <row r="467" s="166" customFormat="1"/>
    <row r="468" s="166" customFormat="1"/>
    <row r="469" s="166" customFormat="1"/>
    <row r="470" s="166" customFormat="1"/>
    <row r="471" s="166" customFormat="1"/>
    <row r="472" s="166" customFormat="1"/>
    <row r="473" s="166" customFormat="1"/>
    <row r="474" s="166" customFormat="1"/>
    <row r="475" s="166" customFormat="1"/>
    <row r="476" s="166" customFormat="1"/>
    <row r="477" s="166" customFormat="1"/>
    <row r="478" s="166" customFormat="1"/>
    <row r="479" s="166" customFormat="1"/>
    <row r="480" s="166" customFormat="1"/>
    <row r="481" s="166" customFormat="1"/>
    <row r="482" s="166" customFormat="1"/>
    <row r="483" s="166" customFormat="1"/>
    <row r="484" s="166" customFormat="1"/>
    <row r="485" s="166" customFormat="1"/>
    <row r="486" s="166" customFormat="1"/>
    <row r="487" s="166" customFormat="1"/>
    <row r="488" s="166" customFormat="1"/>
    <row r="489" s="166" customFormat="1"/>
    <row r="490" s="166" customFormat="1"/>
    <row r="491" s="166" customFormat="1"/>
    <row r="492" s="166" customFormat="1"/>
    <row r="493" s="166" customFormat="1"/>
    <row r="494" s="166" customFormat="1"/>
    <row r="495" s="166" customFormat="1"/>
    <row r="496" s="166" customFormat="1"/>
    <row r="497" s="166" customFormat="1"/>
    <row r="498" s="166" customFormat="1"/>
    <row r="499" s="166" customFormat="1"/>
    <row r="500" s="166" customFormat="1"/>
    <row r="501" s="166" customFormat="1"/>
    <row r="502" s="166" customFormat="1"/>
    <row r="503" s="166" customFormat="1"/>
    <row r="504" s="166" customFormat="1"/>
    <row r="505" s="166" customFormat="1"/>
    <row r="506" s="166" customFormat="1"/>
    <row r="507" s="166" customFormat="1"/>
    <row r="508" s="166" customFormat="1"/>
    <row r="509" s="166" customFormat="1"/>
    <row r="510" s="166" customFormat="1"/>
    <row r="511" s="166" customFormat="1"/>
    <row r="512" s="166" customFormat="1"/>
    <row r="513" s="166" customFormat="1"/>
    <row r="514" s="166" customFormat="1"/>
    <row r="515" s="166" customFormat="1"/>
    <row r="516" s="166" customFormat="1"/>
    <row r="517" s="166" customFormat="1"/>
    <row r="518" s="166" customFormat="1"/>
    <row r="519" s="166" customFormat="1"/>
    <row r="520" s="166" customFormat="1"/>
    <row r="521" s="166" customFormat="1"/>
    <row r="522" s="166" customFormat="1"/>
    <row r="523" s="166" customFormat="1"/>
    <row r="524" s="166" customFormat="1"/>
    <row r="525" s="166" customFormat="1"/>
    <row r="526" s="166" customFormat="1"/>
    <row r="527" s="166" customFormat="1"/>
    <row r="528" s="166" customFormat="1"/>
    <row r="529" s="166" customFormat="1"/>
    <row r="530" s="166" customFormat="1"/>
    <row r="531" s="166" customFormat="1"/>
    <row r="532" s="166" customFormat="1"/>
    <row r="533" s="166" customFormat="1"/>
    <row r="534" s="166" customFormat="1"/>
    <row r="535" s="166" customFormat="1"/>
    <row r="536" s="166" customFormat="1"/>
    <row r="537" s="166" customFormat="1"/>
    <row r="538" s="166" customFormat="1"/>
    <row r="539" s="166" customFormat="1"/>
    <row r="540" s="166" customFormat="1"/>
    <row r="541" s="166" customFormat="1"/>
    <row r="542" s="166" customFormat="1"/>
    <row r="543" s="166" customFormat="1"/>
    <row r="544" s="166" customFormat="1"/>
    <row r="545" s="166" customFormat="1"/>
    <row r="546" s="166" customFormat="1"/>
    <row r="547" s="166" customFormat="1"/>
    <row r="548" s="166" customFormat="1"/>
    <row r="549" s="166" customFormat="1"/>
    <row r="550" s="166" customFormat="1"/>
    <row r="551" s="166" customFormat="1"/>
    <row r="552" s="166" customFormat="1"/>
    <row r="553" s="166" customFormat="1"/>
    <row r="554" s="166" customFormat="1"/>
    <row r="555" s="166" customFormat="1"/>
    <row r="556" s="166" customFormat="1"/>
    <row r="557" s="166" customFormat="1"/>
    <row r="558" s="166" customFormat="1"/>
    <row r="559" s="166" customFormat="1"/>
    <row r="560" s="166" customFormat="1"/>
    <row r="561" s="166" customFormat="1"/>
    <row r="562" s="166" customFormat="1"/>
    <row r="563" s="166" customFormat="1"/>
    <row r="564" s="166" customFormat="1"/>
    <row r="565" s="166" customFormat="1"/>
    <row r="566" s="166" customFormat="1"/>
    <row r="567" s="166" customFormat="1"/>
    <row r="568" s="166" customFormat="1"/>
    <row r="569" s="166" customFormat="1"/>
    <row r="570" s="166" customFormat="1"/>
    <row r="571" s="166" customFormat="1"/>
    <row r="572" s="166" customFormat="1"/>
    <row r="573" s="166" customFormat="1"/>
    <row r="574" s="166" customFormat="1"/>
    <row r="575" s="166" customFormat="1"/>
    <row r="576" s="166" customFormat="1"/>
    <row r="577" s="166" customFormat="1"/>
    <row r="578" s="166" customFormat="1"/>
    <row r="579" s="166" customFormat="1"/>
    <row r="580" s="166" customFormat="1"/>
    <row r="581" s="166" customFormat="1"/>
    <row r="582" s="166" customFormat="1"/>
    <row r="583" s="166" customFormat="1"/>
    <row r="584" s="166" customFormat="1"/>
    <row r="585" s="166" customFormat="1"/>
    <row r="586" s="166" customFormat="1"/>
    <row r="587" s="166" customFormat="1"/>
    <row r="588" s="166" customFormat="1"/>
    <row r="589" s="166" customFormat="1"/>
    <row r="590" s="166" customFormat="1"/>
    <row r="591" s="166" customFormat="1"/>
    <row r="592" s="166" customFormat="1"/>
    <row r="593" s="166" customFormat="1"/>
    <row r="594" s="166" customFormat="1"/>
    <row r="595" s="166" customFormat="1"/>
    <row r="596" s="166" customFormat="1"/>
    <row r="597" s="166" customFormat="1"/>
    <row r="598" s="166" customFormat="1"/>
    <row r="599" s="166" customFormat="1"/>
    <row r="600" s="166" customFormat="1"/>
    <row r="601" s="166" customFormat="1"/>
    <row r="602" s="166" customFormat="1"/>
    <row r="603" s="166" customFormat="1"/>
    <row r="604" s="166" customFormat="1"/>
    <row r="605" s="166" customFormat="1"/>
    <row r="606" s="166" customFormat="1"/>
    <row r="607" s="166" customFormat="1"/>
    <row r="608" s="166" customFormat="1"/>
    <row r="609" s="166" customFormat="1"/>
    <row r="610" s="166" customFormat="1"/>
    <row r="611" s="166" customFormat="1"/>
    <row r="612" s="166" customFormat="1"/>
    <row r="613" s="166" customFormat="1"/>
    <row r="614" s="166" customFormat="1"/>
    <row r="615" s="166" customFormat="1"/>
    <row r="616" s="166" customFormat="1"/>
    <row r="617" s="166" customFormat="1"/>
    <row r="618" s="166" customFormat="1"/>
    <row r="619" s="166" customFormat="1"/>
    <row r="620" s="166" customFormat="1"/>
    <row r="621" s="166" customFormat="1"/>
    <row r="622" s="166" customFormat="1"/>
    <row r="623" s="166" customFormat="1"/>
    <row r="624" s="166" customFormat="1"/>
    <row r="625" s="166" customFormat="1"/>
    <row r="626" s="166" customFormat="1"/>
    <row r="627" s="166" customFormat="1"/>
    <row r="628" s="166" customFormat="1"/>
    <row r="629" s="166" customFormat="1"/>
    <row r="630" s="166" customFormat="1"/>
    <row r="631" s="166" customFormat="1"/>
    <row r="632" s="166" customFormat="1"/>
    <row r="633" s="166" customFormat="1"/>
    <row r="634" s="166" customFormat="1"/>
    <row r="635" s="166" customFormat="1"/>
    <row r="636" s="166" customFormat="1"/>
    <row r="637" s="166" customFormat="1"/>
    <row r="638" s="166" customFormat="1"/>
    <row r="639" s="166" customFormat="1"/>
    <row r="640" s="166" customFormat="1"/>
    <row r="641" s="166" customFormat="1"/>
    <row r="642" s="166" customFormat="1"/>
    <row r="643" s="166" customFormat="1"/>
    <row r="644" s="166" customFormat="1"/>
    <row r="645" s="166" customFormat="1"/>
    <row r="646" s="166" customFormat="1"/>
    <row r="647" s="166" customFormat="1"/>
    <row r="648" s="166" customFormat="1"/>
    <row r="649" s="166" customFormat="1"/>
    <row r="650" s="166" customFormat="1"/>
    <row r="651" s="166" customFormat="1"/>
    <row r="652" s="166" customFormat="1"/>
    <row r="653" s="166" customFormat="1"/>
    <row r="654" s="166" customFormat="1"/>
    <row r="655" s="166" customFormat="1"/>
    <row r="656" s="166" customFormat="1"/>
    <row r="657" s="166" customFormat="1"/>
    <row r="658" s="166" customFormat="1"/>
    <row r="659" s="166" customFormat="1"/>
    <row r="660" s="166" customFormat="1"/>
    <row r="661" s="166" customFormat="1"/>
    <row r="662" s="166" customFormat="1"/>
    <row r="663" s="166" customFormat="1"/>
    <row r="664" s="166" customFormat="1"/>
    <row r="665" s="166" customFormat="1"/>
    <row r="666" s="166" customFormat="1"/>
    <row r="667" s="166" customFormat="1"/>
    <row r="668" s="166" customFormat="1"/>
    <row r="669" s="166" customFormat="1"/>
    <row r="670" s="166" customFormat="1"/>
    <row r="671" s="166" customFormat="1"/>
    <row r="672" s="166" customFormat="1"/>
    <row r="673" s="166" customFormat="1"/>
    <row r="674" s="166" customFormat="1"/>
    <row r="675" s="166" customFormat="1"/>
    <row r="676" s="166" customFormat="1"/>
    <row r="677" s="166" customFormat="1"/>
    <row r="678" s="166" customFormat="1"/>
    <row r="679" s="166" customFormat="1"/>
    <row r="680" s="166" customFormat="1"/>
    <row r="681" s="166" customFormat="1"/>
    <row r="682" s="166" customFormat="1"/>
    <row r="683" s="166" customFormat="1"/>
    <row r="684" s="166" customFormat="1"/>
    <row r="685" s="166" customFormat="1"/>
    <row r="686" s="166" customFormat="1"/>
    <row r="687" s="166" customFormat="1"/>
    <row r="688" s="166" customFormat="1"/>
    <row r="689" s="166" customFormat="1"/>
    <row r="690" s="166" customFormat="1"/>
    <row r="691" s="166" customFormat="1"/>
    <row r="692" s="166" customFormat="1"/>
    <row r="693" s="166" customFormat="1"/>
    <row r="694" s="166" customFormat="1"/>
    <row r="695" s="166" customFormat="1"/>
    <row r="696" s="166" customFormat="1"/>
    <row r="697" s="166" customFormat="1"/>
    <row r="698" s="166" customFormat="1"/>
    <row r="699" s="166" customFormat="1"/>
    <row r="700" s="166" customFormat="1"/>
    <row r="701" s="166" customFormat="1"/>
    <row r="702" s="166" customFormat="1"/>
    <row r="703" s="166" customFormat="1"/>
    <row r="704" s="166" customFormat="1"/>
    <row r="705" s="166" customFormat="1"/>
    <row r="706" s="166" customFormat="1"/>
    <row r="707" s="166" customFormat="1"/>
    <row r="708" s="166" customFormat="1"/>
    <row r="709" s="166" customFormat="1"/>
    <row r="710" s="166" customFormat="1"/>
    <row r="711" s="166" customFormat="1"/>
    <row r="712" s="166" customFormat="1"/>
    <row r="713" s="166" customFormat="1"/>
    <row r="714" s="166" customFormat="1"/>
    <row r="715" s="166" customFormat="1"/>
    <row r="716" s="166" customFormat="1"/>
    <row r="717" s="166" customFormat="1"/>
    <row r="718" s="166" customFormat="1"/>
    <row r="719" s="166" customFormat="1"/>
    <row r="720" s="166" customFormat="1"/>
    <row r="721" s="166" customFormat="1"/>
    <row r="722" s="166" customFormat="1"/>
    <row r="723" s="166" customFormat="1"/>
    <row r="724" s="166" customFormat="1"/>
    <row r="725" s="166" customFormat="1"/>
    <row r="726" s="166" customFormat="1"/>
    <row r="727" s="166" customFormat="1"/>
    <row r="728" s="166" customFormat="1"/>
    <row r="729" s="166" customFormat="1"/>
    <row r="730" s="166" customFormat="1"/>
    <row r="731" s="166" customFormat="1"/>
    <row r="732" s="166" customFormat="1"/>
    <row r="733" s="166" customFormat="1"/>
    <row r="734" s="166" customFormat="1"/>
    <row r="735" s="166" customFormat="1"/>
    <row r="736" s="166" customFormat="1"/>
    <row r="737" s="166" customFormat="1"/>
    <row r="738" s="166" customFormat="1"/>
    <row r="739" s="166" customFormat="1"/>
    <row r="740" s="166" customFormat="1"/>
    <row r="741" s="166" customFormat="1"/>
    <row r="742" s="166" customFormat="1"/>
    <row r="743" s="166" customFormat="1"/>
    <row r="744" s="166" customFormat="1"/>
    <row r="745" s="166" customFormat="1"/>
    <row r="746" s="166" customFormat="1"/>
    <row r="747" s="166" customFormat="1"/>
  </sheetData>
  <customSheetViews>
    <customSheetView guid="{ED9E521F-BC9B-4E88-8A9F-5288A046401B}" showGridLines="0" hiddenColumns="1">
      <pane xSplit="37" topLeftCell="AN1" activePane="topRight" state="frozen"/>
      <selection pane="topRight" activeCell="BG23" sqref="BG23"/>
      <pageMargins left="0" right="0" top="0" bottom="0" header="0" footer="0"/>
      <pageSetup paperSize="9" scale="46" orientation="portrait" horizontalDpi="4294967294" r:id="rId1"/>
    </customSheetView>
    <customSheetView guid="{634BFE77-A2AA-4FA6-8ED5-F02244B9F10C}" showPageBreaks="1" showGridLines="0" hiddenColumns="1">
      <pane xSplit="37" topLeftCell="AW1" activePane="topRight" state="frozen"/>
      <selection pane="topRight" activeCell="BK4" sqref="BK4"/>
      <pageMargins left="0" right="0" top="0" bottom="0" header="0" footer="0"/>
      <pageSetup paperSize="9" scale="46" orientation="portrait" horizontalDpi="4294967294"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howGridLines="0" hiddenColumns="1" topLeftCell="A10">
      <pane xSplit="37" topLeftCell="AM1" activePane="topRight" state="frozen"/>
      <selection pane="topRight" activeCell="A16" sqref="A16"/>
      <pageMargins left="0" right="0" top="0" bottom="0" header="0" footer="0"/>
      <pageSetup paperSize="9" scale="46" orientation="portrait" horizontalDpi="4294967294" r:id="rId3"/>
    </customSheetView>
    <customSheetView guid="{B87BD74C-18F3-4393-BF03-31B25889E08F}" showGridLines="0" hiddenColumns="1">
      <pane xSplit="37" topLeftCell="AW1" activePane="topRight" state="frozen"/>
      <selection pane="topRight" activeCell="BG21" sqref="BG21"/>
      <pageMargins left="0" right="0" top="0" bottom="0" header="0" footer="0"/>
      <pageSetup paperSize="9" scale="46" orientation="portrait" horizontalDpi="4294967294" r:id="rId4"/>
    </customSheetView>
  </customSheetViews>
  <mergeCells count="14">
    <mergeCell ref="BQ2:BU2"/>
    <mergeCell ref="BQ3:BU3"/>
    <mergeCell ref="BL2:BP2"/>
    <mergeCell ref="BL3:BP3"/>
    <mergeCell ref="BG2:BK2"/>
    <mergeCell ref="BG3:BK3"/>
    <mergeCell ref="AM2:AQ2"/>
    <mergeCell ref="AR2:AV2"/>
    <mergeCell ref="AW2:BA2"/>
    <mergeCell ref="BB2:BF2"/>
    <mergeCell ref="AM3:AQ3"/>
    <mergeCell ref="AR3:AV3"/>
    <mergeCell ref="AW3:BA3"/>
    <mergeCell ref="BB3:BF3"/>
  </mergeCells>
  <pageMargins left="0.7" right="0.7" top="0.75" bottom="0.75" header="0.3" footer="0.3"/>
  <pageSetup paperSize="9" scale="46" orientation="portrait"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O87"/>
  <sheetViews>
    <sheetView showGridLines="0" zoomScale="90" zoomScaleNormal="90" zoomScaleSheetLayoutView="85" workbookViewId="0">
      <pane xSplit="1" ySplit="4" topLeftCell="B56" activePane="bottomRight" state="frozen"/>
      <selection pane="topRight" activeCell="B1" sqref="B1"/>
      <selection pane="bottomLeft" activeCell="A5" sqref="A5"/>
      <selection pane="bottomRight" activeCell="B61" sqref="B61"/>
    </sheetView>
  </sheetViews>
  <sheetFormatPr defaultColWidth="9" defaultRowHeight="12.9" outlineLevelCol="1"/>
  <cols>
    <col min="1" max="1" width="53" style="4" customWidth="1"/>
    <col min="2" max="2" width="53" style="39" customWidth="1"/>
    <col min="3" max="3" width="11.5" style="5" hidden="1" customWidth="1" outlineLevel="1"/>
    <col min="4" max="4" width="12.35546875" style="5" hidden="1" customWidth="1" outlineLevel="1"/>
    <col min="5" max="5" width="13.640625" style="5" hidden="1" customWidth="1" outlineLevel="1"/>
    <col min="6" max="6" width="12.140625" style="5" hidden="1" customWidth="1" outlineLevel="1"/>
    <col min="7" max="9" width="13.640625" style="5" hidden="1" customWidth="1" outlineLevel="1"/>
    <col min="10" max="10" width="12.140625" style="5" hidden="1" customWidth="1" outlineLevel="1"/>
    <col min="11" max="13" width="13.640625" style="5" hidden="1" customWidth="1" outlineLevel="1"/>
    <col min="14" max="14" width="12.140625" style="5" hidden="1" customWidth="1" outlineLevel="1"/>
    <col min="15" max="42" width="13.640625" style="5" hidden="1" customWidth="1" outlineLevel="1"/>
    <col min="43" max="43" width="13.640625" style="5" customWidth="1" collapsed="1"/>
    <col min="44" max="50" width="13.640625" style="5" customWidth="1"/>
    <col min="51" max="53" width="9" style="5"/>
    <col min="54" max="54" width="10" style="5" bestFit="1" customWidth="1"/>
    <col min="55" max="16384" width="9" style="5"/>
  </cols>
  <sheetData>
    <row r="1" spans="1:483" s="14" customFormat="1" ht="89.25" customHeight="1">
      <c r="A1" s="2"/>
      <c r="B1" s="3"/>
      <c r="C1" s="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13"/>
      <c r="EF1" s="13"/>
      <c r="EG1" s="13"/>
      <c r="EH1" s="13"/>
      <c r="EI1" s="13"/>
      <c r="EJ1" s="13"/>
      <c r="EK1" s="13"/>
      <c r="EL1" s="13"/>
      <c r="EM1" s="13"/>
      <c r="EN1" s="13"/>
      <c r="EO1" s="13"/>
      <c r="EP1" s="13"/>
      <c r="EQ1" s="13"/>
      <c r="ER1" s="13"/>
      <c r="ES1" s="13"/>
      <c r="ET1" s="13"/>
      <c r="EU1" s="13"/>
      <c r="EV1" s="13"/>
      <c r="EW1" s="13"/>
      <c r="EX1" s="13"/>
      <c r="EY1" s="13"/>
      <c r="EZ1" s="13"/>
      <c r="FA1" s="13"/>
      <c r="FB1" s="13"/>
      <c r="FC1" s="13"/>
      <c r="FD1" s="13"/>
      <c r="FE1" s="13"/>
      <c r="FF1" s="13"/>
      <c r="FG1" s="13"/>
      <c r="FH1" s="13"/>
      <c r="FI1" s="13"/>
      <c r="FJ1" s="13"/>
      <c r="FK1" s="13"/>
      <c r="FL1" s="13"/>
      <c r="FM1" s="13"/>
      <c r="FN1" s="13"/>
      <c r="FO1" s="13"/>
      <c r="FP1" s="13"/>
      <c r="FQ1" s="13"/>
      <c r="FR1" s="13"/>
      <c r="FS1" s="13"/>
      <c r="FT1" s="13"/>
      <c r="FU1" s="13"/>
      <c r="FV1" s="13"/>
      <c r="FW1" s="13"/>
      <c r="FX1" s="13"/>
      <c r="FY1" s="13"/>
      <c r="FZ1" s="13"/>
      <c r="GA1" s="13"/>
      <c r="GB1" s="13"/>
      <c r="GC1" s="13"/>
      <c r="GD1" s="13"/>
      <c r="GE1" s="13"/>
      <c r="GF1" s="13"/>
      <c r="GG1" s="13"/>
      <c r="GH1" s="13"/>
      <c r="GI1" s="13"/>
      <c r="GJ1" s="13"/>
      <c r="GK1" s="13"/>
      <c r="GL1" s="13"/>
      <c r="GM1" s="13"/>
      <c r="GN1" s="13"/>
      <c r="GO1" s="13"/>
      <c r="GP1" s="13"/>
      <c r="GQ1" s="13"/>
      <c r="GR1" s="13"/>
      <c r="GS1" s="13"/>
      <c r="GT1" s="13"/>
      <c r="GU1" s="13"/>
      <c r="GV1" s="13"/>
      <c r="GW1" s="13"/>
      <c r="GX1" s="13"/>
      <c r="GY1" s="13"/>
      <c r="GZ1" s="13"/>
      <c r="HA1" s="13"/>
      <c r="HB1" s="13"/>
      <c r="HC1" s="13"/>
      <c r="HD1" s="13"/>
      <c r="HE1" s="13"/>
      <c r="HF1" s="13"/>
      <c r="HG1" s="13"/>
      <c r="HH1" s="13"/>
      <c r="HI1" s="13"/>
      <c r="HJ1" s="13"/>
      <c r="HK1" s="13"/>
      <c r="HL1" s="13"/>
      <c r="HM1" s="13"/>
      <c r="HN1" s="13"/>
      <c r="HO1" s="13"/>
      <c r="HP1" s="13"/>
      <c r="HQ1" s="13"/>
      <c r="HR1" s="13"/>
      <c r="HS1" s="13"/>
      <c r="HT1" s="13"/>
      <c r="HU1" s="13"/>
      <c r="HV1" s="13"/>
      <c r="HW1" s="13"/>
      <c r="HX1" s="13"/>
      <c r="HY1" s="13"/>
      <c r="HZ1" s="13"/>
      <c r="IA1" s="13"/>
      <c r="IB1" s="13"/>
      <c r="IC1" s="13"/>
      <c r="ID1" s="13"/>
      <c r="IE1" s="13"/>
      <c r="IF1" s="13"/>
      <c r="IG1" s="13"/>
      <c r="IH1" s="13"/>
      <c r="II1" s="13"/>
      <c r="IJ1" s="13"/>
      <c r="IK1" s="13"/>
      <c r="IL1" s="13"/>
      <c r="IM1" s="13"/>
      <c r="IN1" s="13"/>
      <c r="IO1" s="13"/>
      <c r="IP1" s="13"/>
      <c r="IQ1" s="13"/>
      <c r="IR1" s="13"/>
      <c r="IS1" s="13"/>
      <c r="IT1" s="13"/>
      <c r="IU1" s="13"/>
      <c r="IV1" s="13"/>
      <c r="IW1" s="13"/>
      <c r="IX1" s="13"/>
      <c r="IY1" s="13"/>
      <c r="IZ1" s="13"/>
      <c r="JA1" s="13"/>
      <c r="JB1" s="13"/>
      <c r="JC1" s="13"/>
      <c r="JD1" s="13"/>
      <c r="JE1" s="13"/>
      <c r="JF1" s="13"/>
      <c r="JG1" s="13"/>
      <c r="JH1" s="13"/>
      <c r="JI1" s="13"/>
      <c r="JJ1" s="13"/>
      <c r="JK1" s="13"/>
      <c r="JL1" s="13"/>
      <c r="JM1" s="13"/>
      <c r="JN1" s="13"/>
      <c r="JO1" s="13"/>
      <c r="JP1" s="13"/>
      <c r="JQ1" s="13"/>
      <c r="JR1" s="13"/>
      <c r="JS1" s="13"/>
      <c r="JT1" s="13"/>
      <c r="JU1" s="13"/>
      <c r="JV1" s="13"/>
      <c r="JW1" s="13"/>
      <c r="JX1" s="13"/>
      <c r="JY1" s="13"/>
      <c r="JZ1" s="13"/>
      <c r="KA1" s="13"/>
      <c r="KB1" s="13"/>
      <c r="KC1" s="13"/>
      <c r="KD1" s="13"/>
      <c r="KE1" s="13"/>
      <c r="KF1" s="13"/>
      <c r="KG1" s="13"/>
      <c r="KH1" s="13"/>
      <c r="KI1" s="13"/>
      <c r="KJ1" s="13"/>
      <c r="KK1" s="13"/>
      <c r="KL1" s="13"/>
      <c r="KM1" s="13"/>
      <c r="KN1" s="13"/>
      <c r="KO1" s="13"/>
      <c r="KP1" s="13"/>
      <c r="KQ1" s="13"/>
      <c r="KR1" s="13"/>
      <c r="KS1" s="13"/>
      <c r="KT1" s="13"/>
      <c r="KU1" s="13"/>
      <c r="KV1" s="13"/>
      <c r="KW1" s="13"/>
      <c r="KX1" s="13"/>
      <c r="KY1" s="13"/>
      <c r="KZ1" s="13"/>
      <c r="LA1" s="13"/>
      <c r="LB1" s="13"/>
      <c r="LC1" s="13"/>
      <c r="LD1" s="13"/>
      <c r="LE1" s="13"/>
      <c r="LF1" s="13"/>
      <c r="LG1" s="13"/>
      <c r="LH1" s="13"/>
      <c r="LI1" s="13"/>
      <c r="LJ1" s="13"/>
      <c r="LK1" s="13"/>
      <c r="LL1" s="13"/>
      <c r="LM1" s="13"/>
      <c r="LN1" s="13"/>
      <c r="LO1" s="13"/>
      <c r="LP1" s="13"/>
      <c r="LQ1" s="13"/>
      <c r="LR1" s="13"/>
      <c r="LS1" s="13"/>
      <c r="LT1" s="13"/>
      <c r="LU1" s="13"/>
      <c r="LV1" s="13"/>
      <c r="LW1" s="13"/>
      <c r="LX1" s="13"/>
      <c r="LY1" s="13"/>
      <c r="LZ1" s="13"/>
      <c r="MA1" s="13"/>
      <c r="MB1" s="13"/>
      <c r="MC1" s="13"/>
      <c r="MD1" s="13"/>
      <c r="ME1" s="13"/>
      <c r="MF1" s="13"/>
      <c r="MG1" s="13"/>
      <c r="MH1" s="13"/>
      <c r="MI1" s="13"/>
      <c r="MJ1" s="13"/>
      <c r="MK1" s="13"/>
      <c r="ML1" s="13"/>
      <c r="MM1" s="13"/>
      <c r="MN1" s="13"/>
      <c r="MO1" s="13"/>
      <c r="MP1" s="13"/>
      <c r="MQ1" s="13"/>
      <c r="MR1" s="13"/>
      <c r="MS1" s="13"/>
      <c r="MT1" s="13"/>
      <c r="MU1" s="13"/>
      <c r="MV1" s="13"/>
      <c r="MW1" s="13"/>
      <c r="MX1" s="13"/>
      <c r="MY1" s="13"/>
      <c r="MZ1" s="13"/>
      <c r="NA1" s="13"/>
      <c r="NB1" s="13"/>
      <c r="NC1" s="13"/>
      <c r="ND1" s="13"/>
      <c r="NE1" s="13"/>
      <c r="NF1" s="13"/>
      <c r="NG1" s="13"/>
      <c r="NH1" s="13"/>
      <c r="NI1" s="13"/>
      <c r="NJ1" s="13"/>
      <c r="NK1" s="13"/>
      <c r="NL1" s="13"/>
      <c r="NM1" s="13"/>
      <c r="NN1" s="13"/>
      <c r="NO1" s="13"/>
      <c r="NP1" s="13"/>
      <c r="NQ1" s="13"/>
      <c r="NR1" s="13"/>
      <c r="NS1" s="13"/>
      <c r="NT1" s="13"/>
      <c r="NU1" s="13"/>
      <c r="NV1" s="13"/>
      <c r="NW1" s="13"/>
      <c r="NX1" s="13"/>
      <c r="NY1" s="13"/>
      <c r="NZ1" s="13"/>
      <c r="OA1" s="13"/>
      <c r="OB1" s="13"/>
      <c r="OC1" s="13"/>
      <c r="OD1" s="13"/>
      <c r="OE1" s="13"/>
      <c r="OF1" s="13"/>
      <c r="OG1" s="13"/>
      <c r="OH1" s="13"/>
      <c r="OI1" s="13"/>
      <c r="OJ1" s="13"/>
      <c r="OK1" s="13"/>
      <c r="OL1" s="13"/>
      <c r="OM1" s="13"/>
      <c r="ON1" s="13"/>
      <c r="OO1" s="13"/>
      <c r="OP1" s="13"/>
      <c r="OQ1" s="13"/>
      <c r="OR1" s="13"/>
      <c r="OS1" s="13"/>
      <c r="OT1" s="13"/>
      <c r="OU1" s="13"/>
      <c r="OV1" s="13"/>
      <c r="OW1" s="13"/>
      <c r="OX1" s="13"/>
      <c r="OY1" s="13"/>
      <c r="OZ1" s="13"/>
      <c r="PA1" s="13"/>
      <c r="PB1" s="13"/>
      <c r="PC1" s="13"/>
      <c r="PD1" s="13"/>
      <c r="PE1" s="13"/>
      <c r="PF1" s="13"/>
      <c r="PG1" s="13"/>
      <c r="PH1" s="13"/>
      <c r="PI1" s="13"/>
      <c r="PJ1" s="13"/>
      <c r="PK1" s="13"/>
      <c r="PL1" s="13"/>
      <c r="PM1" s="13"/>
      <c r="PN1" s="13"/>
      <c r="PO1" s="13"/>
      <c r="PP1" s="13"/>
      <c r="PQ1" s="13"/>
      <c r="PR1" s="13"/>
      <c r="PS1" s="13"/>
      <c r="PT1" s="13"/>
      <c r="PU1" s="13"/>
      <c r="PV1" s="13"/>
      <c r="PW1" s="13"/>
      <c r="PX1" s="13"/>
      <c r="PY1" s="13"/>
      <c r="PZ1" s="13"/>
      <c r="QA1" s="13"/>
      <c r="QB1" s="13"/>
      <c r="QC1" s="13"/>
      <c r="QD1" s="13"/>
      <c r="QE1" s="13"/>
      <c r="QF1" s="13"/>
      <c r="QG1" s="13"/>
      <c r="QH1" s="13"/>
      <c r="QI1" s="13"/>
      <c r="QJ1" s="13"/>
      <c r="QK1" s="13"/>
      <c r="QL1" s="13"/>
      <c r="QM1" s="13"/>
      <c r="QN1" s="13"/>
      <c r="QO1" s="13"/>
      <c r="QP1" s="13"/>
      <c r="QQ1" s="13"/>
      <c r="QR1" s="13"/>
      <c r="QS1" s="13"/>
      <c r="QT1" s="13"/>
      <c r="QU1" s="13"/>
      <c r="QV1" s="13"/>
      <c r="QW1" s="13"/>
      <c r="QX1" s="13"/>
      <c r="QY1" s="13"/>
      <c r="QZ1" s="13"/>
      <c r="RA1" s="13"/>
      <c r="RB1" s="13"/>
      <c r="RC1" s="13"/>
      <c r="RD1" s="13"/>
      <c r="RE1" s="13"/>
      <c r="RF1" s="13"/>
      <c r="RG1" s="13"/>
      <c r="RH1" s="13"/>
      <c r="RI1" s="13"/>
      <c r="RJ1" s="13"/>
      <c r="RK1" s="13"/>
      <c r="RL1" s="13"/>
      <c r="RM1" s="13"/>
      <c r="RN1" s="13"/>
      <c r="RO1" s="13"/>
    </row>
    <row r="2" spans="1:483" s="442" customFormat="1" ht="42.75" customHeight="1">
      <c r="A2" s="439" t="s">
        <v>142</v>
      </c>
      <c r="B2" s="440" t="s">
        <v>143</v>
      </c>
      <c r="C2" s="910">
        <v>2012</v>
      </c>
      <c r="D2" s="910"/>
      <c r="E2" s="910"/>
      <c r="F2" s="911"/>
      <c r="G2" s="910">
        <v>2013</v>
      </c>
      <c r="H2" s="910"/>
      <c r="I2" s="910"/>
      <c r="J2" s="910"/>
      <c r="K2" s="907">
        <v>2014</v>
      </c>
      <c r="L2" s="910"/>
      <c r="M2" s="910"/>
      <c r="N2" s="911"/>
      <c r="O2" s="910">
        <v>2015</v>
      </c>
      <c r="P2" s="910"/>
      <c r="Q2" s="910"/>
      <c r="R2" s="911"/>
      <c r="S2" s="907">
        <v>2016</v>
      </c>
      <c r="T2" s="910"/>
      <c r="U2" s="910"/>
      <c r="V2" s="911"/>
      <c r="W2" s="907" t="s">
        <v>144</v>
      </c>
      <c r="X2" s="910"/>
      <c r="Y2" s="910"/>
      <c r="Z2" s="911"/>
      <c r="AA2" s="907" t="s">
        <v>145</v>
      </c>
      <c r="AB2" s="910"/>
      <c r="AC2" s="910"/>
      <c r="AD2" s="911"/>
      <c r="AE2" s="907" t="s">
        <v>146</v>
      </c>
      <c r="AF2" s="908"/>
      <c r="AG2" s="908"/>
      <c r="AH2" s="909"/>
      <c r="AI2" s="907">
        <v>2020</v>
      </c>
      <c r="AJ2" s="908"/>
      <c r="AK2" s="908"/>
      <c r="AL2" s="909"/>
      <c r="AM2" s="907">
        <v>2021</v>
      </c>
      <c r="AN2" s="908"/>
      <c r="AO2" s="908"/>
      <c r="AP2" s="909"/>
      <c r="AQ2" s="907">
        <v>2022</v>
      </c>
      <c r="AR2" s="908"/>
      <c r="AS2" s="908"/>
      <c r="AT2" s="909"/>
      <c r="AU2" s="907">
        <v>2023</v>
      </c>
      <c r="AV2" s="908"/>
      <c r="AW2" s="908"/>
      <c r="AX2" s="909"/>
      <c r="AY2" s="441"/>
      <c r="AZ2" s="441"/>
      <c r="BA2" s="441"/>
      <c r="BB2" s="441"/>
      <c r="BC2" s="441"/>
      <c r="BD2" s="441"/>
      <c r="BE2" s="441"/>
      <c r="BF2" s="441"/>
      <c r="BG2" s="441"/>
      <c r="BH2" s="441"/>
      <c r="BI2" s="441"/>
      <c r="BJ2" s="441"/>
      <c r="BK2" s="441"/>
      <c r="BL2" s="441"/>
      <c r="BM2" s="441"/>
      <c r="BN2" s="441"/>
      <c r="BO2" s="441"/>
      <c r="BP2" s="441"/>
      <c r="BQ2" s="441"/>
      <c r="BR2" s="441"/>
      <c r="BS2" s="441"/>
      <c r="BT2" s="441"/>
      <c r="BU2" s="441"/>
      <c r="BV2" s="441"/>
      <c r="BW2" s="441"/>
      <c r="BX2" s="441"/>
      <c r="BY2" s="441"/>
      <c r="BZ2" s="441"/>
      <c r="CA2" s="441"/>
      <c r="CB2" s="441"/>
      <c r="CC2" s="441"/>
      <c r="CD2" s="441"/>
      <c r="CE2" s="441"/>
      <c r="CF2" s="441"/>
      <c r="CG2" s="441"/>
      <c r="CH2" s="441"/>
      <c r="CI2" s="441"/>
      <c r="CJ2" s="441"/>
      <c r="CK2" s="441"/>
      <c r="CL2" s="441"/>
      <c r="CM2" s="441"/>
      <c r="CN2" s="441"/>
      <c r="CO2" s="441"/>
      <c r="CP2" s="441"/>
      <c r="CQ2" s="441"/>
      <c r="CR2" s="441"/>
      <c r="CS2" s="441"/>
      <c r="CT2" s="441"/>
      <c r="CU2" s="441"/>
      <c r="CV2" s="441"/>
      <c r="CW2" s="441"/>
      <c r="CX2" s="441"/>
      <c r="CY2" s="441"/>
      <c r="CZ2" s="441"/>
      <c r="DA2" s="441"/>
      <c r="DB2" s="441"/>
      <c r="DC2" s="441"/>
      <c r="DD2" s="441"/>
      <c r="DE2" s="441"/>
      <c r="DF2" s="441"/>
      <c r="DG2" s="441"/>
      <c r="DH2" s="441"/>
      <c r="DI2" s="441"/>
      <c r="DJ2" s="441"/>
      <c r="DK2" s="441"/>
      <c r="DL2" s="441"/>
      <c r="DM2" s="441"/>
      <c r="DN2" s="441"/>
      <c r="DO2" s="441"/>
      <c r="DP2" s="441"/>
      <c r="DQ2" s="441"/>
      <c r="DR2" s="441"/>
      <c r="DS2" s="441"/>
      <c r="DT2" s="441"/>
      <c r="DU2" s="441"/>
      <c r="DV2" s="441"/>
      <c r="DW2" s="441"/>
      <c r="DX2" s="441"/>
      <c r="DY2" s="441"/>
      <c r="DZ2" s="441"/>
      <c r="EA2" s="441"/>
      <c r="EB2" s="441"/>
      <c r="EC2" s="441"/>
      <c r="ED2" s="441"/>
      <c r="EE2" s="441"/>
      <c r="EF2" s="441"/>
      <c r="EG2" s="441"/>
      <c r="EH2" s="441"/>
      <c r="EI2" s="441"/>
      <c r="EJ2" s="441"/>
      <c r="EK2" s="441"/>
      <c r="EL2" s="441"/>
      <c r="EM2" s="441"/>
      <c r="EN2" s="441"/>
      <c r="EO2" s="441"/>
      <c r="EP2" s="441"/>
      <c r="EQ2" s="441"/>
      <c r="ER2" s="441"/>
      <c r="ES2" s="441"/>
      <c r="ET2" s="441"/>
      <c r="EU2" s="441"/>
      <c r="EV2" s="441"/>
      <c r="EW2" s="441"/>
      <c r="EX2" s="441"/>
      <c r="EY2" s="441"/>
      <c r="EZ2" s="441"/>
      <c r="FA2" s="441"/>
      <c r="FB2" s="441"/>
      <c r="FC2" s="441"/>
      <c r="FD2" s="441"/>
      <c r="FE2" s="441"/>
      <c r="FF2" s="441"/>
      <c r="FG2" s="441"/>
      <c r="FH2" s="441"/>
      <c r="FI2" s="441"/>
      <c r="FJ2" s="441"/>
      <c r="FK2" s="441"/>
      <c r="FL2" s="441"/>
      <c r="FM2" s="441"/>
      <c r="FN2" s="441"/>
      <c r="FO2" s="441"/>
      <c r="FP2" s="441"/>
      <c r="FQ2" s="441"/>
      <c r="FR2" s="441"/>
      <c r="FS2" s="441"/>
      <c r="FT2" s="441"/>
      <c r="FU2" s="441"/>
      <c r="FV2" s="441"/>
      <c r="FW2" s="441"/>
      <c r="FX2" s="441"/>
      <c r="FY2" s="441"/>
      <c r="FZ2" s="441"/>
      <c r="GA2" s="441"/>
      <c r="GB2" s="441"/>
      <c r="GC2" s="441"/>
      <c r="GD2" s="441"/>
      <c r="GE2" s="441"/>
      <c r="GF2" s="441"/>
      <c r="GG2" s="441"/>
      <c r="GH2" s="441"/>
      <c r="GI2" s="441"/>
      <c r="GJ2" s="441"/>
      <c r="GK2" s="441"/>
      <c r="GL2" s="441"/>
      <c r="GM2" s="441"/>
      <c r="GN2" s="441"/>
      <c r="GO2" s="441"/>
      <c r="GP2" s="441"/>
      <c r="GQ2" s="441"/>
      <c r="GR2" s="441"/>
      <c r="GS2" s="441"/>
      <c r="GT2" s="441"/>
      <c r="GU2" s="441"/>
      <c r="GV2" s="441"/>
      <c r="GW2" s="441"/>
      <c r="GX2" s="441"/>
      <c r="GY2" s="441"/>
      <c r="GZ2" s="441"/>
      <c r="HA2" s="441"/>
      <c r="HB2" s="441"/>
      <c r="HC2" s="441"/>
      <c r="HD2" s="441"/>
      <c r="HE2" s="441"/>
      <c r="HF2" s="441"/>
      <c r="HG2" s="441"/>
      <c r="HH2" s="441"/>
      <c r="HI2" s="441"/>
      <c r="HJ2" s="441"/>
      <c r="HK2" s="441"/>
      <c r="HL2" s="441"/>
      <c r="HM2" s="441"/>
      <c r="HN2" s="441"/>
      <c r="HO2" s="441"/>
      <c r="HP2" s="441"/>
      <c r="HQ2" s="441"/>
      <c r="HR2" s="441"/>
      <c r="HS2" s="441"/>
      <c r="HT2" s="441"/>
      <c r="HU2" s="441"/>
      <c r="HV2" s="441"/>
      <c r="HW2" s="441"/>
      <c r="HX2" s="441"/>
      <c r="HY2" s="441"/>
      <c r="HZ2" s="441"/>
      <c r="IA2" s="441"/>
      <c r="IB2" s="441"/>
      <c r="IC2" s="441"/>
      <c r="ID2" s="441"/>
      <c r="IE2" s="441"/>
      <c r="IF2" s="441"/>
      <c r="IG2" s="441"/>
      <c r="IH2" s="441"/>
      <c r="II2" s="441"/>
      <c r="IJ2" s="441"/>
      <c r="IK2" s="441"/>
      <c r="IL2" s="441"/>
      <c r="IM2" s="441"/>
      <c r="IN2" s="441"/>
      <c r="IO2" s="441"/>
      <c r="IP2" s="441"/>
      <c r="IQ2" s="441"/>
      <c r="IR2" s="441"/>
      <c r="IS2" s="441"/>
      <c r="IT2" s="441"/>
      <c r="IU2" s="441"/>
      <c r="IV2" s="441"/>
      <c r="IW2" s="441"/>
      <c r="IX2" s="441"/>
      <c r="IY2" s="441"/>
      <c r="IZ2" s="441"/>
      <c r="JA2" s="441"/>
      <c r="JB2" s="441"/>
      <c r="JC2" s="441"/>
      <c r="JD2" s="441"/>
      <c r="JE2" s="441"/>
      <c r="JF2" s="441"/>
      <c r="JG2" s="441"/>
      <c r="JH2" s="441"/>
      <c r="JI2" s="441"/>
      <c r="JJ2" s="441"/>
      <c r="JK2" s="441"/>
      <c r="JL2" s="441"/>
      <c r="JM2" s="441"/>
      <c r="JN2" s="441"/>
      <c r="JO2" s="441"/>
      <c r="JP2" s="441"/>
      <c r="JQ2" s="441"/>
      <c r="JR2" s="441"/>
      <c r="JS2" s="441"/>
      <c r="JT2" s="441"/>
      <c r="JU2" s="441"/>
      <c r="JV2" s="441"/>
      <c r="JW2" s="441"/>
      <c r="JX2" s="441"/>
      <c r="JY2" s="441"/>
      <c r="JZ2" s="441"/>
      <c r="KA2" s="441"/>
      <c r="KB2" s="441"/>
      <c r="KC2" s="441"/>
      <c r="KD2" s="441"/>
      <c r="KE2" s="441"/>
      <c r="KF2" s="441"/>
      <c r="KG2" s="441"/>
      <c r="KH2" s="441"/>
      <c r="KI2" s="441"/>
      <c r="KJ2" s="441"/>
      <c r="KK2" s="441"/>
      <c r="KL2" s="441"/>
      <c r="KM2" s="441"/>
      <c r="KN2" s="441"/>
      <c r="KO2" s="441"/>
      <c r="KP2" s="441"/>
      <c r="KQ2" s="441"/>
      <c r="KR2" s="441"/>
      <c r="KS2" s="441"/>
      <c r="KT2" s="441"/>
      <c r="KU2" s="441"/>
      <c r="KV2" s="441"/>
      <c r="KW2" s="441"/>
      <c r="KX2" s="441"/>
      <c r="KY2" s="441"/>
      <c r="KZ2" s="441"/>
      <c r="LA2" s="441"/>
      <c r="LB2" s="441"/>
      <c r="LC2" s="441"/>
      <c r="LD2" s="441"/>
      <c r="LE2" s="441"/>
      <c r="LF2" s="441"/>
      <c r="LG2" s="441"/>
      <c r="LH2" s="441"/>
      <c r="LI2" s="441"/>
      <c r="LJ2" s="441"/>
      <c r="LK2" s="441"/>
      <c r="LL2" s="441"/>
      <c r="LM2" s="441"/>
      <c r="LN2" s="441"/>
      <c r="LO2" s="441"/>
      <c r="LP2" s="441"/>
      <c r="LQ2" s="441"/>
      <c r="LR2" s="441"/>
      <c r="LS2" s="441"/>
      <c r="LT2" s="441"/>
      <c r="LU2" s="441"/>
      <c r="LV2" s="441"/>
      <c r="LW2" s="441"/>
      <c r="LX2" s="441"/>
      <c r="LY2" s="441"/>
      <c r="LZ2" s="441"/>
      <c r="MA2" s="441"/>
      <c r="MB2" s="441"/>
      <c r="MC2" s="441"/>
      <c r="MD2" s="441"/>
      <c r="ME2" s="441"/>
      <c r="MF2" s="441"/>
      <c r="MG2" s="441"/>
      <c r="MH2" s="441"/>
      <c r="MI2" s="441"/>
      <c r="MJ2" s="441"/>
      <c r="MK2" s="441"/>
      <c r="ML2" s="441"/>
      <c r="MM2" s="441"/>
      <c r="MN2" s="441"/>
      <c r="MO2" s="441"/>
      <c r="MP2" s="441"/>
      <c r="MQ2" s="441"/>
      <c r="MR2" s="441"/>
      <c r="MS2" s="441"/>
      <c r="MT2" s="441"/>
      <c r="MU2" s="441"/>
      <c r="MV2" s="441"/>
      <c r="MW2" s="441"/>
      <c r="MX2" s="441"/>
      <c r="MY2" s="441"/>
      <c r="MZ2" s="441"/>
      <c r="NA2" s="441"/>
      <c r="NB2" s="441"/>
      <c r="NC2" s="441"/>
      <c r="ND2" s="441"/>
      <c r="NE2" s="441"/>
      <c r="NF2" s="441"/>
      <c r="NG2" s="441"/>
      <c r="NH2" s="441"/>
      <c r="NI2" s="441"/>
      <c r="NJ2" s="441"/>
      <c r="NK2" s="441"/>
      <c r="NL2" s="441"/>
      <c r="NM2" s="441"/>
      <c r="NN2" s="441"/>
      <c r="NO2" s="441"/>
      <c r="NP2" s="441"/>
      <c r="NQ2" s="441"/>
      <c r="NR2" s="441"/>
      <c r="NS2" s="441"/>
      <c r="NT2" s="441"/>
      <c r="NU2" s="441"/>
      <c r="NV2" s="441"/>
      <c r="NW2" s="441"/>
      <c r="NX2" s="441"/>
      <c r="NY2" s="441"/>
      <c r="NZ2" s="441"/>
      <c r="OA2" s="441"/>
      <c r="OB2" s="441"/>
      <c r="OC2" s="441"/>
      <c r="OD2" s="441"/>
      <c r="OE2" s="441"/>
      <c r="OF2" s="441"/>
      <c r="OG2" s="441"/>
      <c r="OH2" s="441"/>
      <c r="OI2" s="441"/>
      <c r="OJ2" s="441"/>
      <c r="OK2" s="441"/>
      <c r="OL2" s="441"/>
      <c r="OM2" s="441"/>
      <c r="ON2" s="441"/>
      <c r="OO2" s="441"/>
      <c r="OP2" s="441"/>
      <c r="OQ2" s="441"/>
      <c r="OR2" s="441"/>
      <c r="OS2" s="441"/>
      <c r="OT2" s="441"/>
      <c r="OU2" s="441"/>
      <c r="OV2" s="441"/>
      <c r="OW2" s="441"/>
      <c r="OX2" s="441"/>
      <c r="OY2" s="441"/>
      <c r="OZ2" s="441"/>
      <c r="PA2" s="441"/>
      <c r="PB2" s="441"/>
      <c r="PC2" s="441"/>
      <c r="PD2" s="441"/>
      <c r="PE2" s="441"/>
      <c r="PF2" s="441"/>
      <c r="PG2" s="441"/>
      <c r="PH2" s="441"/>
      <c r="PI2" s="441"/>
      <c r="PJ2" s="441"/>
      <c r="PK2" s="441"/>
      <c r="PL2" s="441"/>
      <c r="PM2" s="441"/>
      <c r="PN2" s="441"/>
      <c r="PO2" s="441"/>
      <c r="PP2" s="441"/>
      <c r="PQ2" s="441"/>
      <c r="PR2" s="441"/>
      <c r="PS2" s="441"/>
      <c r="PT2" s="441"/>
      <c r="PU2" s="441"/>
      <c r="PV2" s="441"/>
      <c r="PW2" s="441"/>
      <c r="PX2" s="441"/>
      <c r="PY2" s="441"/>
      <c r="PZ2" s="441"/>
      <c r="QA2" s="441"/>
      <c r="QB2" s="441"/>
      <c r="QC2" s="441"/>
      <c r="QD2" s="441"/>
      <c r="QE2" s="441"/>
      <c r="QF2" s="441"/>
      <c r="QG2" s="441"/>
      <c r="QH2" s="441"/>
      <c r="QI2" s="441"/>
      <c r="QJ2" s="441"/>
      <c r="QK2" s="441"/>
      <c r="QL2" s="441"/>
      <c r="QM2" s="441"/>
      <c r="QN2" s="441"/>
      <c r="QO2" s="441"/>
      <c r="QP2" s="441"/>
      <c r="QQ2" s="441"/>
      <c r="QR2" s="441"/>
      <c r="QS2" s="441"/>
      <c r="QT2" s="441"/>
      <c r="QU2" s="441"/>
      <c r="QV2" s="441"/>
      <c r="QW2" s="441"/>
      <c r="QX2" s="441"/>
      <c r="QY2" s="441"/>
      <c r="QZ2" s="441"/>
      <c r="RA2" s="441"/>
      <c r="RB2" s="441"/>
      <c r="RC2" s="441"/>
      <c r="RD2" s="441"/>
      <c r="RE2" s="441"/>
      <c r="RF2" s="441"/>
      <c r="RG2" s="441"/>
      <c r="RH2" s="441"/>
      <c r="RI2" s="441"/>
      <c r="RJ2" s="441"/>
      <c r="RK2" s="441"/>
      <c r="RL2" s="441"/>
      <c r="RM2" s="441"/>
      <c r="RN2" s="441"/>
      <c r="RO2" s="441"/>
    </row>
    <row r="3" spans="1:483" s="449" customFormat="1" ht="14.6">
      <c r="A3" s="443" t="s">
        <v>19</v>
      </c>
      <c r="B3" s="443" t="s">
        <v>19</v>
      </c>
      <c r="C3" s="444" t="s">
        <v>147</v>
      </c>
      <c r="D3" s="445" t="s">
        <v>148</v>
      </c>
      <c r="E3" s="445" t="s">
        <v>149</v>
      </c>
      <c r="F3" s="446" t="s">
        <v>150</v>
      </c>
      <c r="G3" s="445" t="s">
        <v>147</v>
      </c>
      <c r="H3" s="445" t="s">
        <v>148</v>
      </c>
      <c r="I3" s="445" t="s">
        <v>149</v>
      </c>
      <c r="J3" s="446" t="s">
        <v>150</v>
      </c>
      <c r="K3" s="444" t="s">
        <v>147</v>
      </c>
      <c r="L3" s="445" t="s">
        <v>148</v>
      </c>
      <c r="M3" s="445" t="s">
        <v>149</v>
      </c>
      <c r="N3" s="447" t="s">
        <v>151</v>
      </c>
      <c r="O3" s="445" t="s">
        <v>147</v>
      </c>
      <c r="P3" s="445" t="s">
        <v>148</v>
      </c>
      <c r="Q3" s="445" t="s">
        <v>149</v>
      </c>
      <c r="R3" s="446" t="s">
        <v>150</v>
      </c>
      <c r="S3" s="445" t="s">
        <v>147</v>
      </c>
      <c r="T3" s="445" t="s">
        <v>148</v>
      </c>
      <c r="U3" s="445" t="s">
        <v>149</v>
      </c>
      <c r="V3" s="446" t="s">
        <v>150</v>
      </c>
      <c r="W3" s="445" t="s">
        <v>147</v>
      </c>
      <c r="X3" s="445" t="s">
        <v>148</v>
      </c>
      <c r="Y3" s="445" t="s">
        <v>149</v>
      </c>
      <c r="Z3" s="446" t="s">
        <v>150</v>
      </c>
      <c r="AA3" s="448" t="s">
        <v>147</v>
      </c>
      <c r="AB3" s="445" t="s">
        <v>148</v>
      </c>
      <c r="AC3" s="445" t="s">
        <v>149</v>
      </c>
      <c r="AD3" s="446" t="s">
        <v>150</v>
      </c>
      <c r="AE3" s="448" t="s">
        <v>147</v>
      </c>
      <c r="AF3" s="445" t="s">
        <v>148</v>
      </c>
      <c r="AG3" s="445" t="s">
        <v>149</v>
      </c>
      <c r="AH3" s="446" t="s">
        <v>150</v>
      </c>
      <c r="AI3" s="448" t="s">
        <v>147</v>
      </c>
      <c r="AJ3" s="445" t="s">
        <v>148</v>
      </c>
      <c r="AK3" s="445" t="s">
        <v>149</v>
      </c>
      <c r="AL3" s="446" t="s">
        <v>150</v>
      </c>
      <c r="AM3" s="448" t="s">
        <v>147</v>
      </c>
      <c r="AN3" s="445" t="s">
        <v>148</v>
      </c>
      <c r="AO3" s="445" t="s">
        <v>149</v>
      </c>
      <c r="AP3" s="446" t="s">
        <v>150</v>
      </c>
      <c r="AQ3" s="448" t="s">
        <v>147</v>
      </c>
      <c r="AR3" s="445" t="s">
        <v>148</v>
      </c>
      <c r="AS3" s="445" t="s">
        <v>149</v>
      </c>
      <c r="AT3" s="446" t="s">
        <v>150</v>
      </c>
      <c r="AU3" s="448" t="s">
        <v>147</v>
      </c>
      <c r="AV3" s="445" t="s">
        <v>148</v>
      </c>
      <c r="AW3" s="445" t="s">
        <v>149</v>
      </c>
      <c r="AX3" s="446" t="s">
        <v>150</v>
      </c>
    </row>
    <row r="4" spans="1:483" s="454" customFormat="1" ht="16.5" customHeight="1">
      <c r="A4" s="450"/>
      <c r="B4" s="451"/>
      <c r="C4" s="452" t="s">
        <v>152</v>
      </c>
      <c r="D4" s="452" t="s">
        <v>153</v>
      </c>
      <c r="E4" s="423" t="s">
        <v>154</v>
      </c>
      <c r="F4" s="453" t="s">
        <v>155</v>
      </c>
      <c r="G4" s="452" t="s">
        <v>152</v>
      </c>
      <c r="H4" s="452" t="s">
        <v>153</v>
      </c>
      <c r="I4" s="423" t="s">
        <v>154</v>
      </c>
      <c r="J4" s="453" t="s">
        <v>155</v>
      </c>
      <c r="K4" s="452" t="s">
        <v>152</v>
      </c>
      <c r="L4" s="452" t="s">
        <v>153</v>
      </c>
      <c r="M4" s="423" t="s">
        <v>154</v>
      </c>
      <c r="N4" s="453" t="s">
        <v>156</v>
      </c>
      <c r="O4" s="452" t="s">
        <v>152</v>
      </c>
      <c r="P4" s="452" t="s">
        <v>153</v>
      </c>
      <c r="Q4" s="423" t="s">
        <v>154</v>
      </c>
      <c r="R4" s="453" t="s">
        <v>155</v>
      </c>
      <c r="S4" s="452" t="s">
        <v>152</v>
      </c>
      <c r="T4" s="452" t="s">
        <v>153</v>
      </c>
      <c r="U4" s="423" t="s">
        <v>154</v>
      </c>
      <c r="V4" s="453" t="s">
        <v>155</v>
      </c>
      <c r="W4" s="452" t="s">
        <v>152</v>
      </c>
      <c r="X4" s="452" t="s">
        <v>153</v>
      </c>
      <c r="Y4" s="423" t="s">
        <v>154</v>
      </c>
      <c r="Z4" s="453" t="s">
        <v>155</v>
      </c>
      <c r="AA4" s="452" t="s">
        <v>152</v>
      </c>
      <c r="AB4" s="452" t="s">
        <v>153</v>
      </c>
      <c r="AC4" s="423" t="s">
        <v>154</v>
      </c>
      <c r="AD4" s="453" t="s">
        <v>155</v>
      </c>
      <c r="AE4" s="452" t="s">
        <v>152</v>
      </c>
      <c r="AF4" s="452" t="s">
        <v>153</v>
      </c>
      <c r="AG4" s="423" t="s">
        <v>154</v>
      </c>
      <c r="AH4" s="453" t="s">
        <v>155</v>
      </c>
      <c r="AI4" s="452" t="s">
        <v>152</v>
      </c>
      <c r="AJ4" s="452" t="s">
        <v>153</v>
      </c>
      <c r="AK4" s="423" t="s">
        <v>154</v>
      </c>
      <c r="AL4" s="453" t="s">
        <v>155</v>
      </c>
      <c r="AM4" s="452" t="s">
        <v>152</v>
      </c>
      <c r="AN4" s="452" t="s">
        <v>153</v>
      </c>
      <c r="AO4" s="423" t="s">
        <v>154</v>
      </c>
      <c r="AP4" s="453" t="s">
        <v>155</v>
      </c>
      <c r="AQ4" s="452" t="s">
        <v>152</v>
      </c>
      <c r="AR4" s="452" t="s">
        <v>153</v>
      </c>
      <c r="AS4" s="423" t="s">
        <v>154</v>
      </c>
      <c r="AT4" s="453" t="s">
        <v>155</v>
      </c>
      <c r="AU4" s="452" t="s">
        <v>152</v>
      </c>
      <c r="AV4" s="452" t="s">
        <v>153</v>
      </c>
      <c r="AW4" s="423" t="s">
        <v>154</v>
      </c>
      <c r="AX4" s="453" t="s">
        <v>155</v>
      </c>
    </row>
    <row r="5" spans="1:483" s="399" customFormat="1" ht="38.25" customHeight="1">
      <c r="A5" s="397" t="s">
        <v>157</v>
      </c>
      <c r="B5" s="398" t="s">
        <v>158</v>
      </c>
      <c r="C5" s="436"/>
      <c r="D5" s="436"/>
      <c r="E5" s="437"/>
      <c r="F5" s="438"/>
      <c r="G5" s="436"/>
      <c r="H5" s="436"/>
      <c r="I5" s="437"/>
      <c r="J5" s="438"/>
      <c r="K5" s="436"/>
      <c r="L5" s="436"/>
      <c r="M5" s="437"/>
      <c r="N5" s="438"/>
      <c r="O5" s="436"/>
      <c r="P5" s="436"/>
      <c r="Q5" s="437"/>
      <c r="R5" s="438"/>
      <c r="S5" s="436"/>
      <c r="T5" s="436"/>
      <c r="U5" s="437"/>
      <c r="V5" s="438"/>
      <c r="W5" s="436"/>
      <c r="X5" s="436"/>
      <c r="Y5" s="437"/>
      <c r="Z5" s="438"/>
      <c r="AA5" s="436"/>
      <c r="AB5" s="436"/>
      <c r="AC5" s="437"/>
      <c r="AD5" s="438"/>
      <c r="AE5" s="436"/>
      <c r="AF5" s="436"/>
      <c r="AG5" s="437"/>
      <c r="AH5" s="438"/>
      <c r="AI5" s="436"/>
      <c r="AJ5" s="436"/>
      <c r="AK5" s="437"/>
      <c r="AL5" s="438"/>
      <c r="AM5" s="436"/>
      <c r="AN5" s="436"/>
      <c r="AO5" s="437"/>
      <c r="AP5" s="438"/>
      <c r="AQ5" s="436"/>
      <c r="AR5" s="436"/>
      <c r="AS5" s="437"/>
      <c r="AT5" s="438"/>
      <c r="AU5" s="436"/>
      <c r="AV5" s="436"/>
      <c r="AW5" s="437"/>
      <c r="AX5" s="438"/>
    </row>
    <row r="6" spans="1:483" s="7" customFormat="1" ht="20.149999999999999" customHeight="1">
      <c r="A6" s="27" t="s">
        <v>159</v>
      </c>
      <c r="B6" s="126" t="s">
        <v>160</v>
      </c>
      <c r="C6" s="17">
        <f>415.308</f>
        <v>415.30799999999999</v>
      </c>
      <c r="D6" s="17">
        <f>419.479</f>
        <v>419.47899999999998</v>
      </c>
      <c r="E6" s="30">
        <f>(425068)*0.001</f>
        <v>425.06799999999998</v>
      </c>
      <c r="F6" s="210">
        <f>(420060)*0.001</f>
        <v>420.06</v>
      </c>
      <c r="G6" s="30">
        <f>(419894)*0.001</f>
        <v>419.89400000000001</v>
      </c>
      <c r="H6" s="30">
        <f>(418521)*0.001</f>
        <v>418.52100000000002</v>
      </c>
      <c r="I6" s="30">
        <f>(409736)*0.001</f>
        <v>409.73599999999999</v>
      </c>
      <c r="J6" s="210">
        <f>(407579)*0.001</f>
        <v>407.57900000000001</v>
      </c>
      <c r="K6" s="40">
        <f>(395393)*0.001</f>
        <v>395.39300000000003</v>
      </c>
      <c r="L6" s="17">
        <v>384.8</v>
      </c>
      <c r="M6" s="17">
        <v>417</v>
      </c>
      <c r="N6" s="210">
        <v>421.1</v>
      </c>
      <c r="O6" s="17">
        <v>416.6</v>
      </c>
      <c r="P6" s="17">
        <v>401.1</v>
      </c>
      <c r="Q6" s="17">
        <v>377</v>
      </c>
      <c r="R6" s="210">
        <v>371</v>
      </c>
      <c r="S6" s="86">
        <v>356.7</v>
      </c>
      <c r="T6" s="86">
        <v>353.3</v>
      </c>
      <c r="U6" s="86">
        <v>350.4</v>
      </c>
      <c r="V6" s="210">
        <v>350.9</v>
      </c>
      <c r="W6" s="86">
        <v>342.2</v>
      </c>
      <c r="X6" s="86">
        <v>332.9</v>
      </c>
      <c r="Y6" s="86">
        <v>324</v>
      </c>
      <c r="Z6" s="210">
        <v>325.3</v>
      </c>
      <c r="AA6" s="86">
        <v>312.5</v>
      </c>
      <c r="AB6" s="86">
        <v>294.10000000000002</v>
      </c>
      <c r="AC6" s="86">
        <v>275.8</v>
      </c>
      <c r="AD6" s="210">
        <v>264.5</v>
      </c>
      <c r="AE6" s="86">
        <v>258.2</v>
      </c>
      <c r="AF6" s="86">
        <v>249.4</v>
      </c>
      <c r="AG6" s="34">
        <v>248.8</v>
      </c>
      <c r="AH6" s="210">
        <v>262.7</v>
      </c>
      <c r="AI6" s="86">
        <v>267.39999999999998</v>
      </c>
      <c r="AJ6" s="86">
        <v>277</v>
      </c>
      <c r="AK6" s="34">
        <v>288</v>
      </c>
      <c r="AL6" s="210">
        <v>293.39999999999998</v>
      </c>
      <c r="AM6" s="86">
        <v>297.3</v>
      </c>
      <c r="AN6" s="86">
        <v>288.60000000000002</v>
      </c>
      <c r="AO6" s="34">
        <v>279.89999999999998</v>
      </c>
      <c r="AP6" s="210">
        <v>284</v>
      </c>
      <c r="AQ6" s="86">
        <v>292.7</v>
      </c>
      <c r="AR6" s="753">
        <v>288.8</v>
      </c>
      <c r="AS6" s="85">
        <v>278.5</v>
      </c>
      <c r="AT6" s="210">
        <v>282</v>
      </c>
      <c r="AU6" s="86">
        <v>278.7</v>
      </c>
      <c r="AV6" s="753"/>
      <c r="AW6" s="85"/>
      <c r="AX6" s="210"/>
      <c r="AY6" s="887"/>
      <c r="AZ6" s="888"/>
      <c r="BB6" s="889"/>
      <c r="BC6" s="889"/>
    </row>
    <row r="7" spans="1:483" s="7" customFormat="1" ht="20.149999999999999" customHeight="1">
      <c r="A7" s="27" t="s">
        <v>161</v>
      </c>
      <c r="B7" s="126" t="s">
        <v>162</v>
      </c>
      <c r="C7" s="17">
        <f>258.7</f>
        <v>258.7</v>
      </c>
      <c r="D7" s="17">
        <f>258.506</f>
        <v>258.50599999999997</v>
      </c>
      <c r="E7" s="30">
        <f>(257043)*0.001</f>
        <v>257.04300000000001</v>
      </c>
      <c r="F7" s="210">
        <f>(276407)*0.001</f>
        <v>276.40699999999998</v>
      </c>
      <c r="G7" s="30">
        <f>(266252)*0.001</f>
        <v>266.25200000000001</v>
      </c>
      <c r="H7" s="30">
        <f>(265011)*0.001</f>
        <v>265.01100000000002</v>
      </c>
      <c r="I7" s="30">
        <f>(252063)*0.001</f>
        <v>252.06300000000002</v>
      </c>
      <c r="J7" s="210">
        <f>(251152)*0.001</f>
        <v>251.15200000000002</v>
      </c>
      <c r="K7" s="40">
        <f>(248178)*0.001</f>
        <v>248.178</v>
      </c>
      <c r="L7" s="16">
        <v>3010.6</v>
      </c>
      <c r="M7" s="16">
        <v>2933.8</v>
      </c>
      <c r="N7" s="210">
        <v>2714.9</v>
      </c>
      <c r="O7" s="17">
        <v>2855.8</v>
      </c>
      <c r="P7" s="17">
        <v>2541.1999999999998</v>
      </c>
      <c r="Q7" s="16">
        <v>2535.1999999999998</v>
      </c>
      <c r="R7" s="210">
        <v>2548.6</v>
      </c>
      <c r="S7" s="86">
        <v>3002.2</v>
      </c>
      <c r="T7" s="86">
        <v>2931</v>
      </c>
      <c r="U7" s="86">
        <v>2882.8</v>
      </c>
      <c r="V7" s="210">
        <v>2964.3</v>
      </c>
      <c r="W7" s="86">
        <v>2885.9</v>
      </c>
      <c r="X7" s="86">
        <v>2904.7</v>
      </c>
      <c r="Y7" s="86">
        <v>2866.4</v>
      </c>
      <c r="Z7" s="210">
        <v>2867.1</v>
      </c>
      <c r="AA7" s="86">
        <v>2797</v>
      </c>
      <c r="AB7" s="86">
        <v>4419.8999999999996</v>
      </c>
      <c r="AC7" s="86">
        <v>4438</v>
      </c>
      <c r="AD7" s="210">
        <v>4792.2</v>
      </c>
      <c r="AE7" s="86">
        <v>4720.3</v>
      </c>
      <c r="AF7" s="86">
        <v>4782.7</v>
      </c>
      <c r="AG7" s="34">
        <v>4797.3</v>
      </c>
      <c r="AH7" s="210">
        <v>4976.8999999999996</v>
      </c>
      <c r="AI7" s="86">
        <v>5004.3</v>
      </c>
      <c r="AJ7" s="86">
        <v>5041.8</v>
      </c>
      <c r="AK7" s="34">
        <v>5135.3999999999996</v>
      </c>
      <c r="AL7" s="210">
        <v>5391</v>
      </c>
      <c r="AM7" s="86">
        <v>2877.2</v>
      </c>
      <c r="AN7" s="86">
        <v>3072.7</v>
      </c>
      <c r="AO7" s="34">
        <v>3206.2</v>
      </c>
      <c r="AP7" s="210">
        <v>3326.9</v>
      </c>
      <c r="AQ7" s="86">
        <v>3375.4</v>
      </c>
      <c r="AR7" s="753">
        <v>3566.7</v>
      </c>
      <c r="AS7" s="85">
        <v>3481</v>
      </c>
      <c r="AT7" s="210">
        <v>3600.9</v>
      </c>
      <c r="AU7" s="86">
        <v>3601.5</v>
      </c>
      <c r="AV7" s="753"/>
      <c r="AW7" s="85"/>
      <c r="AX7" s="210"/>
      <c r="AY7" s="887"/>
      <c r="AZ7" s="888"/>
      <c r="BB7" s="889"/>
      <c r="BC7" s="889"/>
    </row>
    <row r="8" spans="1:483" s="7" customFormat="1" ht="20.149999999999999" customHeight="1">
      <c r="A8" s="27" t="s">
        <v>163</v>
      </c>
      <c r="B8" s="126" t="s">
        <v>164</v>
      </c>
      <c r="C8" s="17">
        <f>2422.989</f>
        <v>2422.989</v>
      </c>
      <c r="D8" s="17">
        <f>2575.456</f>
        <v>2575.4560000000001</v>
      </c>
      <c r="E8" s="17">
        <f>(2575456)*0.001</f>
        <v>2575.4560000000001</v>
      </c>
      <c r="F8" s="211">
        <f>(2568033)*0.001</f>
        <v>2568.0329999999999</v>
      </c>
      <c r="G8" s="17">
        <f>(2568033)*0.001</f>
        <v>2568.0329999999999</v>
      </c>
      <c r="H8" s="17">
        <f>(2568033)*0.001</f>
        <v>2568.0329999999999</v>
      </c>
      <c r="I8" s="17">
        <f>(2637594)*0.001</f>
        <v>2637.5940000000001</v>
      </c>
      <c r="J8" s="211">
        <f>(2602804)*0.001</f>
        <v>2602.8040000000001</v>
      </c>
      <c r="K8" s="17">
        <f>(2602804)*0.001</f>
        <v>2602.8040000000001</v>
      </c>
      <c r="L8" s="16">
        <v>11735.5</v>
      </c>
      <c r="M8" s="16">
        <v>11735.5</v>
      </c>
      <c r="N8" s="211">
        <v>10585.3</v>
      </c>
      <c r="O8" s="17">
        <v>10831.2</v>
      </c>
      <c r="P8" s="17">
        <v>10606.4</v>
      </c>
      <c r="Q8" s="16">
        <v>10606.4</v>
      </c>
      <c r="R8" s="211">
        <v>10606.4</v>
      </c>
      <c r="S8" s="86">
        <v>11675.3</v>
      </c>
      <c r="T8" s="86">
        <v>10975.2</v>
      </c>
      <c r="U8" s="86">
        <v>10975.3</v>
      </c>
      <c r="V8" s="211">
        <v>10975.4</v>
      </c>
      <c r="W8" s="86">
        <v>10975.4</v>
      </c>
      <c r="X8" s="86">
        <v>10975.4</v>
      </c>
      <c r="Y8" s="86">
        <v>10975.4</v>
      </c>
      <c r="Z8" s="211">
        <v>11041.7</v>
      </c>
      <c r="AA8" s="86">
        <v>11060.5</v>
      </c>
      <c r="AB8" s="86">
        <v>11530</v>
      </c>
      <c r="AC8" s="86">
        <v>11519.3</v>
      </c>
      <c r="AD8" s="211">
        <v>11309.4</v>
      </c>
      <c r="AE8" s="86">
        <v>11309.4</v>
      </c>
      <c r="AF8" s="86">
        <v>11316.4</v>
      </c>
      <c r="AG8" s="34">
        <v>11316.4</v>
      </c>
      <c r="AH8" s="211">
        <v>11336.4</v>
      </c>
      <c r="AI8" s="86">
        <v>11349.5</v>
      </c>
      <c r="AJ8" s="86">
        <v>11349.5</v>
      </c>
      <c r="AK8" s="34">
        <v>11801.8</v>
      </c>
      <c r="AL8" s="211">
        <v>11808.4</v>
      </c>
      <c r="AM8" s="86">
        <v>11808.4</v>
      </c>
      <c r="AN8" s="86">
        <v>10664.9</v>
      </c>
      <c r="AO8" s="34">
        <v>10809</v>
      </c>
      <c r="AP8" s="211">
        <v>10802</v>
      </c>
      <c r="AQ8" s="86">
        <v>10831.9</v>
      </c>
      <c r="AR8" s="753">
        <v>10788</v>
      </c>
      <c r="AS8" s="85">
        <v>10810.9</v>
      </c>
      <c r="AT8" s="211">
        <v>10818.1</v>
      </c>
      <c r="AU8" s="86">
        <v>10818.2</v>
      </c>
      <c r="AV8" s="753"/>
      <c r="AW8" s="85"/>
      <c r="AX8" s="211"/>
      <c r="AY8" s="887"/>
      <c r="AZ8" s="888"/>
      <c r="BB8" s="889"/>
      <c r="BC8" s="889"/>
    </row>
    <row r="9" spans="1:483" s="7" customFormat="1" ht="20.149999999999999" customHeight="1">
      <c r="A9" s="27" t="s">
        <v>165</v>
      </c>
      <c r="B9" s="127" t="s">
        <v>166</v>
      </c>
      <c r="C9" s="18">
        <f>0</f>
        <v>0</v>
      </c>
      <c r="D9" s="18">
        <v>0</v>
      </c>
      <c r="E9" s="18">
        <f>0</f>
        <v>0</v>
      </c>
      <c r="F9" s="212">
        <v>0</v>
      </c>
      <c r="G9" s="18">
        <f>0</f>
        <v>0</v>
      </c>
      <c r="H9" s="18">
        <f>0</f>
        <v>0</v>
      </c>
      <c r="I9" s="18">
        <f>0</f>
        <v>0</v>
      </c>
      <c r="J9" s="212">
        <f>0</f>
        <v>0</v>
      </c>
      <c r="K9" s="31">
        <v>0</v>
      </c>
      <c r="L9" s="16">
        <v>4482</v>
      </c>
      <c r="M9" s="16">
        <v>4331.8999999999996</v>
      </c>
      <c r="N9" s="212">
        <v>4255.8</v>
      </c>
      <c r="O9" s="20">
        <v>4002.2</v>
      </c>
      <c r="P9" s="20">
        <v>3944.6</v>
      </c>
      <c r="Q9" s="16">
        <v>3791.6</v>
      </c>
      <c r="R9" s="212">
        <v>3638.5</v>
      </c>
      <c r="S9" s="34">
        <v>3488.7</v>
      </c>
      <c r="T9" s="34">
        <v>3337.3</v>
      </c>
      <c r="U9" s="34">
        <v>3184.2</v>
      </c>
      <c r="V9" s="212">
        <v>3031.2</v>
      </c>
      <c r="W9" s="34">
        <v>2883.1</v>
      </c>
      <c r="X9" s="34">
        <v>2762.8</v>
      </c>
      <c r="Y9" s="34">
        <v>2660.5</v>
      </c>
      <c r="Z9" s="212">
        <v>2557.3000000000002</v>
      </c>
      <c r="AA9" s="86">
        <v>2458.6</v>
      </c>
      <c r="AB9" s="85">
        <v>2358.6999999999998</v>
      </c>
      <c r="AC9" s="86">
        <v>2257.6999999999998</v>
      </c>
      <c r="AD9" s="212">
        <v>2212.1999999999998</v>
      </c>
      <c r="AE9" s="86">
        <v>2111.6</v>
      </c>
      <c r="AF9" s="34">
        <v>2009.9</v>
      </c>
      <c r="AG9" s="34">
        <v>1907</v>
      </c>
      <c r="AH9" s="212">
        <v>1821.4</v>
      </c>
      <c r="AI9" s="86">
        <v>1723.5</v>
      </c>
      <c r="AJ9" s="34">
        <v>1620.6</v>
      </c>
      <c r="AK9" s="34">
        <v>1516.7</v>
      </c>
      <c r="AL9" s="211">
        <v>1412.7</v>
      </c>
      <c r="AM9" s="86">
        <v>1310.9</v>
      </c>
      <c r="AN9" s="86">
        <v>1208</v>
      </c>
      <c r="AO9" s="34">
        <v>1110</v>
      </c>
      <c r="AP9" s="211">
        <v>1005.7</v>
      </c>
      <c r="AQ9" s="86">
        <v>903.6</v>
      </c>
      <c r="AR9" s="753">
        <v>858.2</v>
      </c>
      <c r="AS9" s="85">
        <v>750.9</v>
      </c>
      <c r="AT9" s="211">
        <v>643.70000000000005</v>
      </c>
      <c r="AU9" s="86">
        <v>538.70000000000005</v>
      </c>
      <c r="AV9" s="753"/>
      <c r="AW9" s="85"/>
      <c r="AX9" s="211"/>
      <c r="AY9" s="887"/>
      <c r="AZ9" s="888"/>
      <c r="BB9" s="889"/>
      <c r="BC9" s="889"/>
    </row>
    <row r="10" spans="1:483" s="7" customFormat="1" ht="20.149999999999999" customHeight="1">
      <c r="A10" s="27" t="s">
        <v>167</v>
      </c>
      <c r="B10" s="126" t="s">
        <v>168</v>
      </c>
      <c r="C10" s="17">
        <f>840</f>
        <v>840</v>
      </c>
      <c r="D10" s="30">
        <f>(840000)*0.001</f>
        <v>840</v>
      </c>
      <c r="E10" s="30">
        <f>(840000)*0.001</f>
        <v>840</v>
      </c>
      <c r="F10" s="210">
        <f>(847800)*0.001</f>
        <v>847.80000000000007</v>
      </c>
      <c r="G10" s="30">
        <f>(847800)*0.001</f>
        <v>847.80000000000007</v>
      </c>
      <c r="H10" s="30">
        <f>(847800)*0.001</f>
        <v>847.80000000000007</v>
      </c>
      <c r="I10" s="30">
        <f>(847800)*0.001</f>
        <v>847.80000000000007</v>
      </c>
      <c r="J10" s="210">
        <f>(890800)*0.001</f>
        <v>890.80000000000007</v>
      </c>
      <c r="K10" s="40">
        <f>(890800)*0.001</f>
        <v>890.80000000000007</v>
      </c>
      <c r="L10" s="21">
        <v>890.8</v>
      </c>
      <c r="M10" s="21">
        <v>890.8</v>
      </c>
      <c r="N10" s="210">
        <v>2085.9</v>
      </c>
      <c r="O10" s="17">
        <v>1783.7</v>
      </c>
      <c r="P10" s="17">
        <v>2092.6999999999998</v>
      </c>
      <c r="Q10" s="21">
        <v>2086.6</v>
      </c>
      <c r="R10" s="210">
        <v>2080.6</v>
      </c>
      <c r="S10" s="86">
        <v>2074.6</v>
      </c>
      <c r="T10" s="86">
        <v>2068.6</v>
      </c>
      <c r="U10" s="86">
        <v>2062.5</v>
      </c>
      <c r="V10" s="210">
        <v>2056.5</v>
      </c>
      <c r="W10" s="86">
        <v>2050.5</v>
      </c>
      <c r="X10" s="86">
        <v>2044.4</v>
      </c>
      <c r="Y10" s="86">
        <v>2038.4</v>
      </c>
      <c r="Z10" s="210">
        <v>2037.1</v>
      </c>
      <c r="AA10" s="86">
        <v>2031</v>
      </c>
      <c r="AB10" s="86">
        <v>2024.8</v>
      </c>
      <c r="AC10" s="86">
        <v>2019</v>
      </c>
      <c r="AD10" s="210">
        <v>2096.1</v>
      </c>
      <c r="AE10" s="86">
        <v>2087.9</v>
      </c>
      <c r="AF10" s="86">
        <v>2079.6999999999998</v>
      </c>
      <c r="AG10" s="34">
        <v>2071.4</v>
      </c>
      <c r="AH10" s="210">
        <v>2063.1999999999998</v>
      </c>
      <c r="AI10" s="86">
        <v>2054.9</v>
      </c>
      <c r="AJ10" s="86">
        <v>2048.1999999999998</v>
      </c>
      <c r="AK10" s="34">
        <v>2040</v>
      </c>
      <c r="AL10" s="210">
        <v>2031.7</v>
      </c>
      <c r="AM10" s="86">
        <v>2023.5</v>
      </c>
      <c r="AN10" s="86">
        <v>2095.1999999999998</v>
      </c>
      <c r="AO10" s="34">
        <v>2078.5</v>
      </c>
      <c r="AP10" s="210">
        <v>2069.6</v>
      </c>
      <c r="AQ10" s="86">
        <v>2060.6</v>
      </c>
      <c r="AR10" s="753">
        <v>2079.1999999999998</v>
      </c>
      <c r="AS10" s="85">
        <v>2070.1</v>
      </c>
      <c r="AT10" s="210">
        <v>2060.9</v>
      </c>
      <c r="AU10" s="86">
        <v>2041.2</v>
      </c>
      <c r="AV10" s="753"/>
      <c r="AW10" s="85"/>
      <c r="AX10" s="210"/>
      <c r="AY10" s="887"/>
      <c r="AZ10" s="888"/>
      <c r="BB10" s="889"/>
      <c r="BC10" s="889"/>
    </row>
    <row r="11" spans="1:483" s="7" customFormat="1" ht="20.149999999999999" customHeight="1">
      <c r="A11" s="27" t="s">
        <v>169</v>
      </c>
      <c r="B11" s="126" t="s">
        <v>170</v>
      </c>
      <c r="C11" s="17">
        <f>69.466</f>
        <v>69.465999999999994</v>
      </c>
      <c r="D11" s="30">
        <f>(69627)*0.001</f>
        <v>69.626999999999995</v>
      </c>
      <c r="E11" s="30">
        <f>(68459)*0.001</f>
        <v>68.459000000000003</v>
      </c>
      <c r="F11" s="210">
        <f>(81380)*0.001</f>
        <v>81.38</v>
      </c>
      <c r="G11" s="30">
        <f>(82841)*0.001</f>
        <v>82.841000000000008</v>
      </c>
      <c r="H11" s="30">
        <f>(83804)*0.001</f>
        <v>83.804000000000002</v>
      </c>
      <c r="I11" s="30">
        <f>(115337)*0.001</f>
        <v>115.337</v>
      </c>
      <c r="J11" s="210">
        <f>(137401)*0.001</f>
        <v>137.40100000000001</v>
      </c>
      <c r="K11" s="40">
        <f>(136697)*0.001</f>
        <v>136.697</v>
      </c>
      <c r="L11" s="16">
        <v>2360.6</v>
      </c>
      <c r="M11" s="16">
        <v>2624.2</v>
      </c>
      <c r="N11" s="210">
        <v>2591.4</v>
      </c>
      <c r="O11" s="17">
        <v>2527.5</v>
      </c>
      <c r="P11" s="17">
        <v>2525.8000000000002</v>
      </c>
      <c r="Q11" s="16">
        <v>2464.1999999999998</v>
      </c>
      <c r="R11" s="210">
        <v>2422.1999999999998</v>
      </c>
      <c r="S11" s="86">
        <v>2988.7</v>
      </c>
      <c r="T11" s="86">
        <v>3903</v>
      </c>
      <c r="U11" s="86">
        <v>3769.5</v>
      </c>
      <c r="V11" s="210">
        <v>3656.2</v>
      </c>
      <c r="W11" s="86">
        <v>3540.5</v>
      </c>
      <c r="X11" s="86">
        <v>3471.1</v>
      </c>
      <c r="Y11" s="86">
        <v>3343.6</v>
      </c>
      <c r="Z11" s="210">
        <v>3261.5</v>
      </c>
      <c r="AA11" s="86">
        <v>3146.4</v>
      </c>
      <c r="AB11" s="86">
        <v>3097.5</v>
      </c>
      <c r="AC11" s="86">
        <v>3015.6</v>
      </c>
      <c r="AD11" s="210">
        <v>3005.5</v>
      </c>
      <c r="AE11" s="86">
        <v>2967.8</v>
      </c>
      <c r="AF11" s="86">
        <v>2943.7</v>
      </c>
      <c r="AG11" s="34">
        <v>2911.7</v>
      </c>
      <c r="AH11" s="210">
        <v>2857.8</v>
      </c>
      <c r="AI11" s="86">
        <v>2749.9</v>
      </c>
      <c r="AJ11" s="86">
        <v>2648.1</v>
      </c>
      <c r="AK11" s="34">
        <v>2602.3000000000002</v>
      </c>
      <c r="AL11" s="210">
        <v>2616.4</v>
      </c>
      <c r="AM11" s="86">
        <v>2503.3000000000002</v>
      </c>
      <c r="AN11" s="86">
        <v>2462.9</v>
      </c>
      <c r="AO11" s="34">
        <v>2400.1</v>
      </c>
      <c r="AP11" s="210">
        <v>2374.1</v>
      </c>
      <c r="AQ11" s="86">
        <v>2299.9</v>
      </c>
      <c r="AR11" s="753">
        <v>2228.9</v>
      </c>
      <c r="AS11" s="85">
        <v>2165.4</v>
      </c>
      <c r="AT11" s="210">
        <v>3340.6</v>
      </c>
      <c r="AU11" s="86">
        <v>3255.2</v>
      </c>
      <c r="AV11" s="753"/>
      <c r="AW11" s="85"/>
      <c r="AX11" s="210"/>
      <c r="AY11" s="887"/>
      <c r="AZ11" s="888"/>
      <c r="BB11" s="889"/>
      <c r="BC11" s="889"/>
    </row>
    <row r="12" spans="1:483" s="7" customFormat="1" ht="20.149999999999999" customHeight="1">
      <c r="A12" s="27" t="s">
        <v>171</v>
      </c>
      <c r="B12" s="128" t="s">
        <v>172</v>
      </c>
      <c r="C12" s="17"/>
      <c r="D12" s="30"/>
      <c r="E12" s="30"/>
      <c r="F12" s="210"/>
      <c r="G12" s="30"/>
      <c r="H12" s="30"/>
      <c r="I12" s="30"/>
      <c r="J12" s="210"/>
      <c r="K12" s="40"/>
      <c r="L12" s="16"/>
      <c r="M12" s="16"/>
      <c r="N12" s="210"/>
      <c r="O12" s="17"/>
      <c r="P12" s="17"/>
      <c r="Q12" s="16"/>
      <c r="R12" s="210"/>
      <c r="S12" s="86"/>
      <c r="T12" s="86"/>
      <c r="U12" s="86"/>
      <c r="V12" s="210"/>
      <c r="W12" s="86"/>
      <c r="X12" s="86"/>
      <c r="Y12" s="86"/>
      <c r="Z12" s="210"/>
      <c r="AA12" s="86"/>
      <c r="AB12" s="86"/>
      <c r="AC12" s="86"/>
      <c r="AD12" s="210"/>
      <c r="AE12" s="86">
        <v>1482</v>
      </c>
      <c r="AF12" s="86">
        <v>1408.2</v>
      </c>
      <c r="AG12" s="34">
        <v>1340.8</v>
      </c>
      <c r="AH12" s="210">
        <v>1420.3</v>
      </c>
      <c r="AI12" s="86">
        <v>1383.8</v>
      </c>
      <c r="AJ12" s="86">
        <v>1410.2</v>
      </c>
      <c r="AK12" s="34">
        <v>1398.7</v>
      </c>
      <c r="AL12" s="210">
        <v>1519.4</v>
      </c>
      <c r="AM12" s="86">
        <v>727</v>
      </c>
      <c r="AN12" s="86">
        <v>712.6</v>
      </c>
      <c r="AO12" s="34">
        <v>685.2</v>
      </c>
      <c r="AP12" s="210">
        <v>696.5</v>
      </c>
      <c r="AQ12" s="86">
        <v>671.8</v>
      </c>
      <c r="AR12" s="753">
        <v>545.79999999999995</v>
      </c>
      <c r="AS12" s="85">
        <v>517.5</v>
      </c>
      <c r="AT12" s="210">
        <v>527</v>
      </c>
      <c r="AU12" s="86">
        <v>527</v>
      </c>
      <c r="AV12" s="753"/>
      <c r="AW12" s="85"/>
      <c r="AX12" s="210"/>
      <c r="AY12" s="887"/>
      <c r="AZ12" s="888"/>
      <c r="BB12" s="889"/>
      <c r="BC12" s="889"/>
    </row>
    <row r="13" spans="1:483" s="7" customFormat="1" ht="20.149999999999999" customHeight="1">
      <c r="A13" s="27" t="s">
        <v>173</v>
      </c>
      <c r="B13" s="126" t="s">
        <v>174</v>
      </c>
      <c r="C13" s="17">
        <f>91.415</f>
        <v>91.415000000000006</v>
      </c>
      <c r="D13" s="30">
        <f>(95405)*0.001</f>
        <v>95.405000000000001</v>
      </c>
      <c r="E13" s="30">
        <f>(95323)*0.001</f>
        <v>95.323000000000008</v>
      </c>
      <c r="F13" s="210">
        <f>(97988)*0.001</f>
        <v>97.988</v>
      </c>
      <c r="G13" s="30">
        <f>(104074)*0.001</f>
        <v>104.074</v>
      </c>
      <c r="H13" s="30">
        <f>(115904)*0.001</f>
        <v>115.904</v>
      </c>
      <c r="I13" s="30">
        <f>(82162)*0.001</f>
        <v>82.162000000000006</v>
      </c>
      <c r="J13" s="210">
        <f>(71571)*0.001</f>
        <v>71.570999999999998</v>
      </c>
      <c r="K13" s="40">
        <f>(107548)*0.001</f>
        <v>107.548</v>
      </c>
      <c r="L13" s="21">
        <v>128.1</v>
      </c>
      <c r="M13" s="21">
        <v>148.80000000000001</v>
      </c>
      <c r="N13" s="210">
        <v>135.80000000000001</v>
      </c>
      <c r="O13" s="17">
        <v>158.69999999999999</v>
      </c>
      <c r="P13" s="17">
        <v>174.6</v>
      </c>
      <c r="Q13" s="21">
        <v>109</v>
      </c>
      <c r="R13" s="210">
        <v>145</v>
      </c>
      <c r="S13" s="86">
        <v>129.80000000000001</v>
      </c>
      <c r="T13" s="86">
        <v>156.19999999999999</v>
      </c>
      <c r="U13" s="86">
        <v>125.6</v>
      </c>
      <c r="V13" s="210">
        <v>151.80000000000001</v>
      </c>
      <c r="W13" s="86">
        <v>150</v>
      </c>
      <c r="X13" s="86">
        <v>167.3</v>
      </c>
      <c r="Y13" s="86">
        <v>180.5</v>
      </c>
      <c r="Z13" s="210">
        <v>170.1</v>
      </c>
      <c r="AA13" s="86">
        <v>170.1</v>
      </c>
      <c r="AB13" s="86">
        <v>211.1</v>
      </c>
      <c r="AC13" s="86">
        <v>584.29999999999995</v>
      </c>
      <c r="AD13" s="210">
        <v>503.8</v>
      </c>
      <c r="AE13" s="86">
        <v>474</v>
      </c>
      <c r="AF13" s="86">
        <v>517.5</v>
      </c>
      <c r="AG13" s="34">
        <v>445.4</v>
      </c>
      <c r="AH13" s="210">
        <v>402.6</v>
      </c>
      <c r="AI13" s="86">
        <v>330.4</v>
      </c>
      <c r="AJ13" s="86">
        <v>270.8</v>
      </c>
      <c r="AK13" s="34">
        <v>261.60000000000002</v>
      </c>
      <c r="AL13" s="210">
        <v>282.5</v>
      </c>
      <c r="AM13" s="86">
        <v>290.5</v>
      </c>
      <c r="AN13" s="86">
        <v>243.3</v>
      </c>
      <c r="AO13" s="34">
        <v>542.29999999999995</v>
      </c>
      <c r="AP13" s="210">
        <v>739.4</v>
      </c>
      <c r="AQ13" s="86">
        <v>460.9</v>
      </c>
      <c r="AR13" s="753">
        <v>606</v>
      </c>
      <c r="AS13" s="85">
        <v>442.8</v>
      </c>
      <c r="AT13" s="210">
        <v>501.8</v>
      </c>
      <c r="AU13" s="86">
        <v>372.3</v>
      </c>
      <c r="AV13" s="753"/>
      <c r="AW13" s="85"/>
      <c r="AX13" s="210"/>
      <c r="AY13" s="887"/>
      <c r="AZ13" s="888"/>
      <c r="BB13" s="889"/>
      <c r="BC13" s="889"/>
    </row>
    <row r="14" spans="1:483" s="7" customFormat="1" ht="20.149999999999999" customHeight="1">
      <c r="A14" s="27" t="s">
        <v>175</v>
      </c>
      <c r="B14" s="126" t="s">
        <v>176</v>
      </c>
      <c r="C14" s="17">
        <f>8.419</f>
        <v>8.4190000000000005</v>
      </c>
      <c r="D14" s="30">
        <f>(8398)*0.001</f>
        <v>8.3979999999999997</v>
      </c>
      <c r="E14" s="30">
        <f>(8378)*0.001</f>
        <v>8.3780000000000001</v>
      </c>
      <c r="F14" s="210">
        <f>(8357)*0.001</f>
        <v>8.3569999999999993</v>
      </c>
      <c r="G14" s="30">
        <f>(8336)*0.001</f>
        <v>8.3360000000000003</v>
      </c>
      <c r="H14" s="30">
        <f>(7788)*0.001</f>
        <v>7.7880000000000003</v>
      </c>
      <c r="I14" s="30">
        <f>(7427)*0.001</f>
        <v>7.4270000000000005</v>
      </c>
      <c r="J14" s="210">
        <f>(5330)*0.001</f>
        <v>5.33</v>
      </c>
      <c r="K14" s="40">
        <f>(5315)*0.001</f>
        <v>5.3150000000000004</v>
      </c>
      <c r="L14" s="21">
        <v>5.3</v>
      </c>
      <c r="M14" s="21">
        <v>5.3</v>
      </c>
      <c r="N14" s="210">
        <v>5.3</v>
      </c>
      <c r="O14" s="17">
        <v>5.2</v>
      </c>
      <c r="P14" s="17">
        <v>5.2</v>
      </c>
      <c r="Q14" s="21">
        <v>5.2</v>
      </c>
      <c r="R14" s="210">
        <v>5.2</v>
      </c>
      <c r="S14" s="86">
        <v>5.2</v>
      </c>
      <c r="T14" s="86">
        <v>5.2</v>
      </c>
      <c r="U14" s="86">
        <v>5.2</v>
      </c>
      <c r="V14" s="210">
        <v>5.0999999999999996</v>
      </c>
      <c r="W14" s="86">
        <v>5.0999999999999996</v>
      </c>
      <c r="X14" s="86">
        <v>5.0999999999999996</v>
      </c>
      <c r="Y14" s="86">
        <v>5.0999999999999996</v>
      </c>
      <c r="Z14" s="210">
        <v>5.0999999999999996</v>
      </c>
      <c r="AA14" s="86">
        <v>5.0999999999999996</v>
      </c>
      <c r="AB14" s="86">
        <v>30</v>
      </c>
      <c r="AC14" s="86">
        <v>29.9</v>
      </c>
      <c r="AD14" s="210">
        <v>29.9</v>
      </c>
      <c r="AE14" s="86">
        <v>29.7</v>
      </c>
      <c r="AF14" s="86">
        <v>29.6</v>
      </c>
      <c r="AG14" s="86">
        <v>29.5</v>
      </c>
      <c r="AH14" s="210">
        <v>29.4</v>
      </c>
      <c r="AI14" s="86">
        <v>29.3</v>
      </c>
      <c r="AJ14" s="86">
        <v>29.1</v>
      </c>
      <c r="AK14" s="86">
        <v>29</v>
      </c>
      <c r="AL14" s="210">
        <v>50</v>
      </c>
      <c r="AM14" s="86">
        <v>50.2</v>
      </c>
      <c r="AN14" s="86">
        <v>49.8</v>
      </c>
      <c r="AO14" s="86">
        <v>49.7</v>
      </c>
      <c r="AP14" s="210">
        <v>28.4</v>
      </c>
      <c r="AQ14" s="86">
        <v>28.3</v>
      </c>
      <c r="AR14" s="753">
        <v>1103.5</v>
      </c>
      <c r="AS14" s="772">
        <v>1107.0999999999999</v>
      </c>
      <c r="AT14" s="210">
        <v>647</v>
      </c>
      <c r="AU14" s="86">
        <v>652.4</v>
      </c>
      <c r="AV14" s="753"/>
      <c r="AW14" s="772"/>
      <c r="AX14" s="210"/>
      <c r="AY14" s="887"/>
      <c r="AZ14" s="888"/>
      <c r="BB14" s="889"/>
      <c r="BC14" s="889"/>
    </row>
    <row r="15" spans="1:483" s="7" customFormat="1" ht="20.149999999999999" customHeight="1">
      <c r="A15" s="27" t="s">
        <v>177</v>
      </c>
      <c r="B15" s="126" t="s">
        <v>178</v>
      </c>
      <c r="C15" s="45">
        <v>0</v>
      </c>
      <c r="D15" s="41">
        <f>(33259)*0.001</f>
        <v>33.259</v>
      </c>
      <c r="E15" s="41">
        <f>(33252)*0.001</f>
        <v>33.252000000000002</v>
      </c>
      <c r="F15" s="213">
        <f>(35125)*0.001</f>
        <v>35.125</v>
      </c>
      <c r="G15" s="41">
        <f>(34399)*0.001</f>
        <v>34.399000000000001</v>
      </c>
      <c r="H15" s="41">
        <f>(32935)*0.001</f>
        <v>32.935000000000002</v>
      </c>
      <c r="I15" s="41">
        <f>(29318)*0.001</f>
        <v>29.318000000000001</v>
      </c>
      <c r="J15" s="213">
        <f>(29551)*0.001</f>
        <v>29.551000000000002</v>
      </c>
      <c r="K15" s="42">
        <f>(26502)*0.001</f>
        <v>26.501999999999999</v>
      </c>
      <c r="L15" s="21">
        <v>46.2</v>
      </c>
      <c r="M15" s="21">
        <v>67</v>
      </c>
      <c r="N15" s="213">
        <v>81</v>
      </c>
      <c r="O15" s="17">
        <v>84.1</v>
      </c>
      <c r="P15" s="17">
        <v>82.3</v>
      </c>
      <c r="Q15" s="21">
        <v>81.2</v>
      </c>
      <c r="R15" s="213">
        <v>83.3</v>
      </c>
      <c r="S15" s="86">
        <v>81.099999999999994</v>
      </c>
      <c r="T15" s="86">
        <v>79.7</v>
      </c>
      <c r="U15" s="86">
        <v>80.400000000000006</v>
      </c>
      <c r="V15" s="213">
        <v>82.8</v>
      </c>
      <c r="W15" s="86">
        <v>83.8</v>
      </c>
      <c r="X15" s="86">
        <v>82.9</v>
      </c>
      <c r="Y15" s="86">
        <v>85.8</v>
      </c>
      <c r="Z15" s="213">
        <v>91.4</v>
      </c>
      <c r="AA15" s="86">
        <v>90.4</v>
      </c>
      <c r="AB15" s="86">
        <v>93</v>
      </c>
      <c r="AC15" s="86">
        <v>94.8</v>
      </c>
      <c r="AD15" s="213">
        <v>99.7</v>
      </c>
      <c r="AE15" s="86">
        <v>97.9</v>
      </c>
      <c r="AF15" s="86">
        <v>93.9</v>
      </c>
      <c r="AG15" s="86">
        <v>98.1</v>
      </c>
      <c r="AH15" s="213">
        <v>100.5</v>
      </c>
      <c r="AI15" s="86">
        <v>96</v>
      </c>
      <c r="AJ15" s="86">
        <v>91.1</v>
      </c>
      <c r="AK15" s="86">
        <v>94.9</v>
      </c>
      <c r="AL15" s="213">
        <v>93.5</v>
      </c>
      <c r="AM15" s="86">
        <v>90.6</v>
      </c>
      <c r="AN15" s="86">
        <v>82.1</v>
      </c>
      <c r="AO15" s="86">
        <v>77.099999999999994</v>
      </c>
      <c r="AP15" s="213">
        <v>73.5</v>
      </c>
      <c r="AQ15" s="86">
        <v>72.599999999999994</v>
      </c>
      <c r="AR15" s="753">
        <v>75</v>
      </c>
      <c r="AS15" s="770">
        <v>77.099999999999994</v>
      </c>
      <c r="AT15" s="213">
        <v>79.8</v>
      </c>
      <c r="AU15" s="86">
        <v>79.8</v>
      </c>
      <c r="AV15" s="753"/>
      <c r="AW15" s="770"/>
      <c r="AX15" s="213"/>
      <c r="AY15" s="887"/>
      <c r="AZ15" s="888"/>
      <c r="BB15" s="889"/>
      <c r="BC15" s="889"/>
    </row>
    <row r="16" spans="1:483" s="7" customFormat="1" ht="20.149999999999999" customHeight="1">
      <c r="A16" s="27" t="s">
        <v>179</v>
      </c>
      <c r="B16" s="129" t="s">
        <v>180</v>
      </c>
      <c r="C16" s="24">
        <v>0</v>
      </c>
      <c r="D16" s="24">
        <v>0</v>
      </c>
      <c r="E16" s="24">
        <v>0</v>
      </c>
      <c r="F16" s="214">
        <v>0</v>
      </c>
      <c r="G16" s="24">
        <v>0</v>
      </c>
      <c r="H16" s="24">
        <v>0</v>
      </c>
      <c r="I16" s="24">
        <v>0</v>
      </c>
      <c r="J16" s="214">
        <v>0</v>
      </c>
      <c r="K16" s="24">
        <v>0</v>
      </c>
      <c r="L16" s="24">
        <v>0</v>
      </c>
      <c r="M16" s="24">
        <v>0</v>
      </c>
      <c r="N16" s="214">
        <v>0</v>
      </c>
      <c r="O16" s="24">
        <v>0</v>
      </c>
      <c r="P16" s="24">
        <v>0</v>
      </c>
      <c r="Q16" s="24">
        <v>0</v>
      </c>
      <c r="R16" s="214">
        <v>0</v>
      </c>
      <c r="S16" s="86">
        <v>180.5</v>
      </c>
      <c r="T16" s="86">
        <v>0</v>
      </c>
      <c r="U16" s="86">
        <v>0</v>
      </c>
      <c r="V16" s="214">
        <v>0</v>
      </c>
      <c r="W16" s="86">
        <v>0</v>
      </c>
      <c r="X16" s="86">
        <v>0</v>
      </c>
      <c r="Y16" s="86">
        <v>0</v>
      </c>
      <c r="Z16" s="214">
        <v>0</v>
      </c>
      <c r="AA16" s="86">
        <v>0</v>
      </c>
      <c r="AB16" s="86">
        <v>0</v>
      </c>
      <c r="AC16" s="86">
        <v>0</v>
      </c>
      <c r="AD16" s="214">
        <v>0</v>
      </c>
      <c r="AE16" s="86">
        <v>0</v>
      </c>
      <c r="AF16" s="86">
        <v>0</v>
      </c>
      <c r="AG16" s="86">
        <v>0</v>
      </c>
      <c r="AH16" s="214">
        <v>0</v>
      </c>
      <c r="AI16" s="86">
        <v>0</v>
      </c>
      <c r="AJ16" s="86">
        <v>0</v>
      </c>
      <c r="AK16" s="86">
        <v>0</v>
      </c>
      <c r="AL16" s="214">
        <v>0</v>
      </c>
      <c r="AM16" s="86">
        <v>0</v>
      </c>
      <c r="AN16" s="86">
        <v>0</v>
      </c>
      <c r="AO16" s="86">
        <v>0</v>
      </c>
      <c r="AP16" s="214">
        <v>0</v>
      </c>
      <c r="AQ16" s="86">
        <v>0</v>
      </c>
      <c r="AR16" s="753">
        <v>0</v>
      </c>
      <c r="AS16" s="753">
        <v>0</v>
      </c>
      <c r="AT16" s="214">
        <v>0</v>
      </c>
      <c r="AU16" s="86">
        <v>0</v>
      </c>
      <c r="AV16" s="753"/>
      <c r="AW16" s="753"/>
      <c r="AX16" s="214"/>
      <c r="AY16" s="887"/>
      <c r="AZ16" s="888"/>
      <c r="BB16" s="889"/>
      <c r="BC16" s="889"/>
    </row>
    <row r="17" spans="1:55" s="7" customFormat="1" ht="20.149999999999999" customHeight="1">
      <c r="A17" s="27" t="s">
        <v>181</v>
      </c>
      <c r="B17" s="129" t="s">
        <v>182</v>
      </c>
      <c r="C17" s="24"/>
      <c r="D17" s="24"/>
      <c r="E17" s="24"/>
      <c r="F17" s="214"/>
      <c r="G17" s="24"/>
      <c r="H17" s="24"/>
      <c r="I17" s="24"/>
      <c r="J17" s="214"/>
      <c r="K17" s="24"/>
      <c r="L17" s="24"/>
      <c r="M17" s="24"/>
      <c r="N17" s="214"/>
      <c r="O17" s="24"/>
      <c r="P17" s="24"/>
      <c r="Q17" s="24"/>
      <c r="R17" s="214"/>
      <c r="S17" s="86"/>
      <c r="T17" s="86"/>
      <c r="U17" s="86"/>
      <c r="V17" s="214"/>
      <c r="W17" s="86"/>
      <c r="X17" s="86"/>
      <c r="Y17" s="86"/>
      <c r="Z17" s="214"/>
      <c r="AA17" s="86"/>
      <c r="AB17" s="86"/>
      <c r="AC17" s="86"/>
      <c r="AD17" s="214">
        <v>616.9</v>
      </c>
      <c r="AE17" s="86"/>
      <c r="AF17" s="86"/>
      <c r="AG17" s="86"/>
      <c r="AH17" s="214">
        <v>776.5</v>
      </c>
      <c r="AI17" s="86">
        <v>749.5</v>
      </c>
      <c r="AJ17" s="86">
        <v>747.8</v>
      </c>
      <c r="AK17" s="86">
        <v>791.7</v>
      </c>
      <c r="AL17" s="646">
        <v>832</v>
      </c>
      <c r="AM17" s="86">
        <v>797.7</v>
      </c>
      <c r="AN17" s="86">
        <v>774</v>
      </c>
      <c r="AO17" s="86">
        <v>751.8</v>
      </c>
      <c r="AP17" s="210">
        <v>777.1</v>
      </c>
      <c r="AQ17" s="86">
        <v>748.7</v>
      </c>
      <c r="AR17" s="753">
        <v>775.8</v>
      </c>
      <c r="AS17" s="770">
        <v>839.8</v>
      </c>
      <c r="AT17" s="210">
        <v>930</v>
      </c>
      <c r="AU17" s="217">
        <v>931.1</v>
      </c>
      <c r="AV17" s="753"/>
      <c r="AW17" s="770"/>
      <c r="AX17" s="210"/>
      <c r="AY17" s="887"/>
      <c r="AZ17" s="888"/>
      <c r="BB17" s="889"/>
      <c r="BC17" s="889"/>
    </row>
    <row r="18" spans="1:55" ht="20.149999999999999" customHeight="1">
      <c r="A18" s="711" t="s">
        <v>183</v>
      </c>
      <c r="B18" s="129" t="s">
        <v>184</v>
      </c>
      <c r="C18" s="229"/>
      <c r="D18" s="229"/>
      <c r="E18" s="229"/>
      <c r="F18" s="228"/>
      <c r="G18" s="229"/>
      <c r="H18" s="229"/>
      <c r="I18" s="229"/>
      <c r="J18" s="228"/>
      <c r="K18" s="229"/>
      <c r="L18" s="229"/>
      <c r="M18" s="229"/>
      <c r="N18" s="228"/>
      <c r="O18" s="229"/>
      <c r="P18" s="229"/>
      <c r="Q18" s="229"/>
      <c r="R18" s="228"/>
      <c r="S18" s="217"/>
      <c r="T18" s="217"/>
      <c r="U18" s="217"/>
      <c r="V18" s="228"/>
      <c r="W18" s="217"/>
      <c r="X18" s="217"/>
      <c r="Y18" s="217"/>
      <c r="Z18" s="228"/>
      <c r="AA18" s="217"/>
      <c r="AB18" s="217"/>
      <c r="AC18" s="217"/>
      <c r="AD18" s="228"/>
      <c r="AE18" s="217"/>
      <c r="AF18" s="217"/>
      <c r="AG18" s="217"/>
      <c r="AH18" s="228"/>
      <c r="AI18" s="217"/>
      <c r="AJ18" s="217"/>
      <c r="AK18" s="217"/>
      <c r="AL18" s="809"/>
      <c r="AM18" s="217"/>
      <c r="AN18" s="217"/>
      <c r="AO18" s="217"/>
      <c r="AP18" s="243">
        <v>57.1</v>
      </c>
      <c r="AQ18" s="217"/>
      <c r="AR18" s="757"/>
      <c r="AS18" s="770"/>
      <c r="AT18" s="243">
        <v>325.60000000000002</v>
      </c>
      <c r="AU18" s="217">
        <v>576.29999999999995</v>
      </c>
      <c r="AV18" s="757"/>
      <c r="AW18" s="770"/>
      <c r="AX18" s="243"/>
      <c r="AY18" s="887"/>
      <c r="AZ18" s="888"/>
      <c r="BA18" s="7"/>
      <c r="BB18" s="889"/>
      <c r="BC18" s="889"/>
    </row>
    <row r="19" spans="1:55" ht="20.149999999999999" customHeight="1">
      <c r="A19" s="711" t="s">
        <v>185</v>
      </c>
      <c r="B19" s="129" t="s">
        <v>186</v>
      </c>
      <c r="C19" s="232">
        <f>92.159</f>
        <v>92.159000000000006</v>
      </c>
      <c r="D19" s="238">
        <f>(84770)*0.001</f>
        <v>84.77</v>
      </c>
      <c r="E19" s="238">
        <f>(116704)*0.001</f>
        <v>116.70400000000001</v>
      </c>
      <c r="F19" s="243">
        <f>(109642)*0.001</f>
        <v>109.642</v>
      </c>
      <c r="G19" s="238">
        <f>(62960)*0.001</f>
        <v>62.96</v>
      </c>
      <c r="H19" s="238">
        <f>(61422)*0.001</f>
        <v>61.422000000000004</v>
      </c>
      <c r="I19" s="238">
        <f>(27107)*0.001</f>
        <v>27.106999999999999</v>
      </c>
      <c r="J19" s="243">
        <f>(20803)*0.001</f>
        <v>20.803000000000001</v>
      </c>
      <c r="K19" s="244">
        <f>(6430)*0.001</f>
        <v>6.43</v>
      </c>
      <c r="L19" s="810">
        <v>107.4</v>
      </c>
      <c r="M19" s="810">
        <v>141.4</v>
      </c>
      <c r="N19" s="243">
        <v>198.5</v>
      </c>
      <c r="O19" s="232">
        <v>238</v>
      </c>
      <c r="P19" s="232">
        <v>232.8</v>
      </c>
      <c r="Q19" s="810">
        <v>232.7</v>
      </c>
      <c r="R19" s="243">
        <v>272.8</v>
      </c>
      <c r="S19" s="217">
        <v>295.39999999999998</v>
      </c>
      <c r="T19" s="217">
        <v>331.8</v>
      </c>
      <c r="U19" s="217">
        <v>373.3</v>
      </c>
      <c r="V19" s="243">
        <v>452</v>
      </c>
      <c r="W19" s="217">
        <v>476.3</v>
      </c>
      <c r="X19" s="217">
        <v>508.1</v>
      </c>
      <c r="Y19" s="217">
        <v>544.20000000000005</v>
      </c>
      <c r="Z19" s="243">
        <v>1270.7</v>
      </c>
      <c r="AA19" s="217">
        <v>1280.5999999999999</v>
      </c>
      <c r="AB19" s="217">
        <v>649.29999999999995</v>
      </c>
      <c r="AC19" s="217">
        <v>647.9</v>
      </c>
      <c r="AD19" s="243">
        <v>84.2</v>
      </c>
      <c r="AE19" s="217">
        <v>714.5</v>
      </c>
      <c r="AF19" s="217">
        <v>781.6</v>
      </c>
      <c r="AG19" s="217">
        <v>830.6</v>
      </c>
      <c r="AH19" s="243">
        <v>1315.8</v>
      </c>
      <c r="AI19" s="217">
        <v>1337.2</v>
      </c>
      <c r="AJ19" s="217">
        <v>1314.7</v>
      </c>
      <c r="AK19" s="217">
        <v>1329.2</v>
      </c>
      <c r="AL19" s="243">
        <v>1283.5999999999999</v>
      </c>
      <c r="AM19" s="217">
        <v>1330.6</v>
      </c>
      <c r="AN19" s="217">
        <v>1799.7</v>
      </c>
      <c r="AO19" s="217">
        <v>1820.5</v>
      </c>
      <c r="AP19" s="243">
        <v>1845.2</v>
      </c>
      <c r="AQ19" s="217">
        <v>2037.6</v>
      </c>
      <c r="AR19" s="757">
        <v>2659.2</v>
      </c>
      <c r="AS19" s="772">
        <v>2285.3000000000002</v>
      </c>
      <c r="AT19" s="811">
        <v>1918</v>
      </c>
      <c r="AU19" s="217">
        <v>1933.7</v>
      </c>
      <c r="AV19" s="757"/>
      <c r="AW19" s="772"/>
      <c r="AX19" s="811"/>
      <c r="AY19" s="887"/>
      <c r="AZ19" s="888"/>
      <c r="BA19" s="7"/>
      <c r="BB19" s="889"/>
      <c r="BC19" s="889"/>
    </row>
    <row r="20" spans="1:55" ht="25.75">
      <c r="A20" s="812" t="s">
        <v>187</v>
      </c>
      <c r="B20" s="813" t="s">
        <v>188</v>
      </c>
      <c r="C20" s="66"/>
      <c r="D20" s="66"/>
      <c r="E20" s="66"/>
      <c r="F20" s="243"/>
      <c r="G20" s="66"/>
      <c r="H20" s="66"/>
      <c r="I20" s="66"/>
      <c r="J20" s="215"/>
      <c r="K20" s="66"/>
      <c r="L20" s="66"/>
      <c r="M20" s="66"/>
      <c r="N20" s="215"/>
      <c r="O20" s="66"/>
      <c r="P20" s="66"/>
      <c r="Q20" s="66"/>
      <c r="R20" s="215"/>
      <c r="S20" s="66"/>
      <c r="T20" s="66"/>
      <c r="U20" s="66"/>
      <c r="V20" s="228">
        <v>0</v>
      </c>
      <c r="W20" s="66"/>
      <c r="X20" s="66"/>
      <c r="Y20" s="66"/>
      <c r="Z20" s="814">
        <v>665.2</v>
      </c>
      <c r="AA20" s="197">
        <v>681.2</v>
      </c>
      <c r="AB20" s="197">
        <v>40.4</v>
      </c>
      <c r="AC20" s="197">
        <v>36.9</v>
      </c>
      <c r="AD20" s="814">
        <v>43</v>
      </c>
      <c r="AE20" s="197">
        <v>41.3</v>
      </c>
      <c r="AF20" s="66">
        <v>67.5</v>
      </c>
      <c r="AG20" s="197">
        <v>66.2</v>
      </c>
      <c r="AH20" s="814">
        <v>1282.4000000000001</v>
      </c>
      <c r="AI20" s="197">
        <v>1306.0999999999999</v>
      </c>
      <c r="AJ20" s="197">
        <v>1284.0999999999999</v>
      </c>
      <c r="AK20" s="197">
        <v>1298.2</v>
      </c>
      <c r="AL20" s="814">
        <v>1257.8</v>
      </c>
      <c r="AM20" s="197">
        <v>1274.3</v>
      </c>
      <c r="AN20" s="197">
        <v>1740.2</v>
      </c>
      <c r="AO20" s="197">
        <v>1752.6</v>
      </c>
      <c r="AP20" s="648">
        <v>1764.4</v>
      </c>
      <c r="AQ20" s="197">
        <v>1774.8</v>
      </c>
      <c r="AR20" s="754">
        <v>2232.6999999999998</v>
      </c>
      <c r="AS20" s="798">
        <v>1786.1</v>
      </c>
      <c r="AT20" s="815">
        <v>1884.2</v>
      </c>
      <c r="AU20" s="197">
        <v>1904.6</v>
      </c>
      <c r="AV20" s="754"/>
      <c r="AW20" s="798"/>
      <c r="AX20" s="815"/>
      <c r="AY20" s="887"/>
      <c r="AZ20" s="888"/>
      <c r="BA20" s="7"/>
      <c r="BB20" s="889"/>
      <c r="BC20" s="889"/>
    </row>
    <row r="21" spans="1:55" s="15" customFormat="1" ht="20.149999999999999" customHeight="1">
      <c r="A21" s="29" t="s">
        <v>189</v>
      </c>
      <c r="B21" s="130" t="s">
        <v>190</v>
      </c>
      <c r="C21" s="23">
        <v>0</v>
      </c>
      <c r="D21" s="23">
        <v>0</v>
      </c>
      <c r="E21" s="23">
        <v>0</v>
      </c>
      <c r="F21" s="210"/>
      <c r="G21" s="23">
        <v>0</v>
      </c>
      <c r="H21" s="23">
        <v>0</v>
      </c>
      <c r="I21" s="23">
        <v>0</v>
      </c>
      <c r="J21" s="216">
        <v>0</v>
      </c>
      <c r="K21" s="32">
        <v>0</v>
      </c>
      <c r="L21" s="23">
        <v>0</v>
      </c>
      <c r="M21" s="23">
        <v>0</v>
      </c>
      <c r="N21" s="216">
        <v>1.2</v>
      </c>
      <c r="O21" s="23">
        <v>0</v>
      </c>
      <c r="P21" s="23">
        <v>0</v>
      </c>
      <c r="Q21" s="23">
        <v>0</v>
      </c>
      <c r="R21" s="216">
        <v>6.9</v>
      </c>
      <c r="S21" s="87">
        <v>0.6</v>
      </c>
      <c r="T21" s="87">
        <v>0</v>
      </c>
      <c r="U21" s="87">
        <v>3.5</v>
      </c>
      <c r="V21" s="475">
        <v>9.5</v>
      </c>
      <c r="W21" s="87">
        <v>7.8</v>
      </c>
      <c r="X21" s="87">
        <v>4.9000000000000004</v>
      </c>
      <c r="Y21" s="87">
        <v>2.5</v>
      </c>
      <c r="Z21" s="475">
        <v>1.9</v>
      </c>
      <c r="AA21" s="87">
        <v>0.1</v>
      </c>
      <c r="AB21" s="87">
        <v>1.4</v>
      </c>
      <c r="AC21" s="87">
        <v>2.7</v>
      </c>
      <c r="AD21" s="489">
        <v>0</v>
      </c>
      <c r="AE21" s="87">
        <v>0</v>
      </c>
      <c r="AF21" s="87">
        <v>0</v>
      </c>
      <c r="AG21" s="87">
        <v>0.2</v>
      </c>
      <c r="AH21" s="475">
        <v>1.2</v>
      </c>
      <c r="AI21" s="87">
        <v>0</v>
      </c>
      <c r="AJ21" s="87">
        <v>0</v>
      </c>
      <c r="AK21" s="87">
        <v>0</v>
      </c>
      <c r="AL21" s="475">
        <v>0.4</v>
      </c>
      <c r="AM21" s="87">
        <v>2.9</v>
      </c>
      <c r="AN21" s="197">
        <v>4</v>
      </c>
      <c r="AO21" s="87">
        <v>6.5</v>
      </c>
      <c r="AP21" s="647">
        <v>23</v>
      </c>
      <c r="AQ21" s="197">
        <v>23</v>
      </c>
      <c r="AR21" s="754">
        <v>36.9</v>
      </c>
      <c r="AS21" s="779">
        <v>34.4</v>
      </c>
      <c r="AT21" s="807">
        <v>17.399999999999999</v>
      </c>
      <c r="AU21" s="197">
        <v>10.1</v>
      </c>
      <c r="AV21" s="754"/>
      <c r="AW21" s="779"/>
      <c r="AX21" s="807"/>
      <c r="AY21" s="887"/>
      <c r="AZ21" s="888"/>
      <c r="BA21" s="7"/>
      <c r="BB21" s="889"/>
      <c r="BC21" s="889"/>
    </row>
    <row r="22" spans="1:55" s="7" customFormat="1" ht="20.149999999999999" customHeight="1" thickBot="1">
      <c r="A22" s="27" t="s">
        <v>191</v>
      </c>
      <c r="B22" s="126" t="s">
        <v>192</v>
      </c>
      <c r="C22" s="17">
        <f>30.5</f>
        <v>30.5</v>
      </c>
      <c r="D22" s="30">
        <f>(40245)*0.001</f>
        <v>40.244999999999997</v>
      </c>
      <c r="E22" s="30">
        <f>(37018)*0.001</f>
        <v>37.018000000000001</v>
      </c>
      <c r="F22" s="210">
        <f>(31356)*0.001</f>
        <v>31.356000000000002</v>
      </c>
      <c r="G22" s="30">
        <f>(30260)*0.001</f>
        <v>30.26</v>
      </c>
      <c r="H22" s="30">
        <f>(27326)*0.001</f>
        <v>27.326000000000001</v>
      </c>
      <c r="I22" s="30">
        <f>(27552)*0.001</f>
        <v>27.552</v>
      </c>
      <c r="J22" s="210">
        <f>(38854)*0.001</f>
        <v>38.853999999999999</v>
      </c>
      <c r="K22" s="40">
        <f>(34685)*0.001</f>
        <v>34.685000000000002</v>
      </c>
      <c r="L22" s="21">
        <v>240.5</v>
      </c>
      <c r="M22" s="21">
        <v>285.7</v>
      </c>
      <c r="N22" s="210">
        <v>281.10000000000002</v>
      </c>
      <c r="O22" s="17">
        <v>229</v>
      </c>
      <c r="P22" s="17">
        <v>260.89999999999998</v>
      </c>
      <c r="Q22" s="21">
        <v>107.2</v>
      </c>
      <c r="R22" s="210">
        <v>87.6</v>
      </c>
      <c r="S22" s="86">
        <v>211.3</v>
      </c>
      <c r="T22" s="86">
        <v>236.5</v>
      </c>
      <c r="U22" s="86">
        <v>238.4</v>
      </c>
      <c r="V22" s="210">
        <v>232.7</v>
      </c>
      <c r="W22" s="86">
        <v>249.3</v>
      </c>
      <c r="X22" s="86">
        <v>199.9</v>
      </c>
      <c r="Y22" s="86">
        <v>192.1</v>
      </c>
      <c r="Z22" s="210">
        <v>197.2</v>
      </c>
      <c r="AA22" s="86">
        <v>178.4</v>
      </c>
      <c r="AB22" s="86">
        <v>216</v>
      </c>
      <c r="AC22" s="86">
        <v>213</v>
      </c>
      <c r="AD22" s="210">
        <v>259.7</v>
      </c>
      <c r="AE22" s="86">
        <v>258.2</v>
      </c>
      <c r="AF22" s="86">
        <v>260.5</v>
      </c>
      <c r="AG22" s="86">
        <v>267.3</v>
      </c>
      <c r="AH22" s="210">
        <v>241.2</v>
      </c>
      <c r="AI22" s="86">
        <v>243.2</v>
      </c>
      <c r="AJ22" s="86">
        <v>260.7</v>
      </c>
      <c r="AK22" s="86">
        <v>242.5</v>
      </c>
      <c r="AL22" s="210">
        <v>223.2</v>
      </c>
      <c r="AM22" s="86">
        <v>158.6</v>
      </c>
      <c r="AN22" s="86">
        <v>106.6</v>
      </c>
      <c r="AO22" s="86">
        <v>119.2</v>
      </c>
      <c r="AP22" s="210">
        <v>80.2</v>
      </c>
      <c r="AQ22" s="217">
        <v>87.6</v>
      </c>
      <c r="AR22" s="753">
        <v>104.2</v>
      </c>
      <c r="AS22" s="774">
        <v>112.1</v>
      </c>
      <c r="AT22" s="806">
        <v>99.9</v>
      </c>
      <c r="AU22" s="217">
        <v>110.5</v>
      </c>
      <c r="AV22" s="753"/>
      <c r="AW22" s="774"/>
      <c r="AX22" s="806"/>
      <c r="AY22" s="887"/>
      <c r="AZ22" s="888"/>
      <c r="BB22" s="889"/>
      <c r="BC22" s="889"/>
    </row>
    <row r="23" spans="1:55" s="226" customFormat="1" ht="25" customHeight="1" thickBot="1">
      <c r="A23" s="400" t="s">
        <v>193</v>
      </c>
      <c r="B23" s="400" t="s">
        <v>194</v>
      </c>
      <c r="C23" s="401">
        <f t="shared" ref="C23:K23" si="0">(SUM(C6:C22))</f>
        <v>4228.9560000000001</v>
      </c>
      <c r="D23" s="402">
        <f t="shared" si="0"/>
        <v>4425.1450000000004</v>
      </c>
      <c r="E23" s="402">
        <f t="shared" si="0"/>
        <v>4456.701</v>
      </c>
      <c r="F23" s="403">
        <f t="shared" si="0"/>
        <v>4476.1480000000001</v>
      </c>
      <c r="G23" s="402">
        <f t="shared" si="0"/>
        <v>4424.8490000000011</v>
      </c>
      <c r="H23" s="402">
        <f t="shared" si="0"/>
        <v>4428.5439999999999</v>
      </c>
      <c r="I23" s="402">
        <f t="shared" si="0"/>
        <v>4436.0960000000005</v>
      </c>
      <c r="J23" s="403">
        <f t="shared" si="0"/>
        <v>4455.8450000000003</v>
      </c>
      <c r="K23" s="401">
        <f t="shared" si="0"/>
        <v>4454.3520000000008</v>
      </c>
      <c r="L23" s="402">
        <f>SUM(L6:L22)</f>
        <v>23391.8</v>
      </c>
      <c r="M23" s="402">
        <f>SUM(M6:M22)</f>
        <v>23581.399999999998</v>
      </c>
      <c r="N23" s="403">
        <f t="shared" ref="N23:Y23" si="1">(SUM(N6:N22))-N21</f>
        <v>23356.1</v>
      </c>
      <c r="O23" s="401">
        <f t="shared" si="1"/>
        <v>23132</v>
      </c>
      <c r="P23" s="402">
        <f t="shared" si="1"/>
        <v>22867.599999999999</v>
      </c>
      <c r="Q23" s="402">
        <f t="shared" si="1"/>
        <v>22396.3</v>
      </c>
      <c r="R23" s="403">
        <f t="shared" si="1"/>
        <v>22261.199999999997</v>
      </c>
      <c r="S23" s="401">
        <f t="shared" si="1"/>
        <v>24489.499999999996</v>
      </c>
      <c r="T23" s="402">
        <f t="shared" si="1"/>
        <v>24377.8</v>
      </c>
      <c r="U23" s="402">
        <f t="shared" si="1"/>
        <v>24047.600000000002</v>
      </c>
      <c r="V23" s="403">
        <f t="shared" si="1"/>
        <v>23958.899999999998</v>
      </c>
      <c r="W23" s="401">
        <f t="shared" si="1"/>
        <v>23642.099999999995</v>
      </c>
      <c r="X23" s="402">
        <f t="shared" si="1"/>
        <v>23454.6</v>
      </c>
      <c r="Y23" s="402">
        <f t="shared" si="1"/>
        <v>23215.999999999996</v>
      </c>
      <c r="Z23" s="403">
        <f>(SUM(Z6:Z22))-Z21-Z20</f>
        <v>23824.5</v>
      </c>
      <c r="AA23" s="401">
        <f>SUM(AA6:AA19,AA22)</f>
        <v>23530.6</v>
      </c>
      <c r="AB23" s="402">
        <f>SUM(AB6:AB19,AB22)</f>
        <v>24924.399999999998</v>
      </c>
      <c r="AC23" s="402">
        <f>SUM(AC6:AC19,AC22)</f>
        <v>25095.3</v>
      </c>
      <c r="AD23" s="403">
        <f>(SUM(AD6:AD22))-AD21-AD20</f>
        <v>25274.100000000002</v>
      </c>
      <c r="AE23" s="401">
        <f>SUM(AE6:AE19,AE22)</f>
        <v>26511.500000000004</v>
      </c>
      <c r="AF23" s="402">
        <f>SUM(AF6:AF19,AF22)</f>
        <v>26473.100000000002</v>
      </c>
      <c r="AG23" s="402">
        <f>SUM(AG6:AG19,AG22)</f>
        <v>26264.3</v>
      </c>
      <c r="AH23" s="403">
        <f>(SUM(AH6:AH22))-AH21-AH20</f>
        <v>27604.7</v>
      </c>
      <c r="AI23" s="401">
        <f>SUM(AI6:AI19,AI22)</f>
        <v>27318.900000000005</v>
      </c>
      <c r="AJ23" s="402">
        <f>SUM(AJ6:AJ19,AJ22)</f>
        <v>27109.599999999995</v>
      </c>
      <c r="AK23" s="402">
        <f>SUM(AK6:AK19,AK22)</f>
        <v>27531.8</v>
      </c>
      <c r="AL23" s="403">
        <f>(SUM(AL6:AL22))-AL21-AL20</f>
        <v>27837.800000000003</v>
      </c>
      <c r="AM23" s="401">
        <f>SUM(AM6:AM19,AM22)</f>
        <v>24265.799999999996</v>
      </c>
      <c r="AN23" s="402">
        <f>SUM(AN6:AN19,AN22)</f>
        <v>23560.399999999994</v>
      </c>
      <c r="AO23" s="402">
        <f>SUM(AO6:AO19,AO22)</f>
        <v>23929.499999999996</v>
      </c>
      <c r="AP23" s="403">
        <f>(SUM(AP6:AP22))-AP21-AP20</f>
        <v>24159.7</v>
      </c>
      <c r="AQ23" s="401">
        <f>SUM(AQ6:AQ19,AQ22)</f>
        <v>23871.599999999999</v>
      </c>
      <c r="AR23" s="755">
        <f>SUM(AR6:AR19,AR22)</f>
        <v>25679.300000000003</v>
      </c>
      <c r="AS23" s="402">
        <f>SUM(AS6:AS19,AS22)</f>
        <v>24938.499999999993</v>
      </c>
      <c r="AT23" s="803">
        <f>(SUM(AT6:AT22))-AT21-AT20</f>
        <v>25775.3</v>
      </c>
      <c r="AU23" s="401">
        <f>SUM(AU6:AU19,AU22)</f>
        <v>25716.600000000002</v>
      </c>
      <c r="AV23" s="755">
        <f>SUM(AV6:AV19,AV22)</f>
        <v>0</v>
      </c>
      <c r="AW23" s="402">
        <f>SUM(AW6:AW19,AW22)</f>
        <v>0</v>
      </c>
      <c r="AX23" s="803">
        <f>(SUM(AX6:AX22))-AX21-AX20</f>
        <v>0</v>
      </c>
      <c r="AY23" s="887"/>
      <c r="AZ23" s="888"/>
      <c r="BA23" s="7"/>
      <c r="BB23" s="889"/>
      <c r="BC23" s="889"/>
    </row>
    <row r="24" spans="1:55" s="8" customFormat="1" ht="20.149999999999999" customHeight="1">
      <c r="A24" s="27" t="s">
        <v>195</v>
      </c>
      <c r="B24" s="126" t="s">
        <v>196</v>
      </c>
      <c r="C24" s="17">
        <f>176.114</f>
        <v>176.114</v>
      </c>
      <c r="D24" s="30">
        <f>(167251)*0.001</f>
        <v>167.251</v>
      </c>
      <c r="E24" s="30">
        <f>(171461)*0.001</f>
        <v>171.46100000000001</v>
      </c>
      <c r="F24" s="210">
        <f>(141652)*0.001</f>
        <v>141.65200000000002</v>
      </c>
      <c r="G24" s="30">
        <f>(155399)*0.001</f>
        <v>155.399</v>
      </c>
      <c r="H24" s="30">
        <f>(170743)*0.001</f>
        <v>170.74299999999999</v>
      </c>
      <c r="I24" s="30">
        <f>(208533)*0.001</f>
        <v>208.53300000000002</v>
      </c>
      <c r="J24" s="210">
        <f>(181341)*0.001</f>
        <v>181.34100000000001</v>
      </c>
      <c r="K24" s="40">
        <f>(228936)*0.001</f>
        <v>228.93600000000001</v>
      </c>
      <c r="L24" s="21">
        <v>199.1</v>
      </c>
      <c r="M24" s="21">
        <v>172.6</v>
      </c>
      <c r="N24" s="210">
        <v>152.1</v>
      </c>
      <c r="O24" s="17">
        <v>163.1</v>
      </c>
      <c r="P24" s="17">
        <v>170.4</v>
      </c>
      <c r="Q24" s="21">
        <v>255.6</v>
      </c>
      <c r="R24" s="210">
        <v>192.2</v>
      </c>
      <c r="S24" s="86">
        <v>234.7</v>
      </c>
      <c r="T24" s="86">
        <v>163.5</v>
      </c>
      <c r="U24" s="86">
        <v>219.1</v>
      </c>
      <c r="V24" s="210">
        <v>192</v>
      </c>
      <c r="W24" s="86">
        <v>179.8</v>
      </c>
      <c r="X24" s="86">
        <v>214.3</v>
      </c>
      <c r="Y24" s="86">
        <v>243.6</v>
      </c>
      <c r="Z24" s="210">
        <v>251.7</v>
      </c>
      <c r="AA24" s="86">
        <v>256.60000000000002</v>
      </c>
      <c r="AB24" s="86">
        <v>353.2</v>
      </c>
      <c r="AC24" s="86">
        <v>544.5</v>
      </c>
      <c r="AD24" s="210">
        <v>543.20000000000005</v>
      </c>
      <c r="AE24" s="86">
        <v>539.79999999999995</v>
      </c>
      <c r="AF24" s="86">
        <v>538.9</v>
      </c>
      <c r="AG24" s="86">
        <v>552.6</v>
      </c>
      <c r="AH24" s="210">
        <v>512.29999999999995</v>
      </c>
      <c r="AI24" s="86">
        <v>535.20000000000005</v>
      </c>
      <c r="AJ24" s="86">
        <v>516.20000000000005</v>
      </c>
      <c r="AK24" s="86">
        <v>525.9</v>
      </c>
      <c r="AL24" s="210">
        <v>413.2</v>
      </c>
      <c r="AM24" s="86">
        <v>412.7</v>
      </c>
      <c r="AN24" s="86">
        <v>477</v>
      </c>
      <c r="AO24" s="86">
        <v>925.1</v>
      </c>
      <c r="AP24" s="210">
        <v>630.6</v>
      </c>
      <c r="AQ24" s="86">
        <v>826.8</v>
      </c>
      <c r="AR24" s="753">
        <v>678.2</v>
      </c>
      <c r="AS24" s="771">
        <v>829.1</v>
      </c>
      <c r="AT24" s="210">
        <v>699.2</v>
      </c>
      <c r="AU24" s="86">
        <v>769.8</v>
      </c>
      <c r="AV24" s="753"/>
      <c r="AW24" s="771"/>
      <c r="AX24" s="210"/>
      <c r="AY24" s="887"/>
      <c r="AZ24" s="888"/>
      <c r="BA24" s="7"/>
      <c r="BB24" s="889"/>
      <c r="BC24" s="889"/>
    </row>
    <row r="25" spans="1:55" s="8" customFormat="1" ht="20.149999999999999" customHeight="1">
      <c r="A25" s="27" t="s">
        <v>197</v>
      </c>
      <c r="B25" s="126" t="s">
        <v>198</v>
      </c>
      <c r="C25" s="17"/>
      <c r="D25" s="30"/>
      <c r="E25" s="30"/>
      <c r="F25" s="210"/>
      <c r="G25" s="30"/>
      <c r="H25" s="30"/>
      <c r="I25" s="30"/>
      <c r="J25" s="210"/>
      <c r="K25" s="40"/>
      <c r="L25" s="21"/>
      <c r="M25" s="21"/>
      <c r="N25" s="210"/>
      <c r="O25" s="17"/>
      <c r="P25" s="17"/>
      <c r="Q25" s="21"/>
      <c r="R25" s="210"/>
      <c r="S25" s="86"/>
      <c r="T25" s="86"/>
      <c r="U25" s="86"/>
      <c r="V25" s="210"/>
      <c r="W25" s="86"/>
      <c r="X25" s="86"/>
      <c r="Y25" s="86"/>
      <c r="Z25" s="210"/>
      <c r="AA25" s="86">
        <v>680.8</v>
      </c>
      <c r="AB25" s="86">
        <v>681.5</v>
      </c>
      <c r="AC25" s="86">
        <v>655.20000000000005</v>
      </c>
      <c r="AD25" s="210">
        <v>648.4</v>
      </c>
      <c r="AE25" s="86">
        <v>657.6</v>
      </c>
      <c r="AF25" s="86">
        <v>651.70000000000005</v>
      </c>
      <c r="AG25" s="86">
        <v>639.20000000000005</v>
      </c>
      <c r="AH25" s="210">
        <v>638.70000000000005</v>
      </c>
      <c r="AI25" s="86">
        <v>628.1</v>
      </c>
      <c r="AJ25" s="86">
        <v>592.5</v>
      </c>
      <c r="AK25" s="86">
        <v>567.5</v>
      </c>
      <c r="AL25" s="210">
        <v>537.70000000000005</v>
      </c>
      <c r="AM25" s="86">
        <v>505.6</v>
      </c>
      <c r="AN25" s="86">
        <v>476.2</v>
      </c>
      <c r="AO25" s="86">
        <v>438.7</v>
      </c>
      <c r="AP25" s="210">
        <v>418</v>
      </c>
      <c r="AQ25" s="86">
        <v>393.8</v>
      </c>
      <c r="AR25" s="753">
        <v>374.1</v>
      </c>
      <c r="AS25" s="771">
        <v>361.5</v>
      </c>
      <c r="AT25" s="210">
        <v>362.9</v>
      </c>
      <c r="AU25" s="86">
        <v>377.5</v>
      </c>
      <c r="AV25" s="753"/>
      <c r="AW25" s="771"/>
      <c r="AX25" s="210"/>
      <c r="AY25" s="887"/>
      <c r="AZ25" s="888"/>
      <c r="BA25" s="7"/>
      <c r="BB25" s="889"/>
      <c r="BC25" s="889"/>
    </row>
    <row r="26" spans="1:55" s="7" customFormat="1" ht="20.149999999999999" customHeight="1">
      <c r="A26" s="27" t="s">
        <v>199</v>
      </c>
      <c r="B26" s="126" t="s">
        <v>200</v>
      </c>
      <c r="C26" s="17">
        <f>185.376</f>
        <v>185.376</v>
      </c>
      <c r="D26" s="30">
        <f>(185528)*0.001</f>
        <v>185.52799999999999</v>
      </c>
      <c r="E26" s="30">
        <f>(177054)*0.001</f>
        <v>177.054</v>
      </c>
      <c r="F26" s="210">
        <f>(161974)*0.001</f>
        <v>161.97399999999999</v>
      </c>
      <c r="G26" s="30">
        <f>(150701)*0.001</f>
        <v>150.70099999999999</v>
      </c>
      <c r="H26" s="30">
        <f>(157445)*0.001</f>
        <v>157.44499999999999</v>
      </c>
      <c r="I26" s="30">
        <f>(155698)*0.001</f>
        <v>155.69800000000001</v>
      </c>
      <c r="J26" s="210">
        <f>(146771)*0.001</f>
        <v>146.77100000000002</v>
      </c>
      <c r="K26" s="40">
        <f>(163072)*0.001</f>
        <v>163.072</v>
      </c>
      <c r="L26" s="16">
        <v>343.8</v>
      </c>
      <c r="M26" s="16">
        <v>316.60000000000002</v>
      </c>
      <c r="N26" s="210">
        <v>301.39999999999998</v>
      </c>
      <c r="O26" s="17">
        <v>252.9</v>
      </c>
      <c r="P26" s="17">
        <v>261.7</v>
      </c>
      <c r="Q26" s="16">
        <v>264.10000000000002</v>
      </c>
      <c r="R26" s="210">
        <v>281</v>
      </c>
      <c r="S26" s="86">
        <v>260.2</v>
      </c>
      <c r="T26" s="86">
        <v>270</v>
      </c>
      <c r="U26" s="86">
        <v>281</v>
      </c>
      <c r="V26" s="210">
        <v>278.7</v>
      </c>
      <c r="W26" s="86">
        <v>237.2</v>
      </c>
      <c r="X26" s="86">
        <v>279</v>
      </c>
      <c r="Y26" s="86">
        <v>295.60000000000002</v>
      </c>
      <c r="Z26" s="210">
        <v>283.7</v>
      </c>
      <c r="AA26" s="85">
        <v>305.3</v>
      </c>
      <c r="AB26" s="86">
        <v>362.1</v>
      </c>
      <c r="AC26" s="86">
        <v>387.6</v>
      </c>
      <c r="AD26" s="210">
        <v>394</v>
      </c>
      <c r="AE26" s="85">
        <v>333.7</v>
      </c>
      <c r="AF26" s="86">
        <v>344.5</v>
      </c>
      <c r="AG26" s="86">
        <v>359.6</v>
      </c>
      <c r="AH26" s="210">
        <v>306.8</v>
      </c>
      <c r="AI26" s="85">
        <v>398.3</v>
      </c>
      <c r="AJ26" s="86">
        <v>502.8</v>
      </c>
      <c r="AK26" s="86">
        <v>409</v>
      </c>
      <c r="AL26" s="210">
        <v>299.39999999999998</v>
      </c>
      <c r="AM26" s="85">
        <v>359.8</v>
      </c>
      <c r="AN26" s="85">
        <v>439.1</v>
      </c>
      <c r="AO26" s="86">
        <v>515</v>
      </c>
      <c r="AP26" s="210">
        <v>595.70000000000005</v>
      </c>
      <c r="AQ26" s="85">
        <v>597.5</v>
      </c>
      <c r="AR26" s="85">
        <v>935.5</v>
      </c>
      <c r="AS26" s="771">
        <v>888.7</v>
      </c>
      <c r="AT26" s="210">
        <v>1162.4000000000001</v>
      </c>
      <c r="AU26" s="85">
        <v>1272.2</v>
      </c>
      <c r="AV26" s="85"/>
      <c r="AW26" s="771"/>
      <c r="AX26" s="210"/>
      <c r="AY26" s="887"/>
      <c r="AZ26" s="888"/>
      <c r="BB26" s="889"/>
      <c r="BC26" s="889"/>
    </row>
    <row r="27" spans="1:55" ht="20.149999999999999" customHeight="1">
      <c r="A27" s="711" t="s">
        <v>201</v>
      </c>
      <c r="B27" s="129" t="s">
        <v>202</v>
      </c>
      <c r="C27" s="232">
        <f>342.386</f>
        <v>342.38600000000002</v>
      </c>
      <c r="D27" s="238">
        <f>(382365)*0.001</f>
        <v>382.36500000000001</v>
      </c>
      <c r="E27" s="238">
        <f>(376949)*0.001</f>
        <v>376.94900000000001</v>
      </c>
      <c r="F27" s="243">
        <f>(375659)*0.001</f>
        <v>375.65899999999999</v>
      </c>
      <c r="G27" s="238">
        <f>(403593)*0.001</f>
        <v>403.59300000000002</v>
      </c>
      <c r="H27" s="238">
        <f>(410902)*0.001</f>
        <v>410.90199999999999</v>
      </c>
      <c r="I27" s="238">
        <f>(401503)*0.001</f>
        <v>401.50299999999999</v>
      </c>
      <c r="J27" s="243">
        <f>(374424)*0.001</f>
        <v>374.42400000000004</v>
      </c>
      <c r="K27" s="244">
        <f>(398589)*0.001</f>
        <v>398.589</v>
      </c>
      <c r="L27" s="235">
        <v>1374.4</v>
      </c>
      <c r="M27" s="235">
        <v>1369.9</v>
      </c>
      <c r="N27" s="243">
        <v>1453.4</v>
      </c>
      <c r="O27" s="232">
        <v>1599.5</v>
      </c>
      <c r="P27" s="232">
        <v>1988.6</v>
      </c>
      <c r="Q27" s="235">
        <v>1699.4</v>
      </c>
      <c r="R27" s="243">
        <v>1619.1</v>
      </c>
      <c r="S27" s="217">
        <v>1503.9</v>
      </c>
      <c r="T27" s="217">
        <v>1541.1</v>
      </c>
      <c r="U27" s="217">
        <v>1571.8</v>
      </c>
      <c r="V27" s="243">
        <v>1688</v>
      </c>
      <c r="W27" s="217">
        <v>1608.5</v>
      </c>
      <c r="X27" s="217">
        <v>1727</v>
      </c>
      <c r="Y27" s="217">
        <v>1758.5</v>
      </c>
      <c r="Z27" s="243">
        <v>1983.2</v>
      </c>
      <c r="AA27" s="217">
        <v>1990.7</v>
      </c>
      <c r="AB27" s="217">
        <v>2161.3000000000002</v>
      </c>
      <c r="AC27" s="217">
        <v>2197.3000000000002</v>
      </c>
      <c r="AD27" s="243">
        <v>2370.4</v>
      </c>
      <c r="AE27" s="217">
        <v>2334.6999999999998</v>
      </c>
      <c r="AF27" s="217">
        <v>2284.4</v>
      </c>
      <c r="AG27" s="217">
        <v>2291.6</v>
      </c>
      <c r="AH27" s="243">
        <v>2511.6</v>
      </c>
      <c r="AI27" s="217">
        <v>2335.9</v>
      </c>
      <c r="AJ27" s="217">
        <v>2298.1</v>
      </c>
      <c r="AK27" s="217">
        <v>2348.1999999999998</v>
      </c>
      <c r="AL27" s="243">
        <v>2390.4</v>
      </c>
      <c r="AM27" s="217">
        <v>2387.4</v>
      </c>
      <c r="AN27" s="217">
        <v>2441.5</v>
      </c>
      <c r="AO27" s="217">
        <v>2413.9</v>
      </c>
      <c r="AP27" s="243">
        <v>2435</v>
      </c>
      <c r="AQ27" s="816">
        <v>2424.3000000000002</v>
      </c>
      <c r="AR27" s="816">
        <v>2623.1</v>
      </c>
      <c r="AS27" s="816">
        <v>2669.6</v>
      </c>
      <c r="AT27" s="243">
        <v>2751.3</v>
      </c>
      <c r="AU27" s="816">
        <v>2614.1999999999998</v>
      </c>
      <c r="AV27" s="816"/>
      <c r="AW27" s="816"/>
      <c r="AX27" s="243"/>
      <c r="AY27" s="887"/>
      <c r="AZ27" s="888"/>
      <c r="BA27" s="7"/>
      <c r="BB27" s="889"/>
      <c r="BC27" s="889"/>
    </row>
    <row r="28" spans="1:55" ht="20.149999999999999" customHeight="1">
      <c r="A28" s="711" t="s">
        <v>203</v>
      </c>
      <c r="B28" s="129" t="s">
        <v>204</v>
      </c>
      <c r="C28" s="232">
        <f>1.102</f>
        <v>1.1020000000000001</v>
      </c>
      <c r="D28" s="247">
        <f>0</f>
        <v>0</v>
      </c>
      <c r="E28" s="247">
        <f>0</f>
        <v>0</v>
      </c>
      <c r="F28" s="246">
        <f>0</f>
        <v>0</v>
      </c>
      <c r="G28" s="247">
        <f>0</f>
        <v>0</v>
      </c>
      <c r="H28" s="247">
        <f>0</f>
        <v>0</v>
      </c>
      <c r="I28" s="247">
        <f>0</f>
        <v>0</v>
      </c>
      <c r="J28" s="246">
        <v>0</v>
      </c>
      <c r="K28" s="248">
        <v>0</v>
      </c>
      <c r="L28" s="229">
        <v>0</v>
      </c>
      <c r="M28" s="229">
        <v>0</v>
      </c>
      <c r="N28" s="246" t="e">
        <f>0*($A$86)</f>
        <v>#VALUE!</v>
      </c>
      <c r="O28" s="247" t="e">
        <f>0*($A$86)</f>
        <v>#VALUE!</v>
      </c>
      <c r="P28" s="247">
        <v>0</v>
      </c>
      <c r="Q28" s="229">
        <v>0</v>
      </c>
      <c r="R28" s="246">
        <v>0</v>
      </c>
      <c r="S28" s="817">
        <v>0</v>
      </c>
      <c r="T28" s="817">
        <v>0</v>
      </c>
      <c r="U28" s="817">
        <v>0</v>
      </c>
      <c r="V28" s="246">
        <v>0</v>
      </c>
      <c r="W28" s="817">
        <v>0</v>
      </c>
      <c r="X28" s="817">
        <v>0</v>
      </c>
      <c r="Y28" s="817">
        <v>0</v>
      </c>
      <c r="Z28" s="246">
        <v>0</v>
      </c>
      <c r="AA28" s="217">
        <v>0</v>
      </c>
      <c r="AB28" s="818">
        <v>0</v>
      </c>
      <c r="AC28" s="217">
        <v>0</v>
      </c>
      <c r="AD28" s="246">
        <v>0</v>
      </c>
      <c r="AE28" s="217">
        <v>0</v>
      </c>
      <c r="AF28" s="817">
        <v>0</v>
      </c>
      <c r="AG28" s="217">
        <v>0</v>
      </c>
      <c r="AH28" s="246">
        <v>0</v>
      </c>
      <c r="AI28" s="217">
        <v>0</v>
      </c>
      <c r="AJ28" s="817">
        <v>0</v>
      </c>
      <c r="AK28" s="217">
        <v>0</v>
      </c>
      <c r="AL28" s="246">
        <v>0</v>
      </c>
      <c r="AM28" s="217">
        <v>0</v>
      </c>
      <c r="AN28" s="217">
        <v>0</v>
      </c>
      <c r="AO28" s="217">
        <v>0</v>
      </c>
      <c r="AP28" s="243">
        <v>15.3</v>
      </c>
      <c r="AQ28" s="819">
        <v>0</v>
      </c>
      <c r="AR28" s="820">
        <v>0</v>
      </c>
      <c r="AS28" s="820">
        <v>0</v>
      </c>
      <c r="AT28" s="243">
        <v>250.5</v>
      </c>
      <c r="AU28" s="819">
        <v>86.2</v>
      </c>
      <c r="AV28" s="820"/>
      <c r="AW28" s="820"/>
      <c r="AX28" s="243"/>
      <c r="AY28" s="887"/>
      <c r="AZ28" s="888"/>
      <c r="BA28" s="7"/>
      <c r="BB28" s="889"/>
      <c r="BC28" s="889"/>
    </row>
    <row r="29" spans="1:55" s="7" customFormat="1" ht="20.149999999999999" customHeight="1">
      <c r="A29" s="27" t="s">
        <v>205</v>
      </c>
      <c r="B29" s="126" t="s">
        <v>206</v>
      </c>
      <c r="C29" s="17">
        <f>9.894</f>
        <v>9.8940000000000001</v>
      </c>
      <c r="D29" s="30">
        <f>(263)*0.001</f>
        <v>0.26300000000000001</v>
      </c>
      <c r="E29" s="30">
        <f>(321)*0.001</f>
        <v>0.32100000000000001</v>
      </c>
      <c r="F29" s="210">
        <f>(6494)*0.001</f>
        <v>6.4939999999999998</v>
      </c>
      <c r="G29" s="30">
        <f>(1372)*0.001</f>
        <v>1.3720000000000001</v>
      </c>
      <c r="H29" s="30">
        <f>(1952)*0.001</f>
        <v>1.952</v>
      </c>
      <c r="I29" s="30">
        <f>(1195)*0.001</f>
        <v>1.1950000000000001</v>
      </c>
      <c r="J29" s="210">
        <f>(183)*0.001</f>
        <v>0.183</v>
      </c>
      <c r="K29" s="40">
        <f>(365)*0.001</f>
        <v>0.36499999999999999</v>
      </c>
      <c r="L29" s="16">
        <v>28</v>
      </c>
      <c r="M29" s="16">
        <v>26</v>
      </c>
      <c r="N29" s="210">
        <v>26</v>
      </c>
      <c r="O29" s="17">
        <v>28.9</v>
      </c>
      <c r="P29" s="17">
        <v>1.5</v>
      </c>
      <c r="Q29" s="16">
        <v>0.7</v>
      </c>
      <c r="R29" s="210">
        <v>0.7</v>
      </c>
      <c r="S29" s="86">
        <v>1.9</v>
      </c>
      <c r="T29" s="86">
        <v>1.4</v>
      </c>
      <c r="U29" s="86">
        <v>0.9</v>
      </c>
      <c r="V29" s="210">
        <v>29.1</v>
      </c>
      <c r="W29" s="86">
        <v>30.3</v>
      </c>
      <c r="X29" s="86">
        <v>17</v>
      </c>
      <c r="Y29" s="86">
        <v>25.3</v>
      </c>
      <c r="Z29" s="210">
        <v>1.3</v>
      </c>
      <c r="AA29" s="86">
        <v>55.8</v>
      </c>
      <c r="AB29" s="86">
        <v>68.7</v>
      </c>
      <c r="AC29" s="86">
        <v>65.400000000000006</v>
      </c>
      <c r="AD29" s="210">
        <v>34.6</v>
      </c>
      <c r="AE29" s="86">
        <v>36.799999999999997</v>
      </c>
      <c r="AF29" s="86">
        <v>5.6</v>
      </c>
      <c r="AG29" s="86">
        <v>4.5</v>
      </c>
      <c r="AH29" s="210">
        <v>4.8</v>
      </c>
      <c r="AI29" s="86">
        <v>7.1</v>
      </c>
      <c r="AJ29" s="86">
        <v>4.7</v>
      </c>
      <c r="AK29" s="86">
        <v>4.8</v>
      </c>
      <c r="AL29" s="210">
        <v>9</v>
      </c>
      <c r="AM29" s="86">
        <v>9.4</v>
      </c>
      <c r="AN29" s="86">
        <v>11.8</v>
      </c>
      <c r="AO29" s="86">
        <v>4.5999999999999996</v>
      </c>
      <c r="AP29" s="210">
        <v>4.5</v>
      </c>
      <c r="AQ29" s="86">
        <v>15.2</v>
      </c>
      <c r="AR29" s="753">
        <v>16.600000000000001</v>
      </c>
      <c r="AS29" s="775">
        <v>3.6</v>
      </c>
      <c r="AT29" s="210">
        <v>5</v>
      </c>
      <c r="AU29" s="86">
        <v>5.8</v>
      </c>
      <c r="AV29" s="753"/>
      <c r="AW29" s="775"/>
      <c r="AX29" s="210"/>
      <c r="AY29" s="887"/>
      <c r="AZ29" s="888"/>
      <c r="BB29" s="889"/>
      <c r="BC29" s="889"/>
    </row>
    <row r="30" spans="1:55" s="7" customFormat="1" ht="20.149999999999999" customHeight="1">
      <c r="A30" s="27" t="s">
        <v>207</v>
      </c>
      <c r="B30" s="126" t="s">
        <v>208</v>
      </c>
      <c r="C30" s="18">
        <v>0</v>
      </c>
      <c r="D30" s="30">
        <f>(53916)*0.001</f>
        <v>53.916000000000004</v>
      </c>
      <c r="E30" s="30">
        <f>(54038)*0.001</f>
        <v>54.038000000000004</v>
      </c>
      <c r="F30" s="210">
        <f>(57096)*0.001</f>
        <v>57.096000000000004</v>
      </c>
      <c r="G30" s="30">
        <f>(60035)*0.001</f>
        <v>60.035000000000004</v>
      </c>
      <c r="H30" s="30">
        <f>(63564)*0.001</f>
        <v>63.564</v>
      </c>
      <c r="I30" s="30">
        <f>(65852)*0.001</f>
        <v>65.852000000000004</v>
      </c>
      <c r="J30" s="210">
        <f>(70055)*0.001</f>
        <v>70.055000000000007</v>
      </c>
      <c r="K30" s="40">
        <f>(70958)*0.001</f>
        <v>70.957999999999998</v>
      </c>
      <c r="L30" s="16">
        <v>91.2</v>
      </c>
      <c r="M30" s="16">
        <v>117.3</v>
      </c>
      <c r="N30" s="210">
        <v>141.69999999999999</v>
      </c>
      <c r="O30" s="17">
        <v>165.3</v>
      </c>
      <c r="P30" s="17">
        <v>186.1</v>
      </c>
      <c r="Q30" s="16">
        <v>200.4</v>
      </c>
      <c r="R30" s="210">
        <v>212.7</v>
      </c>
      <c r="S30" s="86">
        <v>213.3</v>
      </c>
      <c r="T30" s="86">
        <v>209.1</v>
      </c>
      <c r="U30" s="86">
        <v>207.6</v>
      </c>
      <c r="V30" s="210">
        <v>207.2</v>
      </c>
      <c r="W30" s="86">
        <v>205.7</v>
      </c>
      <c r="X30" s="86">
        <v>202.3</v>
      </c>
      <c r="Y30" s="86">
        <v>203.5</v>
      </c>
      <c r="Z30" s="210">
        <v>207.9</v>
      </c>
      <c r="AA30" s="86">
        <v>206.9</v>
      </c>
      <c r="AB30" s="86">
        <v>230.1</v>
      </c>
      <c r="AC30" s="86">
        <v>230.1</v>
      </c>
      <c r="AD30" s="210">
        <v>218.5</v>
      </c>
      <c r="AE30" s="86">
        <v>221.6</v>
      </c>
      <c r="AF30" s="86">
        <v>221.7</v>
      </c>
      <c r="AG30" s="86">
        <v>227.5</v>
      </c>
      <c r="AH30" s="210">
        <v>225.7</v>
      </c>
      <c r="AI30" s="86">
        <v>222.1</v>
      </c>
      <c r="AJ30" s="86">
        <v>221.4</v>
      </c>
      <c r="AK30" s="86">
        <v>218.5</v>
      </c>
      <c r="AL30" s="210">
        <v>222.4</v>
      </c>
      <c r="AM30" s="86">
        <v>222.9</v>
      </c>
      <c r="AN30" s="86">
        <v>222.5</v>
      </c>
      <c r="AO30" s="86">
        <v>223.8</v>
      </c>
      <c r="AP30" s="210">
        <v>226.8</v>
      </c>
      <c r="AQ30" s="86">
        <v>221.2</v>
      </c>
      <c r="AR30" s="753">
        <v>220</v>
      </c>
      <c r="AS30" s="771">
        <v>216.6</v>
      </c>
      <c r="AT30" s="210">
        <v>217.3</v>
      </c>
      <c r="AU30" s="86">
        <v>214.8</v>
      </c>
      <c r="AV30" s="753"/>
      <c r="AW30" s="771"/>
      <c r="AX30" s="210"/>
      <c r="AY30" s="887"/>
      <c r="AZ30" s="888"/>
      <c r="BB30" s="889"/>
      <c r="BC30" s="889"/>
    </row>
    <row r="31" spans="1:55" s="7" customFormat="1" ht="20.149999999999999" customHeight="1">
      <c r="A31" s="27" t="s">
        <v>209</v>
      </c>
      <c r="B31" s="126" t="s">
        <v>210</v>
      </c>
      <c r="C31" s="17">
        <f>136.299</f>
        <v>136.29900000000001</v>
      </c>
      <c r="D31" s="30">
        <f>(73814)*0.001</f>
        <v>73.814000000000007</v>
      </c>
      <c r="E31" s="30">
        <f>(53239)*0.001</f>
        <v>53.239000000000004</v>
      </c>
      <c r="F31" s="210">
        <f>(71968)*0.001</f>
        <v>71.968000000000004</v>
      </c>
      <c r="G31" s="30">
        <f>(109187)*0.001</f>
        <v>109.187</v>
      </c>
      <c r="H31" s="30">
        <f>(93754)*0.001</f>
        <v>93.754000000000005</v>
      </c>
      <c r="I31" s="30">
        <f>(113708)*0.001</f>
        <v>113.708</v>
      </c>
      <c r="J31" s="210">
        <f>(105360)*0.001</f>
        <v>105.36</v>
      </c>
      <c r="K31" s="40">
        <f>(106732)*0.001</f>
        <v>106.732</v>
      </c>
      <c r="L31" s="16">
        <v>221.9</v>
      </c>
      <c r="M31" s="16">
        <v>224.2</v>
      </c>
      <c r="N31" s="210">
        <v>160.1</v>
      </c>
      <c r="O31" s="17">
        <v>212.9</v>
      </c>
      <c r="P31" s="17">
        <v>226.2</v>
      </c>
      <c r="Q31" s="16">
        <v>255</v>
      </c>
      <c r="R31" s="210">
        <v>399.5</v>
      </c>
      <c r="S31" s="86">
        <v>69.599999999999994</v>
      </c>
      <c r="T31" s="86">
        <v>62.8</v>
      </c>
      <c r="U31" s="86">
        <v>54.9</v>
      </c>
      <c r="V31" s="210">
        <v>38.700000000000003</v>
      </c>
      <c r="W31" s="86">
        <v>72.3</v>
      </c>
      <c r="X31" s="86">
        <v>60.7</v>
      </c>
      <c r="Y31" s="86">
        <v>61.7</v>
      </c>
      <c r="Z31" s="210">
        <v>31.7</v>
      </c>
      <c r="AA31" s="86">
        <v>70.2</v>
      </c>
      <c r="AB31" s="86">
        <v>82.5</v>
      </c>
      <c r="AC31" s="86">
        <v>56.8</v>
      </c>
      <c r="AD31" s="210">
        <v>34.9</v>
      </c>
      <c r="AE31" s="86">
        <v>71.099999999999994</v>
      </c>
      <c r="AF31" s="86">
        <v>55.5</v>
      </c>
      <c r="AG31" s="86">
        <v>52.2</v>
      </c>
      <c r="AH31" s="210">
        <v>31.9</v>
      </c>
      <c r="AI31" s="86">
        <v>72.3</v>
      </c>
      <c r="AJ31" s="86">
        <v>57</v>
      </c>
      <c r="AK31" s="86">
        <v>44.2</v>
      </c>
      <c r="AL31" s="210">
        <v>39.299999999999997</v>
      </c>
      <c r="AM31" s="86">
        <v>57.7</v>
      </c>
      <c r="AN31" s="86">
        <v>44.2</v>
      </c>
      <c r="AO31" s="86">
        <v>44.5</v>
      </c>
      <c r="AP31" s="210">
        <v>107.1</v>
      </c>
      <c r="AQ31" s="86">
        <v>191.1</v>
      </c>
      <c r="AR31" s="753">
        <v>225.2</v>
      </c>
      <c r="AS31" s="771">
        <v>182.5</v>
      </c>
      <c r="AT31" s="210">
        <v>137.19999999999999</v>
      </c>
      <c r="AU31" s="86">
        <v>152.4</v>
      </c>
      <c r="AV31" s="753"/>
      <c r="AW31" s="771"/>
      <c r="AX31" s="210"/>
      <c r="AY31" s="887"/>
      <c r="AZ31" s="888"/>
      <c r="BB31" s="889"/>
      <c r="BC31" s="889"/>
    </row>
    <row r="32" spans="1:55" s="15" customFormat="1" ht="20.149999999999999" customHeight="1">
      <c r="A32" s="29" t="s">
        <v>189</v>
      </c>
      <c r="B32" s="130" t="s">
        <v>211</v>
      </c>
      <c r="C32" s="18">
        <v>0</v>
      </c>
      <c r="D32" s="18">
        <f>0</f>
        <v>0</v>
      </c>
      <c r="E32" s="18">
        <v>0</v>
      </c>
      <c r="F32" s="212">
        <f>0</f>
        <v>0</v>
      </c>
      <c r="G32" s="18">
        <f>0</f>
        <v>0</v>
      </c>
      <c r="H32" s="18">
        <v>0</v>
      </c>
      <c r="I32" s="18">
        <f>0</f>
        <v>0</v>
      </c>
      <c r="J32" s="212">
        <v>0</v>
      </c>
      <c r="K32" s="31">
        <v>0</v>
      </c>
      <c r="L32" s="18" t="e">
        <f>0*($A$86)</f>
        <v>#VALUE!</v>
      </c>
      <c r="M32" s="18" t="e">
        <f>0*($A$86)</f>
        <v>#VALUE!</v>
      </c>
      <c r="N32" s="212">
        <v>22.2</v>
      </c>
      <c r="O32" s="22">
        <v>26.3</v>
      </c>
      <c r="P32" s="22">
        <v>27.3</v>
      </c>
      <c r="Q32" s="25">
        <v>3.8</v>
      </c>
      <c r="R32" s="212">
        <v>10.5</v>
      </c>
      <c r="S32" s="87">
        <v>0.2</v>
      </c>
      <c r="T32" s="87">
        <v>3.6</v>
      </c>
      <c r="U32" s="87">
        <v>4.8</v>
      </c>
      <c r="V32" s="212">
        <v>6.7</v>
      </c>
      <c r="W32" s="87">
        <v>4.9000000000000004</v>
      </c>
      <c r="X32" s="87">
        <v>5.3</v>
      </c>
      <c r="Y32" s="87">
        <v>6.4</v>
      </c>
      <c r="Z32" s="212">
        <v>5.0999999999999996</v>
      </c>
      <c r="AA32" s="87">
        <v>2.7</v>
      </c>
      <c r="AB32" s="87">
        <v>1.6</v>
      </c>
      <c r="AC32" s="87">
        <v>0.4</v>
      </c>
      <c r="AD32" s="212">
        <v>0</v>
      </c>
      <c r="AE32" s="87">
        <v>0</v>
      </c>
      <c r="AF32" s="87">
        <v>0</v>
      </c>
      <c r="AG32" s="86">
        <v>0</v>
      </c>
      <c r="AH32" s="212">
        <v>0.2</v>
      </c>
      <c r="AI32" s="87">
        <v>0</v>
      </c>
      <c r="AJ32" s="87">
        <v>0.2</v>
      </c>
      <c r="AK32" s="87">
        <v>0</v>
      </c>
      <c r="AL32" s="648">
        <v>2</v>
      </c>
      <c r="AM32" s="87">
        <v>1.6</v>
      </c>
      <c r="AN32" s="197">
        <v>1.6</v>
      </c>
      <c r="AO32" s="87">
        <v>3.6</v>
      </c>
      <c r="AP32" s="648">
        <v>60.9</v>
      </c>
      <c r="AQ32" s="197">
        <v>108.8</v>
      </c>
      <c r="AR32" s="754">
        <v>138.80000000000001</v>
      </c>
      <c r="AS32" s="780">
        <v>99.3</v>
      </c>
      <c r="AT32" s="647">
        <v>63.9</v>
      </c>
      <c r="AU32" s="197">
        <v>36.5</v>
      </c>
      <c r="AV32" s="754"/>
      <c r="AW32" s="780"/>
      <c r="AX32" s="647"/>
      <c r="AY32" s="887"/>
      <c r="AZ32" s="888"/>
      <c r="BA32" s="7"/>
      <c r="BB32" s="889"/>
      <c r="BC32" s="889"/>
    </row>
    <row r="33" spans="1:55" s="7" customFormat="1" ht="20.149999999999999" customHeight="1">
      <c r="A33" s="27" t="s">
        <v>212</v>
      </c>
      <c r="B33" s="126" t="s">
        <v>213</v>
      </c>
      <c r="C33" s="18">
        <v>0</v>
      </c>
      <c r="D33" s="18">
        <f>0</f>
        <v>0</v>
      </c>
      <c r="E33" s="18">
        <v>0</v>
      </c>
      <c r="F33" s="212">
        <v>0</v>
      </c>
      <c r="G33" s="18">
        <f>0</f>
        <v>0</v>
      </c>
      <c r="H33" s="18">
        <v>0</v>
      </c>
      <c r="I33" s="18">
        <f>0</f>
        <v>0</v>
      </c>
      <c r="J33" s="212">
        <v>0</v>
      </c>
      <c r="K33" s="31">
        <v>0</v>
      </c>
      <c r="L33" s="26">
        <v>270</v>
      </c>
      <c r="M33" s="26">
        <v>30</v>
      </c>
      <c r="N33" s="212" t="e">
        <f>0*($A$86)</f>
        <v>#VALUE!</v>
      </c>
      <c r="O33" s="17">
        <v>42.7</v>
      </c>
      <c r="P33" s="17">
        <v>43.1</v>
      </c>
      <c r="Q33" s="19">
        <v>0</v>
      </c>
      <c r="R33" s="212">
        <v>0</v>
      </c>
      <c r="S33" s="86">
        <v>12.4</v>
      </c>
      <c r="T33" s="86">
        <v>0</v>
      </c>
      <c r="U33" s="86">
        <v>0</v>
      </c>
      <c r="V33" s="212">
        <v>0</v>
      </c>
      <c r="W33" s="86">
        <v>0</v>
      </c>
      <c r="X33" s="86">
        <v>0</v>
      </c>
      <c r="Y33" s="86">
        <v>0</v>
      </c>
      <c r="Z33" s="212">
        <v>0</v>
      </c>
      <c r="AA33" s="86">
        <v>0</v>
      </c>
      <c r="AB33" s="86">
        <v>0</v>
      </c>
      <c r="AC33" s="86">
        <v>0</v>
      </c>
      <c r="AD33" s="212">
        <v>0</v>
      </c>
      <c r="AE33" s="86">
        <v>0</v>
      </c>
      <c r="AF33" s="86">
        <v>0</v>
      </c>
      <c r="AG33" s="86">
        <v>0</v>
      </c>
      <c r="AH33" s="212">
        <v>0</v>
      </c>
      <c r="AI33" s="86">
        <v>0</v>
      </c>
      <c r="AJ33" s="86">
        <v>0</v>
      </c>
      <c r="AK33" s="86">
        <v>0</v>
      </c>
      <c r="AL33" s="212">
        <v>0</v>
      </c>
      <c r="AM33" s="86">
        <v>0</v>
      </c>
      <c r="AN33" s="86">
        <v>0</v>
      </c>
      <c r="AO33" s="86">
        <v>0</v>
      </c>
      <c r="AP33" s="212">
        <v>0</v>
      </c>
      <c r="AQ33" s="86">
        <v>0</v>
      </c>
      <c r="AR33" s="753">
        <v>0</v>
      </c>
      <c r="AS33" s="753">
        <v>0</v>
      </c>
      <c r="AT33" s="212">
        <v>0</v>
      </c>
      <c r="AU33" s="86">
        <v>0</v>
      </c>
      <c r="AV33" s="753"/>
      <c r="AW33" s="753"/>
      <c r="AX33" s="212"/>
      <c r="AY33" s="887"/>
      <c r="AZ33" s="888"/>
      <c r="BB33" s="889"/>
      <c r="BC33" s="889"/>
    </row>
    <row r="34" spans="1:55" s="7" customFormat="1" ht="20.149999999999999" customHeight="1">
      <c r="A34" s="27" t="s">
        <v>214</v>
      </c>
      <c r="B34" s="126" t="s">
        <v>215</v>
      </c>
      <c r="C34" s="17">
        <f>422.627</f>
        <v>422.62700000000001</v>
      </c>
      <c r="D34" s="30">
        <f>(309519)*0.001</f>
        <v>309.51900000000001</v>
      </c>
      <c r="E34" s="30">
        <f>(225111)*0.001</f>
        <v>225.11100000000002</v>
      </c>
      <c r="F34" s="210">
        <f>(270354)*0.001</f>
        <v>270.35399999999998</v>
      </c>
      <c r="G34" s="30">
        <f>(324338)*0.001</f>
        <v>324.33800000000002</v>
      </c>
      <c r="H34" s="30">
        <f>(265803)*0.001</f>
        <v>265.803</v>
      </c>
      <c r="I34" s="30">
        <f>(215396)*0.001</f>
        <v>215.39600000000002</v>
      </c>
      <c r="J34" s="210">
        <f>(342251)*0.001</f>
        <v>342.25100000000003</v>
      </c>
      <c r="K34" s="40">
        <f>(428190)*0.001</f>
        <v>428.19</v>
      </c>
      <c r="L34" s="16">
        <v>1894.3</v>
      </c>
      <c r="M34" s="16">
        <v>1631</v>
      </c>
      <c r="N34" s="210">
        <v>1735.3</v>
      </c>
      <c r="O34" s="17">
        <v>1478.9</v>
      </c>
      <c r="P34" s="17">
        <v>1383.8</v>
      </c>
      <c r="Q34" s="16">
        <v>1059.5999999999999</v>
      </c>
      <c r="R34" s="210">
        <v>1512</v>
      </c>
      <c r="S34" s="86">
        <v>1538.6</v>
      </c>
      <c r="T34" s="86">
        <v>944.5</v>
      </c>
      <c r="U34" s="86">
        <v>1099.4000000000001</v>
      </c>
      <c r="V34" s="210">
        <v>1326</v>
      </c>
      <c r="W34" s="86">
        <v>1567.7</v>
      </c>
      <c r="X34" s="86">
        <v>1354.6</v>
      </c>
      <c r="Y34" s="86">
        <v>1080.2</v>
      </c>
      <c r="Z34" s="210">
        <v>1161.5</v>
      </c>
      <c r="AA34" s="86">
        <v>785.9</v>
      </c>
      <c r="AB34" s="86">
        <v>876.1</v>
      </c>
      <c r="AC34" s="86">
        <v>1151.5</v>
      </c>
      <c r="AD34" s="210">
        <v>1167</v>
      </c>
      <c r="AE34" s="86">
        <v>745.7</v>
      </c>
      <c r="AF34" s="86">
        <v>774.9</v>
      </c>
      <c r="AG34" s="86">
        <v>878.2</v>
      </c>
      <c r="AH34" s="210">
        <v>743.5</v>
      </c>
      <c r="AI34" s="86">
        <v>1130.5999999999999</v>
      </c>
      <c r="AJ34" s="86">
        <v>1310.4000000000001</v>
      </c>
      <c r="AK34" s="86">
        <v>1153.0999999999999</v>
      </c>
      <c r="AL34" s="210">
        <v>1355.4</v>
      </c>
      <c r="AM34" s="86">
        <v>1147.5999999999999</v>
      </c>
      <c r="AN34" s="86">
        <v>659.8</v>
      </c>
      <c r="AO34" s="86">
        <v>7462.8</v>
      </c>
      <c r="AP34" s="210">
        <v>3632.4</v>
      </c>
      <c r="AQ34" s="86">
        <v>3342.9</v>
      </c>
      <c r="AR34" s="753">
        <v>1053</v>
      </c>
      <c r="AS34" s="773">
        <v>1586</v>
      </c>
      <c r="AT34" s="210">
        <v>808.5</v>
      </c>
      <c r="AU34" s="86">
        <v>1463.5</v>
      </c>
      <c r="AV34" s="753"/>
      <c r="AW34" s="773"/>
      <c r="AX34" s="210"/>
      <c r="AY34" s="887"/>
      <c r="AZ34" s="888"/>
      <c r="BB34" s="889"/>
      <c r="BC34" s="889"/>
    </row>
    <row r="35" spans="1:55" s="7" customFormat="1" ht="20.149999999999999" customHeight="1" thickBot="1">
      <c r="A35" s="27" t="s">
        <v>216</v>
      </c>
      <c r="B35" s="126" t="s">
        <v>217</v>
      </c>
      <c r="C35" s="18">
        <v>0</v>
      </c>
      <c r="D35" s="18">
        <f>0</f>
        <v>0</v>
      </c>
      <c r="E35" s="18">
        <f>0</f>
        <v>0</v>
      </c>
      <c r="F35" s="212">
        <v>0</v>
      </c>
      <c r="G35" s="18">
        <f>0</f>
        <v>0</v>
      </c>
      <c r="H35" s="18">
        <v>0</v>
      </c>
      <c r="I35" s="18">
        <f>0</f>
        <v>0</v>
      </c>
      <c r="J35" s="212">
        <v>0</v>
      </c>
      <c r="K35" s="31">
        <v>0</v>
      </c>
      <c r="L35" s="26">
        <v>12.6</v>
      </c>
      <c r="M35" s="26">
        <v>12.2</v>
      </c>
      <c r="N35" s="212">
        <v>12.6</v>
      </c>
      <c r="O35" s="17">
        <v>12.7</v>
      </c>
      <c r="P35" s="17">
        <v>12.8</v>
      </c>
      <c r="Q35" s="26">
        <v>12.4</v>
      </c>
      <c r="R35" s="212">
        <v>11.7</v>
      </c>
      <c r="S35" s="86">
        <v>31.4</v>
      </c>
      <c r="T35" s="86">
        <v>10.9</v>
      </c>
      <c r="U35" s="86">
        <v>10.8</v>
      </c>
      <c r="V35" s="212">
        <v>10.7</v>
      </c>
      <c r="W35" s="86">
        <v>9.6</v>
      </c>
      <c r="X35" s="86">
        <v>8</v>
      </c>
      <c r="Y35" s="86">
        <v>8.1999999999999993</v>
      </c>
      <c r="Z35" s="212">
        <v>10.5</v>
      </c>
      <c r="AA35" s="86">
        <v>11.6</v>
      </c>
      <c r="AB35" s="86">
        <v>11.7</v>
      </c>
      <c r="AC35" s="86">
        <v>11.6</v>
      </c>
      <c r="AD35" s="212">
        <v>11.7</v>
      </c>
      <c r="AE35" s="86">
        <v>11.3</v>
      </c>
      <c r="AF35" s="86">
        <v>8.9</v>
      </c>
      <c r="AG35" s="86">
        <v>8</v>
      </c>
      <c r="AH35" s="212">
        <v>9.6</v>
      </c>
      <c r="AI35" s="86">
        <v>10.199999999999999</v>
      </c>
      <c r="AJ35" s="86">
        <v>10.1</v>
      </c>
      <c r="AK35" s="86">
        <v>11.1</v>
      </c>
      <c r="AL35" s="212">
        <v>10.4</v>
      </c>
      <c r="AM35" s="86">
        <v>11.2</v>
      </c>
      <c r="AN35" s="86">
        <v>8.6999999999999993</v>
      </c>
      <c r="AO35" s="86">
        <v>9.5</v>
      </c>
      <c r="AP35" s="210">
        <v>11.9</v>
      </c>
      <c r="AQ35" s="86">
        <v>10.8</v>
      </c>
      <c r="AR35" s="753">
        <v>9</v>
      </c>
      <c r="AS35" s="86">
        <v>10.1</v>
      </c>
      <c r="AT35" s="210">
        <v>9.3000000000000007</v>
      </c>
      <c r="AU35" s="86">
        <v>9.9</v>
      </c>
      <c r="AV35" s="753"/>
      <c r="AW35" s="86"/>
      <c r="AX35" s="210"/>
      <c r="AY35" s="887"/>
      <c r="AZ35" s="888"/>
      <c r="BB35" s="889"/>
      <c r="BC35" s="889"/>
    </row>
    <row r="36" spans="1:55" s="226" customFormat="1" ht="25" customHeight="1" thickBot="1">
      <c r="A36" s="400" t="s">
        <v>218</v>
      </c>
      <c r="B36" s="400" t="s">
        <v>219</v>
      </c>
      <c r="C36" s="401">
        <f t="shared" ref="C36:M36" si="2">SUM(C24:C35)</f>
        <v>1273.798</v>
      </c>
      <c r="D36" s="402">
        <f t="shared" si="2"/>
        <v>1172.6559999999999</v>
      </c>
      <c r="E36" s="402">
        <f t="shared" si="2"/>
        <v>1058.173</v>
      </c>
      <c r="F36" s="403">
        <f t="shared" si="2"/>
        <v>1085.1969999999999</v>
      </c>
      <c r="G36" s="402">
        <f t="shared" si="2"/>
        <v>1204.625</v>
      </c>
      <c r="H36" s="402">
        <f t="shared" si="2"/>
        <v>1164.163</v>
      </c>
      <c r="I36" s="402">
        <f t="shared" si="2"/>
        <v>1161.885</v>
      </c>
      <c r="J36" s="403">
        <f t="shared" si="2"/>
        <v>1220.3850000000002</v>
      </c>
      <c r="K36" s="401">
        <f t="shared" si="2"/>
        <v>1396.8419999999999</v>
      </c>
      <c r="L36" s="402" t="e">
        <f t="shared" si="2"/>
        <v>#VALUE!</v>
      </c>
      <c r="M36" s="402" t="e">
        <f t="shared" si="2"/>
        <v>#VALUE!</v>
      </c>
      <c r="N36" s="403" t="e">
        <f t="shared" ref="N36:AT36" si="3">SUM(N24:N35)-N32</f>
        <v>#VALUE!</v>
      </c>
      <c r="O36" s="401" t="e">
        <f t="shared" si="3"/>
        <v>#VALUE!</v>
      </c>
      <c r="P36" s="402">
        <f t="shared" si="3"/>
        <v>4274.2</v>
      </c>
      <c r="Q36" s="402">
        <f t="shared" si="3"/>
        <v>3747.2000000000003</v>
      </c>
      <c r="R36" s="403">
        <f t="shared" si="3"/>
        <v>4228.8999999999987</v>
      </c>
      <c r="S36" s="401">
        <f t="shared" si="3"/>
        <v>3866.0000000000005</v>
      </c>
      <c r="T36" s="402">
        <f t="shared" si="3"/>
        <v>3203.3</v>
      </c>
      <c r="U36" s="402">
        <f t="shared" si="3"/>
        <v>3445.5000000000005</v>
      </c>
      <c r="V36" s="403">
        <f t="shared" si="3"/>
        <v>3770.3999999999992</v>
      </c>
      <c r="W36" s="401">
        <f t="shared" si="3"/>
        <v>3911.1000000000004</v>
      </c>
      <c r="X36" s="402">
        <f t="shared" si="3"/>
        <v>3862.9</v>
      </c>
      <c r="Y36" s="402">
        <f t="shared" si="3"/>
        <v>3676.6</v>
      </c>
      <c r="Z36" s="403">
        <f t="shared" si="3"/>
        <v>3931.5</v>
      </c>
      <c r="AA36" s="401">
        <f t="shared" si="3"/>
        <v>4363.8</v>
      </c>
      <c r="AB36" s="402">
        <f t="shared" si="3"/>
        <v>4827.2</v>
      </c>
      <c r="AC36" s="402">
        <f t="shared" si="3"/>
        <v>5300.0000000000009</v>
      </c>
      <c r="AD36" s="403">
        <f t="shared" si="3"/>
        <v>5422.7</v>
      </c>
      <c r="AE36" s="401">
        <f t="shared" si="3"/>
        <v>4952.3000000000011</v>
      </c>
      <c r="AF36" s="402">
        <f t="shared" si="3"/>
        <v>4886.0999999999985</v>
      </c>
      <c r="AG36" s="402">
        <f t="shared" si="3"/>
        <v>5013.3999999999996</v>
      </c>
      <c r="AH36" s="403">
        <f t="shared" si="3"/>
        <v>4984.8999999999996</v>
      </c>
      <c r="AI36" s="401">
        <f t="shared" si="3"/>
        <v>5339.8</v>
      </c>
      <c r="AJ36" s="402">
        <f t="shared" si="3"/>
        <v>5513.2</v>
      </c>
      <c r="AK36" s="402">
        <f t="shared" si="3"/>
        <v>5282.3000000000011</v>
      </c>
      <c r="AL36" s="403">
        <f t="shared" si="3"/>
        <v>5277.2000000000007</v>
      </c>
      <c r="AM36" s="401">
        <f t="shared" si="3"/>
        <v>5114.2999999999993</v>
      </c>
      <c r="AN36" s="402">
        <f t="shared" si="3"/>
        <v>4780.8</v>
      </c>
      <c r="AO36" s="402">
        <f t="shared" si="3"/>
        <v>12037.9</v>
      </c>
      <c r="AP36" s="403">
        <f t="shared" si="3"/>
        <v>8077.3000000000011</v>
      </c>
      <c r="AQ36" s="401">
        <f t="shared" si="3"/>
        <v>8023.6</v>
      </c>
      <c r="AR36" s="755">
        <f t="shared" si="3"/>
        <v>6134.7</v>
      </c>
      <c r="AS36" s="402">
        <f t="shared" si="3"/>
        <v>6747.7000000000007</v>
      </c>
      <c r="AT36" s="403">
        <f t="shared" si="3"/>
        <v>6403.6</v>
      </c>
      <c r="AU36" s="401">
        <f t="shared" ref="AU36:AX36" si="4">SUM(AU24:AU35)-AU32</f>
        <v>6966.2999999999993</v>
      </c>
      <c r="AV36" s="755">
        <f t="shared" si="4"/>
        <v>0</v>
      </c>
      <c r="AW36" s="402">
        <f t="shared" si="4"/>
        <v>0</v>
      </c>
      <c r="AX36" s="403">
        <f t="shared" si="4"/>
        <v>0</v>
      </c>
      <c r="AY36" s="887"/>
      <c r="AZ36" s="888"/>
      <c r="BA36" s="7"/>
      <c r="BB36" s="889"/>
      <c r="BC36" s="889"/>
    </row>
    <row r="37" spans="1:55" s="7" customFormat="1" ht="20.149999999999999" customHeight="1">
      <c r="A37" s="225" t="s">
        <v>220</v>
      </c>
      <c r="B37" s="208" t="s">
        <v>221</v>
      </c>
      <c r="C37" s="18"/>
      <c r="D37" s="18"/>
      <c r="E37" s="18"/>
      <c r="F37" s="212"/>
      <c r="G37" s="18"/>
      <c r="H37" s="18"/>
      <c r="I37" s="18"/>
      <c r="J37" s="212"/>
      <c r="K37" s="31"/>
      <c r="L37" s="26"/>
      <c r="M37" s="26"/>
      <c r="N37" s="212"/>
      <c r="O37" s="17"/>
      <c r="P37" s="17"/>
      <c r="Q37" s="19"/>
      <c r="R37" s="212"/>
      <c r="S37" s="86"/>
      <c r="T37" s="86"/>
      <c r="U37" s="86"/>
      <c r="V37" s="212"/>
      <c r="W37" s="86"/>
      <c r="X37" s="86"/>
      <c r="Y37" s="86"/>
      <c r="Z37" s="212"/>
      <c r="AA37" s="86"/>
      <c r="AB37" s="86"/>
      <c r="AC37" s="86"/>
      <c r="AD37" s="212"/>
      <c r="AE37" s="86"/>
      <c r="AF37" s="86"/>
      <c r="AG37" s="86"/>
      <c r="AH37" s="212"/>
      <c r="AI37" s="86"/>
      <c r="AJ37" s="86"/>
      <c r="AK37" s="86"/>
      <c r="AL37" s="212"/>
      <c r="AM37" s="86">
        <v>3574.4</v>
      </c>
      <c r="AN37" s="209">
        <v>4581.1000000000004</v>
      </c>
      <c r="AO37" s="86">
        <v>0</v>
      </c>
      <c r="AP37" s="212">
        <v>0</v>
      </c>
      <c r="AQ37" s="86"/>
      <c r="AR37" s="545"/>
      <c r="AS37" s="86"/>
      <c r="AT37" s="210">
        <v>127.7</v>
      </c>
      <c r="AU37" s="86">
        <v>127.7</v>
      </c>
      <c r="AV37" s="545"/>
      <c r="AW37" s="86"/>
      <c r="AX37" s="210"/>
      <c r="AY37" s="887"/>
      <c r="AZ37" s="888"/>
      <c r="BB37" s="889"/>
      <c r="BC37" s="889"/>
    </row>
    <row r="38" spans="1:55" s="7" customFormat="1" ht="20.149999999999999" customHeight="1">
      <c r="A38" s="395" t="s">
        <v>222</v>
      </c>
      <c r="B38" s="396" t="s">
        <v>223</v>
      </c>
      <c r="C38" s="18"/>
      <c r="D38" s="18"/>
      <c r="E38" s="18"/>
      <c r="F38" s="212"/>
      <c r="G38" s="18"/>
      <c r="H38" s="18"/>
      <c r="I38" s="18"/>
      <c r="J38" s="212"/>
      <c r="K38" s="31"/>
      <c r="L38" s="26"/>
      <c r="M38" s="26"/>
      <c r="N38" s="212"/>
      <c r="O38" s="17"/>
      <c r="P38" s="17"/>
      <c r="Q38" s="19"/>
      <c r="R38" s="212"/>
      <c r="S38" s="86"/>
      <c r="T38" s="86"/>
      <c r="U38" s="86"/>
      <c r="V38" s="212"/>
      <c r="W38" s="86"/>
      <c r="X38" s="86"/>
      <c r="Y38" s="86"/>
      <c r="Z38" s="212"/>
      <c r="AA38" s="86"/>
      <c r="AB38" s="86"/>
      <c r="AC38" s="86"/>
      <c r="AD38" s="212"/>
      <c r="AE38" s="86"/>
      <c r="AF38" s="86"/>
      <c r="AG38" s="86"/>
      <c r="AH38" s="212"/>
      <c r="AI38" s="86"/>
      <c r="AJ38" s="86"/>
      <c r="AK38" s="86"/>
      <c r="AL38" s="212"/>
      <c r="AM38" s="87">
        <v>108.5</v>
      </c>
      <c r="AN38" s="87">
        <v>95.5</v>
      </c>
      <c r="AO38" s="86">
        <v>0</v>
      </c>
      <c r="AP38" s="212"/>
      <c r="AQ38" s="87"/>
      <c r="AR38" s="756"/>
      <c r="AS38" s="86"/>
      <c r="AT38" s="212"/>
      <c r="AU38" s="87"/>
      <c r="AV38" s="756"/>
      <c r="AW38" s="86"/>
      <c r="AX38" s="212"/>
      <c r="AY38" s="887"/>
      <c r="AZ38" s="888"/>
      <c r="BB38" s="889"/>
      <c r="BC38" s="889"/>
    </row>
    <row r="39" spans="1:55" s="227" customFormat="1" ht="25" customHeight="1">
      <c r="A39" s="391" t="s">
        <v>224</v>
      </c>
      <c r="B39" s="391" t="s">
        <v>225</v>
      </c>
      <c r="C39" s="392">
        <f t="shared" ref="C39:AL39" si="5">C23+C36</f>
        <v>5502.7539999999999</v>
      </c>
      <c r="D39" s="393">
        <f t="shared" si="5"/>
        <v>5597.8010000000004</v>
      </c>
      <c r="E39" s="393">
        <f t="shared" si="5"/>
        <v>5514.8739999999998</v>
      </c>
      <c r="F39" s="394">
        <f t="shared" si="5"/>
        <v>5561.3450000000003</v>
      </c>
      <c r="G39" s="393">
        <f t="shared" si="5"/>
        <v>5629.4740000000011</v>
      </c>
      <c r="H39" s="393">
        <f t="shared" si="5"/>
        <v>5592.7070000000003</v>
      </c>
      <c r="I39" s="393">
        <f t="shared" si="5"/>
        <v>5597.9810000000007</v>
      </c>
      <c r="J39" s="394">
        <f t="shared" si="5"/>
        <v>5676.2300000000005</v>
      </c>
      <c r="K39" s="392">
        <f t="shared" si="5"/>
        <v>5851.1940000000004</v>
      </c>
      <c r="L39" s="393" t="e">
        <f t="shared" si="5"/>
        <v>#VALUE!</v>
      </c>
      <c r="M39" s="393" t="e">
        <f t="shared" si="5"/>
        <v>#VALUE!</v>
      </c>
      <c r="N39" s="394" t="e">
        <f t="shared" si="5"/>
        <v>#VALUE!</v>
      </c>
      <c r="O39" s="392" t="e">
        <f t="shared" si="5"/>
        <v>#VALUE!</v>
      </c>
      <c r="P39" s="393">
        <f t="shared" si="5"/>
        <v>27141.8</v>
      </c>
      <c r="Q39" s="393">
        <f t="shared" si="5"/>
        <v>26143.5</v>
      </c>
      <c r="R39" s="394">
        <f t="shared" si="5"/>
        <v>26490.099999999995</v>
      </c>
      <c r="S39" s="392">
        <f t="shared" si="5"/>
        <v>28355.499999999996</v>
      </c>
      <c r="T39" s="393">
        <f t="shared" si="5"/>
        <v>27581.1</v>
      </c>
      <c r="U39" s="393">
        <f t="shared" si="5"/>
        <v>27493.100000000002</v>
      </c>
      <c r="V39" s="394">
        <f t="shared" si="5"/>
        <v>27729.299999999996</v>
      </c>
      <c r="W39" s="392">
        <f t="shared" si="5"/>
        <v>27553.199999999997</v>
      </c>
      <c r="X39" s="393">
        <f t="shared" si="5"/>
        <v>27317.5</v>
      </c>
      <c r="Y39" s="393">
        <f t="shared" si="5"/>
        <v>26892.599999999995</v>
      </c>
      <c r="Z39" s="394">
        <f t="shared" si="5"/>
        <v>27756</v>
      </c>
      <c r="AA39" s="392">
        <f t="shared" si="5"/>
        <v>27894.399999999998</v>
      </c>
      <c r="AB39" s="393">
        <f t="shared" si="5"/>
        <v>29751.599999999999</v>
      </c>
      <c r="AC39" s="393">
        <f t="shared" si="5"/>
        <v>30395.3</v>
      </c>
      <c r="AD39" s="394">
        <f t="shared" si="5"/>
        <v>30696.800000000003</v>
      </c>
      <c r="AE39" s="392">
        <f t="shared" si="5"/>
        <v>31463.800000000003</v>
      </c>
      <c r="AF39" s="393">
        <f t="shared" si="5"/>
        <v>31359.200000000001</v>
      </c>
      <c r="AG39" s="393">
        <f t="shared" si="5"/>
        <v>31277.699999999997</v>
      </c>
      <c r="AH39" s="394">
        <f t="shared" si="5"/>
        <v>32589.599999999999</v>
      </c>
      <c r="AI39" s="392">
        <f t="shared" si="5"/>
        <v>32658.700000000004</v>
      </c>
      <c r="AJ39" s="393">
        <f t="shared" si="5"/>
        <v>32622.799999999996</v>
      </c>
      <c r="AK39" s="393">
        <f t="shared" si="5"/>
        <v>32814.1</v>
      </c>
      <c r="AL39" s="394">
        <f t="shared" si="5"/>
        <v>33115</v>
      </c>
      <c r="AM39" s="392">
        <f>AM23+AM36+AM37</f>
        <v>32954.499999999993</v>
      </c>
      <c r="AN39" s="393">
        <f>AN23+AN36+AN37</f>
        <v>32922.299999999996</v>
      </c>
      <c r="AO39" s="393">
        <f>AO23+AO36</f>
        <v>35967.399999999994</v>
      </c>
      <c r="AP39" s="394">
        <f>AP23+AP36</f>
        <v>32237</v>
      </c>
      <c r="AQ39" s="393">
        <f>AQ23+AQ36+AQ37</f>
        <v>31895.199999999997</v>
      </c>
      <c r="AR39" s="393">
        <f>AR23+AR36+AR37</f>
        <v>31814.000000000004</v>
      </c>
      <c r="AS39" s="393">
        <f>AS23+AS36</f>
        <v>31686.199999999993</v>
      </c>
      <c r="AT39" s="394">
        <f>AT23+AT36+AT37</f>
        <v>32306.600000000002</v>
      </c>
      <c r="AU39" s="393">
        <f>AU23+AU36+AU37</f>
        <v>32810.6</v>
      </c>
      <c r="AV39" s="393">
        <f>AV23+AV36+AV37</f>
        <v>0</v>
      </c>
      <c r="AW39" s="393">
        <f>AW23+AW36</f>
        <v>0</v>
      </c>
      <c r="AX39" s="394">
        <f>AX23+AX36+AX37</f>
        <v>0</v>
      </c>
      <c r="AY39" s="887"/>
      <c r="AZ39" s="888"/>
      <c r="BA39" s="7"/>
      <c r="BB39" s="889"/>
      <c r="BC39" s="889"/>
    </row>
    <row r="40" spans="1:55" s="399" customFormat="1" ht="38.25" customHeight="1">
      <c r="A40" s="397" t="s">
        <v>226</v>
      </c>
      <c r="B40" s="398" t="s">
        <v>227</v>
      </c>
      <c r="C40" s="436"/>
      <c r="D40" s="436"/>
      <c r="E40" s="437"/>
      <c r="F40" s="438"/>
      <c r="G40" s="436"/>
      <c r="H40" s="436"/>
      <c r="I40" s="437"/>
      <c r="J40" s="438"/>
      <c r="K40" s="436"/>
      <c r="L40" s="436"/>
      <c r="M40" s="437"/>
      <c r="N40" s="438"/>
      <c r="O40" s="436"/>
      <c r="P40" s="436"/>
      <c r="Q40" s="437"/>
      <c r="R40" s="438"/>
      <c r="S40" s="436"/>
      <c r="T40" s="436"/>
      <c r="U40" s="437"/>
      <c r="V40" s="438"/>
      <c r="W40" s="436"/>
      <c r="X40" s="436"/>
      <c r="Y40" s="437"/>
      <c r="Z40" s="438"/>
      <c r="AA40" s="436"/>
      <c r="AB40" s="436"/>
      <c r="AC40" s="437"/>
      <c r="AD40" s="438"/>
      <c r="AE40" s="436"/>
      <c r="AF40" s="436"/>
      <c r="AG40" s="437"/>
      <c r="AH40" s="438"/>
      <c r="AI40" s="436"/>
      <c r="AJ40" s="436"/>
      <c r="AK40" s="437"/>
      <c r="AL40" s="438"/>
      <c r="AM40" s="436"/>
      <c r="AN40" s="436"/>
      <c r="AO40" s="437"/>
      <c r="AP40" s="438"/>
      <c r="AQ40" s="436"/>
      <c r="AR40" s="436"/>
      <c r="AS40" s="437"/>
      <c r="AT40" s="438"/>
      <c r="AU40" s="436"/>
      <c r="AV40" s="436"/>
      <c r="AW40" s="437"/>
      <c r="AX40" s="438"/>
      <c r="AY40" s="887"/>
      <c r="AZ40" s="888"/>
      <c r="BA40" s="7"/>
      <c r="BB40" s="889"/>
      <c r="BC40" s="889"/>
    </row>
    <row r="41" spans="1:55" s="7" customFormat="1" ht="20.149999999999999" customHeight="1">
      <c r="A41" s="27" t="s">
        <v>228</v>
      </c>
      <c r="B41" s="126" t="s">
        <v>229</v>
      </c>
      <c r="C41" s="41">
        <f>13.934</f>
        <v>13.933999999999999</v>
      </c>
      <c r="D41" s="41">
        <f t="shared" ref="D41:K41" si="6">(13934)*0.001</f>
        <v>13.934000000000001</v>
      </c>
      <c r="E41" s="41">
        <f t="shared" si="6"/>
        <v>13.934000000000001</v>
      </c>
      <c r="F41" s="236">
        <f t="shared" si="6"/>
        <v>13.934000000000001</v>
      </c>
      <c r="G41" s="237">
        <f t="shared" si="6"/>
        <v>13.934000000000001</v>
      </c>
      <c r="H41" s="237">
        <f t="shared" si="6"/>
        <v>13.934000000000001</v>
      </c>
      <c r="I41" s="237">
        <f t="shared" si="6"/>
        <v>13.934000000000001</v>
      </c>
      <c r="J41" s="237">
        <f t="shared" si="6"/>
        <v>13.934000000000001</v>
      </c>
      <c r="K41" s="249">
        <f t="shared" si="6"/>
        <v>13.934000000000001</v>
      </c>
      <c r="L41" s="235">
        <v>25.6</v>
      </c>
      <c r="M41" s="235">
        <v>25.6</v>
      </c>
      <c r="N41" s="242">
        <v>25.6</v>
      </c>
      <c r="O41" s="245">
        <v>25.6</v>
      </c>
      <c r="P41" s="245">
        <v>25.6</v>
      </c>
      <c r="Q41" s="245">
        <v>25.6</v>
      </c>
      <c r="R41" s="218">
        <v>25.6</v>
      </c>
      <c r="S41" s="217">
        <v>25.6</v>
      </c>
      <c r="T41" s="217">
        <v>25.6</v>
      </c>
      <c r="U41" s="217">
        <v>25.6</v>
      </c>
      <c r="V41" s="218">
        <v>25.6</v>
      </c>
      <c r="W41" s="217">
        <v>25.6</v>
      </c>
      <c r="X41" s="217">
        <v>25.6</v>
      </c>
      <c r="Y41" s="217">
        <v>25.6</v>
      </c>
      <c r="Z41" s="218">
        <v>25.6</v>
      </c>
      <c r="AA41" s="217">
        <v>25.6</v>
      </c>
      <c r="AB41" s="217">
        <v>25.6</v>
      </c>
      <c r="AC41" s="217">
        <v>25.6</v>
      </c>
      <c r="AD41" s="218">
        <v>25.6</v>
      </c>
      <c r="AE41" s="217">
        <v>25.6</v>
      </c>
      <c r="AF41" s="217">
        <v>25.6</v>
      </c>
      <c r="AG41" s="217">
        <v>25.6</v>
      </c>
      <c r="AH41" s="218">
        <v>25.6</v>
      </c>
      <c r="AI41" s="217">
        <v>25.6</v>
      </c>
      <c r="AJ41" s="217">
        <v>25.6</v>
      </c>
      <c r="AK41" s="217">
        <v>25.6</v>
      </c>
      <c r="AL41" s="218">
        <v>25.6</v>
      </c>
      <c r="AM41" s="217">
        <v>25.6</v>
      </c>
      <c r="AN41" s="217">
        <v>25.6</v>
      </c>
      <c r="AO41" s="217">
        <v>25.6</v>
      </c>
      <c r="AP41" s="218">
        <v>25.6</v>
      </c>
      <c r="AQ41" s="217">
        <v>25.6</v>
      </c>
      <c r="AR41" s="217">
        <v>25.6</v>
      </c>
      <c r="AS41" s="217">
        <v>25.6</v>
      </c>
      <c r="AT41" s="805">
        <v>25.6</v>
      </c>
      <c r="AU41" s="217">
        <v>25.6</v>
      </c>
      <c r="AV41" s="217"/>
      <c r="AW41" s="217"/>
      <c r="AX41" s="805"/>
      <c r="AY41" s="887"/>
      <c r="AZ41" s="888"/>
      <c r="BB41" s="889"/>
      <c r="BC41" s="889"/>
    </row>
    <row r="42" spans="1:55" s="7" customFormat="1" ht="20.149999999999999" customHeight="1">
      <c r="A42" s="27" t="s">
        <v>230</v>
      </c>
      <c r="B42" s="126" t="s">
        <v>231</v>
      </c>
      <c r="C42" s="41">
        <f>432.265</f>
        <v>432.26499999999999</v>
      </c>
      <c r="D42" s="24">
        <v>0</v>
      </c>
      <c r="E42" s="24">
        <v>0</v>
      </c>
      <c r="F42" s="228">
        <v>0</v>
      </c>
      <c r="G42" s="229">
        <v>0</v>
      </c>
      <c r="H42" s="229">
        <v>0</v>
      </c>
      <c r="I42" s="229">
        <v>0</v>
      </c>
      <c r="J42" s="229">
        <v>0</v>
      </c>
      <c r="K42" s="230">
        <v>0</v>
      </c>
      <c r="L42" s="229">
        <v>0</v>
      </c>
      <c r="M42" s="229">
        <v>0</v>
      </c>
      <c r="N42" s="228">
        <v>0</v>
      </c>
      <c r="O42" s="229">
        <v>0</v>
      </c>
      <c r="P42" s="229">
        <v>0</v>
      </c>
      <c r="Q42" s="229">
        <v>0</v>
      </c>
      <c r="R42" s="218">
        <v>0</v>
      </c>
      <c r="S42" s="219">
        <v>0</v>
      </c>
      <c r="T42" s="219">
        <v>0</v>
      </c>
      <c r="U42" s="219">
        <v>0</v>
      </c>
      <c r="V42" s="218">
        <v>0</v>
      </c>
      <c r="W42" s="219">
        <v>0</v>
      </c>
      <c r="X42" s="219">
        <v>0</v>
      </c>
      <c r="Y42" s="219">
        <v>0</v>
      </c>
      <c r="Z42" s="218">
        <v>0</v>
      </c>
      <c r="AA42" s="219">
        <v>0</v>
      </c>
      <c r="AB42" s="219">
        <v>0</v>
      </c>
      <c r="AC42" s="219">
        <v>0</v>
      </c>
      <c r="AD42" s="218">
        <v>0</v>
      </c>
      <c r="AE42" s="219">
        <v>0</v>
      </c>
      <c r="AF42" s="219">
        <v>0</v>
      </c>
      <c r="AG42" s="219">
        <v>0</v>
      </c>
      <c r="AH42" s="218">
        <v>0</v>
      </c>
      <c r="AI42" s="219">
        <v>0</v>
      </c>
      <c r="AJ42" s="219">
        <v>0</v>
      </c>
      <c r="AK42" s="219">
        <v>0</v>
      </c>
      <c r="AL42" s="218">
        <v>0</v>
      </c>
      <c r="AM42" s="219">
        <v>0</v>
      </c>
      <c r="AN42" s="219">
        <v>0</v>
      </c>
      <c r="AO42" s="219">
        <v>0</v>
      </c>
      <c r="AP42" s="218">
        <v>0</v>
      </c>
      <c r="AQ42" s="219">
        <v>0</v>
      </c>
      <c r="AR42" s="219">
        <v>0</v>
      </c>
      <c r="AS42" s="219">
        <v>0</v>
      </c>
      <c r="AT42" s="805">
        <v>0</v>
      </c>
      <c r="AU42" s="219">
        <v>0</v>
      </c>
      <c r="AV42" s="219"/>
      <c r="AW42" s="219"/>
      <c r="AX42" s="805"/>
      <c r="AY42" s="887"/>
      <c r="AZ42" s="888"/>
      <c r="BB42" s="889"/>
      <c r="BC42" s="889"/>
    </row>
    <row r="43" spans="1:55" s="7" customFormat="1" ht="20.149999999999999" customHeight="1">
      <c r="A43" s="27" t="s">
        <v>232</v>
      </c>
      <c r="B43" s="126" t="s">
        <v>233</v>
      </c>
      <c r="C43" s="41">
        <f>1305.277</f>
        <v>1305.277</v>
      </c>
      <c r="D43" s="24">
        <v>0</v>
      </c>
      <c r="E43" s="24">
        <v>0</v>
      </c>
      <c r="F43" s="228">
        <v>0</v>
      </c>
      <c r="G43" s="229">
        <v>0</v>
      </c>
      <c r="H43" s="229">
        <v>0</v>
      </c>
      <c r="I43" s="229">
        <v>0</v>
      </c>
      <c r="J43" s="229">
        <v>0</v>
      </c>
      <c r="K43" s="230">
        <v>0</v>
      </c>
      <c r="L43" s="229">
        <v>0</v>
      </c>
      <c r="M43" s="229">
        <v>0</v>
      </c>
      <c r="N43" s="228">
        <v>0</v>
      </c>
      <c r="O43" s="229">
        <v>0</v>
      </c>
      <c r="P43" s="229">
        <v>0</v>
      </c>
      <c r="Q43" s="229">
        <v>0</v>
      </c>
      <c r="R43" s="218">
        <v>0</v>
      </c>
      <c r="S43" s="219">
        <v>0</v>
      </c>
      <c r="T43" s="219">
        <v>0</v>
      </c>
      <c r="U43" s="219">
        <v>0</v>
      </c>
      <c r="V43" s="218">
        <v>0</v>
      </c>
      <c r="W43" s="219">
        <v>0</v>
      </c>
      <c r="X43" s="219">
        <v>0</v>
      </c>
      <c r="Y43" s="219">
        <v>0</v>
      </c>
      <c r="Z43" s="218">
        <v>0</v>
      </c>
      <c r="AA43" s="219">
        <v>0</v>
      </c>
      <c r="AB43" s="219">
        <v>0</v>
      </c>
      <c r="AC43" s="219">
        <v>0</v>
      </c>
      <c r="AD43" s="218">
        <v>0</v>
      </c>
      <c r="AE43" s="219">
        <v>0</v>
      </c>
      <c r="AF43" s="219">
        <v>0</v>
      </c>
      <c r="AG43" s="219">
        <v>0</v>
      </c>
      <c r="AH43" s="218">
        <v>0</v>
      </c>
      <c r="AI43" s="219">
        <v>0</v>
      </c>
      <c r="AJ43" s="219">
        <v>0</v>
      </c>
      <c r="AK43" s="219">
        <v>0</v>
      </c>
      <c r="AL43" s="218">
        <v>0</v>
      </c>
      <c r="AM43" s="219">
        <v>0</v>
      </c>
      <c r="AN43" s="219">
        <v>0</v>
      </c>
      <c r="AO43" s="219">
        <v>0</v>
      </c>
      <c r="AP43" s="218">
        <v>0</v>
      </c>
      <c r="AQ43" s="219">
        <v>0</v>
      </c>
      <c r="AR43" s="219">
        <v>0</v>
      </c>
      <c r="AS43" s="219">
        <v>0</v>
      </c>
      <c r="AT43" s="805">
        <v>0</v>
      </c>
      <c r="AU43" s="219">
        <v>0</v>
      </c>
      <c r="AV43" s="219"/>
      <c r="AW43" s="219"/>
      <c r="AX43" s="805"/>
      <c r="AY43" s="887"/>
      <c r="AZ43" s="888"/>
      <c r="BB43" s="889"/>
      <c r="BC43" s="889"/>
    </row>
    <row r="44" spans="1:55" s="7" customFormat="1" ht="20.149999999999999" customHeight="1">
      <c r="A44" s="27" t="s">
        <v>234</v>
      </c>
      <c r="B44" s="126" t="s">
        <v>235</v>
      </c>
      <c r="C44" s="24">
        <v>0</v>
      </c>
      <c r="D44" s="17">
        <f t="shared" ref="D44:K44" si="7">(1295103)*0.001</f>
        <v>1295.1030000000001</v>
      </c>
      <c r="E44" s="17">
        <f t="shared" si="7"/>
        <v>1295.1030000000001</v>
      </c>
      <c r="F44" s="231">
        <f t="shared" si="7"/>
        <v>1295.1030000000001</v>
      </c>
      <c r="G44" s="232">
        <f t="shared" si="7"/>
        <v>1295.1030000000001</v>
      </c>
      <c r="H44" s="232">
        <f t="shared" si="7"/>
        <v>1295.1030000000001</v>
      </c>
      <c r="I44" s="232">
        <f t="shared" si="7"/>
        <v>1295.1030000000001</v>
      </c>
      <c r="J44" s="231">
        <f t="shared" si="7"/>
        <v>1295.1030000000001</v>
      </c>
      <c r="K44" s="232">
        <f t="shared" si="7"/>
        <v>1295.1030000000001</v>
      </c>
      <c r="L44" s="233">
        <v>7237.5</v>
      </c>
      <c r="M44" s="233">
        <v>7237.5</v>
      </c>
      <c r="N44" s="234">
        <v>7174</v>
      </c>
      <c r="O44" s="235">
        <v>7237.4</v>
      </c>
      <c r="P44" s="235">
        <v>7174</v>
      </c>
      <c r="Q44" s="235">
        <v>7174</v>
      </c>
      <c r="R44" s="218">
        <v>7174</v>
      </c>
      <c r="S44" s="217">
        <v>7174</v>
      </c>
      <c r="T44" s="217">
        <v>7174</v>
      </c>
      <c r="U44" s="217">
        <v>7174</v>
      </c>
      <c r="V44" s="218">
        <v>7174</v>
      </c>
      <c r="W44" s="217">
        <v>7174</v>
      </c>
      <c r="X44" s="217">
        <v>7174</v>
      </c>
      <c r="Y44" s="217">
        <v>7174</v>
      </c>
      <c r="Z44" s="218">
        <v>7174</v>
      </c>
      <c r="AA44" s="217">
        <v>7174</v>
      </c>
      <c r="AB44" s="217">
        <v>7174</v>
      </c>
      <c r="AC44" s="217">
        <v>7174</v>
      </c>
      <c r="AD44" s="218">
        <v>7174</v>
      </c>
      <c r="AE44" s="217">
        <v>7174</v>
      </c>
      <c r="AF44" s="217">
        <v>7174</v>
      </c>
      <c r="AG44" s="217">
        <v>7174</v>
      </c>
      <c r="AH44" s="218">
        <v>7174</v>
      </c>
      <c r="AI44" s="217">
        <v>7174</v>
      </c>
      <c r="AJ44" s="217">
        <v>7174</v>
      </c>
      <c r="AK44" s="217">
        <v>7174</v>
      </c>
      <c r="AL44" s="218">
        <v>7174</v>
      </c>
      <c r="AM44" s="217">
        <v>7174</v>
      </c>
      <c r="AN44" s="217">
        <v>7174</v>
      </c>
      <c r="AO44" s="217">
        <v>7174</v>
      </c>
      <c r="AP44" s="218">
        <v>7174</v>
      </c>
      <c r="AQ44" s="217">
        <v>7174</v>
      </c>
      <c r="AR44" s="217">
        <v>7174</v>
      </c>
      <c r="AS44" s="217">
        <v>7174</v>
      </c>
      <c r="AT44" s="805">
        <v>7174</v>
      </c>
      <c r="AU44" s="217">
        <v>7174</v>
      </c>
      <c r="AV44" s="217"/>
      <c r="AW44" s="217"/>
      <c r="AX44" s="805"/>
      <c r="AY44" s="887"/>
      <c r="AZ44" s="888"/>
      <c r="BB44" s="889"/>
      <c r="BC44" s="889"/>
    </row>
    <row r="45" spans="1:55" s="7" customFormat="1" ht="20.149999999999999" customHeight="1">
      <c r="A45" s="27" t="s">
        <v>236</v>
      </c>
      <c r="B45" s="126" t="s">
        <v>237</v>
      </c>
      <c r="C45" s="43">
        <f>-3.17</f>
        <v>-3.17</v>
      </c>
      <c r="D45" s="24">
        <v>0</v>
      </c>
      <c r="E45" s="24">
        <v>0</v>
      </c>
      <c r="F45" s="228">
        <v>0</v>
      </c>
      <c r="G45" s="229">
        <v>0</v>
      </c>
      <c r="H45" s="229">
        <v>0</v>
      </c>
      <c r="I45" s="229">
        <v>0</v>
      </c>
      <c r="J45" s="229">
        <v>0</v>
      </c>
      <c r="K45" s="230">
        <v>0</v>
      </c>
      <c r="L45" s="229">
        <v>0</v>
      </c>
      <c r="M45" s="229">
        <v>0</v>
      </c>
      <c r="N45" s="228">
        <v>0</v>
      </c>
      <c r="O45" s="229">
        <v>0</v>
      </c>
      <c r="P45" s="229">
        <v>0</v>
      </c>
      <c r="Q45" s="229">
        <v>0</v>
      </c>
      <c r="R45" s="218">
        <v>0</v>
      </c>
      <c r="S45" s="219">
        <v>0</v>
      </c>
      <c r="T45" s="219">
        <v>0</v>
      </c>
      <c r="U45" s="219">
        <v>0</v>
      </c>
      <c r="V45" s="218">
        <v>0</v>
      </c>
      <c r="W45" s="219">
        <v>0</v>
      </c>
      <c r="X45" s="219">
        <v>0</v>
      </c>
      <c r="Y45" s="219">
        <v>0</v>
      </c>
      <c r="Z45" s="218">
        <v>0</v>
      </c>
      <c r="AA45" s="219">
        <v>0</v>
      </c>
      <c r="AB45" s="219">
        <v>0</v>
      </c>
      <c r="AC45" s="219">
        <v>0</v>
      </c>
      <c r="AD45" s="218">
        <v>0</v>
      </c>
      <c r="AE45" s="219">
        <v>0</v>
      </c>
      <c r="AF45" s="219">
        <v>0</v>
      </c>
      <c r="AG45" s="219">
        <v>0</v>
      </c>
      <c r="AH45" s="218">
        <v>0</v>
      </c>
      <c r="AI45" s="219">
        <v>0</v>
      </c>
      <c r="AJ45" s="219">
        <v>0</v>
      </c>
      <c r="AK45" s="219">
        <v>0</v>
      </c>
      <c r="AL45" s="218">
        <v>0</v>
      </c>
      <c r="AM45" s="219">
        <v>0</v>
      </c>
      <c r="AN45" s="219">
        <v>0</v>
      </c>
      <c r="AO45" s="219">
        <v>0</v>
      </c>
      <c r="AP45" s="218">
        <v>0</v>
      </c>
      <c r="AQ45" s="219">
        <v>0</v>
      </c>
      <c r="AR45" s="219">
        <v>0</v>
      </c>
      <c r="AS45" s="219">
        <v>0</v>
      </c>
      <c r="AT45" s="805">
        <v>0</v>
      </c>
      <c r="AU45" s="219">
        <v>0</v>
      </c>
      <c r="AV45" s="219"/>
      <c r="AW45" s="219"/>
      <c r="AX45" s="805"/>
      <c r="AY45" s="887"/>
      <c r="AZ45" s="888"/>
      <c r="BB45" s="889"/>
      <c r="BC45" s="889"/>
    </row>
    <row r="46" spans="1:55" s="7" customFormat="1" ht="20.149999999999999" customHeight="1">
      <c r="A46" s="27" t="s">
        <v>238</v>
      </c>
      <c r="B46" s="126" t="s">
        <v>239</v>
      </c>
      <c r="C46" s="41">
        <f>2.396</f>
        <v>2.3959999999999999</v>
      </c>
      <c r="D46" s="24">
        <v>0</v>
      </c>
      <c r="E46" s="24">
        <v>0</v>
      </c>
      <c r="F46" s="228">
        <v>0</v>
      </c>
      <c r="G46" s="229">
        <v>0</v>
      </c>
      <c r="H46" s="229">
        <v>0</v>
      </c>
      <c r="I46" s="229">
        <v>0</v>
      </c>
      <c r="J46" s="229">
        <v>0</v>
      </c>
      <c r="K46" s="230">
        <v>0</v>
      </c>
      <c r="L46" s="229">
        <v>0</v>
      </c>
      <c r="M46" s="229">
        <v>0</v>
      </c>
      <c r="N46" s="228">
        <v>0</v>
      </c>
      <c r="O46" s="229">
        <v>0</v>
      </c>
      <c r="P46" s="229">
        <v>0</v>
      </c>
      <c r="Q46" s="229">
        <v>0</v>
      </c>
      <c r="R46" s="218">
        <v>0</v>
      </c>
      <c r="S46" s="219">
        <v>0</v>
      </c>
      <c r="T46" s="219">
        <v>0</v>
      </c>
      <c r="U46" s="219">
        <v>0</v>
      </c>
      <c r="V46" s="218">
        <v>0</v>
      </c>
      <c r="W46" s="219">
        <v>0</v>
      </c>
      <c r="X46" s="219">
        <v>0</v>
      </c>
      <c r="Y46" s="219">
        <v>0</v>
      </c>
      <c r="Z46" s="218">
        <v>0</v>
      </c>
      <c r="AA46" s="219">
        <v>0</v>
      </c>
      <c r="AB46" s="219">
        <v>0</v>
      </c>
      <c r="AC46" s="219">
        <v>0</v>
      </c>
      <c r="AD46" s="218">
        <v>0</v>
      </c>
      <c r="AE46" s="219">
        <v>0</v>
      </c>
      <c r="AF46" s="219">
        <v>0</v>
      </c>
      <c r="AG46" s="219">
        <v>0</v>
      </c>
      <c r="AH46" s="218">
        <v>0</v>
      </c>
      <c r="AI46" s="219">
        <v>0</v>
      </c>
      <c r="AJ46" s="219">
        <v>0</v>
      </c>
      <c r="AK46" s="219">
        <v>0</v>
      </c>
      <c r="AL46" s="218">
        <v>0</v>
      </c>
      <c r="AM46" s="219">
        <v>0</v>
      </c>
      <c r="AN46" s="219">
        <v>0</v>
      </c>
      <c r="AO46" s="219">
        <v>0</v>
      </c>
      <c r="AP46" s="218">
        <v>0</v>
      </c>
      <c r="AQ46" s="219">
        <v>0</v>
      </c>
      <c r="AR46" s="219">
        <v>0</v>
      </c>
      <c r="AS46" s="219">
        <v>0</v>
      </c>
      <c r="AT46" s="805">
        <v>0</v>
      </c>
      <c r="AU46" s="219">
        <v>0</v>
      </c>
      <c r="AV46" s="219"/>
      <c r="AW46" s="219"/>
      <c r="AX46" s="805"/>
      <c r="AY46" s="887"/>
      <c r="AZ46" s="888"/>
      <c r="BB46" s="889"/>
      <c r="BC46" s="889"/>
    </row>
    <row r="47" spans="1:55" s="7" customFormat="1" ht="20.149999999999999" customHeight="1">
      <c r="A47" s="27" t="s">
        <v>240</v>
      </c>
      <c r="B47" s="129" t="s">
        <v>241</v>
      </c>
      <c r="C47" s="41"/>
      <c r="D47" s="24"/>
      <c r="E47" s="24"/>
      <c r="F47" s="228"/>
      <c r="G47" s="229"/>
      <c r="H47" s="229"/>
      <c r="I47" s="229"/>
      <c r="J47" s="229"/>
      <c r="K47" s="230"/>
      <c r="L47" s="229"/>
      <c r="M47" s="229"/>
      <c r="N47" s="228"/>
      <c r="O47" s="229"/>
      <c r="P47" s="229"/>
      <c r="Q47" s="229"/>
      <c r="R47" s="218"/>
      <c r="S47" s="219"/>
      <c r="T47" s="219"/>
      <c r="U47" s="219"/>
      <c r="V47" s="218"/>
      <c r="W47" s="219"/>
      <c r="X47" s="219"/>
      <c r="Y47" s="219"/>
      <c r="Z47" s="218"/>
      <c r="AA47" s="219"/>
      <c r="AB47" s="219"/>
      <c r="AC47" s="219"/>
      <c r="AD47" s="218"/>
      <c r="AE47" s="219"/>
      <c r="AF47" s="219"/>
      <c r="AG47" s="219"/>
      <c r="AH47" s="218"/>
      <c r="AI47" s="219"/>
      <c r="AJ47" s="219">
        <v>17.100000000000001</v>
      </c>
      <c r="AK47" s="219">
        <v>17.100000000000001</v>
      </c>
      <c r="AL47" s="218">
        <v>21.2</v>
      </c>
      <c r="AM47" s="219">
        <v>21.2</v>
      </c>
      <c r="AN47" s="219">
        <v>21.3</v>
      </c>
      <c r="AO47" s="219">
        <v>21.4</v>
      </c>
      <c r="AP47" s="218">
        <v>32.1</v>
      </c>
      <c r="AQ47" s="219">
        <v>32.200000000000003</v>
      </c>
      <c r="AR47" s="219">
        <v>41.7</v>
      </c>
      <c r="AS47" s="219">
        <v>56.6</v>
      </c>
      <c r="AT47" s="805">
        <v>51.9</v>
      </c>
      <c r="AU47" s="219">
        <v>52</v>
      </c>
      <c r="AV47" s="219"/>
      <c r="AW47" s="219"/>
      <c r="AX47" s="805"/>
      <c r="AY47" s="887"/>
      <c r="AZ47" s="888"/>
      <c r="BB47" s="889"/>
      <c r="BC47" s="889"/>
    </row>
    <row r="48" spans="1:55" s="7" customFormat="1" ht="20.149999999999999" customHeight="1">
      <c r="A48" s="27" t="s">
        <v>242</v>
      </c>
      <c r="B48" s="126" t="s">
        <v>233</v>
      </c>
      <c r="C48" s="24">
        <v>0</v>
      </c>
      <c r="D48" s="41">
        <f>(1225)*0.001</f>
        <v>1.2250000000000001</v>
      </c>
      <c r="E48" s="43">
        <f>(-8191)*0.001</f>
        <v>-8.1910000000000007</v>
      </c>
      <c r="F48" s="259">
        <f>(-16327)*0.001</f>
        <v>-16.327000000000002</v>
      </c>
      <c r="G48" s="43">
        <f>(-17667)*0.001</f>
        <v>-17.667000000000002</v>
      </c>
      <c r="H48" s="43">
        <f>(-13285)*0.001</f>
        <v>-13.285</v>
      </c>
      <c r="I48" s="43">
        <f>(-11455)*0.001</f>
        <v>-11.455</v>
      </c>
      <c r="J48" s="259">
        <f>(-8964)*0.001</f>
        <v>-8.9640000000000004</v>
      </c>
      <c r="K48" s="230">
        <v>0</v>
      </c>
      <c r="L48" s="229">
        <v>0</v>
      </c>
      <c r="M48" s="238">
        <v>-9.1999999999999993</v>
      </c>
      <c r="N48" s="239">
        <v>-12.2</v>
      </c>
      <c r="O48" s="238">
        <v>-12.7</v>
      </c>
      <c r="P48" s="238">
        <v>-7.9</v>
      </c>
      <c r="Q48" s="238">
        <v>-8.1999999999999993</v>
      </c>
      <c r="R48" s="218">
        <v>-3.7</v>
      </c>
      <c r="S48" s="220">
        <v>-1.7</v>
      </c>
      <c r="T48" s="220">
        <v>0.1</v>
      </c>
      <c r="U48" s="220">
        <v>2.2000000000000002</v>
      </c>
      <c r="V48" s="218">
        <v>4.5</v>
      </c>
      <c r="W48" s="220">
        <v>3.8</v>
      </c>
      <c r="X48" s="220">
        <v>3.6</v>
      </c>
      <c r="Y48" s="220">
        <v>3.5</v>
      </c>
      <c r="Z48" s="218">
        <v>3.2</v>
      </c>
      <c r="AA48" s="220">
        <v>2.8</v>
      </c>
      <c r="AB48" s="220">
        <v>-204.3</v>
      </c>
      <c r="AC48" s="217">
        <v>-204.1</v>
      </c>
      <c r="AD48" s="218">
        <v>-162.5</v>
      </c>
      <c r="AE48" s="220">
        <v>-162.4</v>
      </c>
      <c r="AF48" s="220">
        <v>3.3</v>
      </c>
      <c r="AG48" s="217">
        <v>3.4</v>
      </c>
      <c r="AH48" s="218">
        <v>1.5</v>
      </c>
      <c r="AI48" s="220">
        <v>-4.8</v>
      </c>
      <c r="AJ48" s="220">
        <v>-7.2</v>
      </c>
      <c r="AK48" s="217">
        <v>-7.4</v>
      </c>
      <c r="AL48" s="218">
        <v>99.7</v>
      </c>
      <c r="AM48" s="220">
        <v>-4.3</v>
      </c>
      <c r="AN48" s="217">
        <v>-22.1</v>
      </c>
      <c r="AO48" s="217">
        <v>-126.3</v>
      </c>
      <c r="AP48" s="218">
        <v>2801.3</v>
      </c>
      <c r="AQ48" s="217">
        <v>2812.1</v>
      </c>
      <c r="AR48" s="757">
        <v>2827.1</v>
      </c>
      <c r="AS48" s="217">
        <v>2827.1</v>
      </c>
      <c r="AT48" s="805">
        <v>2815.9</v>
      </c>
      <c r="AU48" s="217">
        <v>2806</v>
      </c>
      <c r="AV48" s="757"/>
      <c r="AW48" s="217"/>
      <c r="AX48" s="805"/>
      <c r="AY48" s="887"/>
      <c r="AZ48" s="888"/>
      <c r="BB48" s="889"/>
      <c r="BC48" s="889"/>
    </row>
    <row r="49" spans="1:56" s="7" customFormat="1" ht="20.149999999999999" customHeight="1">
      <c r="A49" s="27" t="s">
        <v>243</v>
      </c>
      <c r="B49" s="126" t="s">
        <v>244</v>
      </c>
      <c r="C49" s="41">
        <f>340.065</f>
        <v>340.065</v>
      </c>
      <c r="D49" s="41">
        <f>(882007)*0.001</f>
        <v>882.00700000000006</v>
      </c>
      <c r="E49" s="44">
        <f>(1054069)*0.001</f>
        <v>1054.069</v>
      </c>
      <c r="F49" s="240">
        <f>(1175693)*0.001</f>
        <v>1175.693</v>
      </c>
      <c r="G49" s="241">
        <f>(1270798)*0.001</f>
        <v>1270.798</v>
      </c>
      <c r="H49" s="241">
        <f>(1351543)*0.001</f>
        <v>1351.5430000000001</v>
      </c>
      <c r="I49" s="241">
        <f>(1527994)*0.001</f>
        <v>1527.9940000000001</v>
      </c>
      <c r="J49" s="240">
        <f>(1701138)*0.001</f>
        <v>1701.1380000000001</v>
      </c>
      <c r="K49" s="241">
        <f>(1799310)*0.001</f>
        <v>1799.31</v>
      </c>
      <c r="L49" s="233">
        <v>1828.6</v>
      </c>
      <c r="M49" s="233">
        <v>1876.8</v>
      </c>
      <c r="N49" s="242">
        <v>1890.8</v>
      </c>
      <c r="O49" s="233">
        <v>2061.6</v>
      </c>
      <c r="P49" s="233">
        <v>2366.1</v>
      </c>
      <c r="Q49" s="233">
        <v>2868.6</v>
      </c>
      <c r="R49" s="218">
        <v>3054.2</v>
      </c>
      <c r="S49" s="220">
        <v>3229.7</v>
      </c>
      <c r="T49" s="220">
        <v>3467.4</v>
      </c>
      <c r="U49" s="220">
        <v>3745.6</v>
      </c>
      <c r="V49" s="218">
        <v>4095.5</v>
      </c>
      <c r="W49" s="220">
        <v>4374.8999999999996</v>
      </c>
      <c r="X49" s="220">
        <v>4461.3999999999996</v>
      </c>
      <c r="Y49" s="220">
        <v>4704.3</v>
      </c>
      <c r="Z49" s="218">
        <v>4871.3999999999996</v>
      </c>
      <c r="AA49" s="220">
        <v>5668.6</v>
      </c>
      <c r="AB49" s="220">
        <v>5904.4</v>
      </c>
      <c r="AC49" s="217">
        <v>6130.5</v>
      </c>
      <c r="AD49" s="218">
        <v>6189.9</v>
      </c>
      <c r="AE49" s="220">
        <v>6481.8</v>
      </c>
      <c r="AF49" s="220">
        <v>6065.1</v>
      </c>
      <c r="AG49" s="217">
        <v>6296.4</v>
      </c>
      <c r="AH49" s="218">
        <v>6610.2</v>
      </c>
      <c r="AI49" s="220">
        <v>6792.6</v>
      </c>
      <c r="AJ49" s="220">
        <v>7081</v>
      </c>
      <c r="AK49" s="217">
        <v>6787.4</v>
      </c>
      <c r="AL49" s="218">
        <v>7112.3</v>
      </c>
      <c r="AM49" s="217">
        <v>7501.9</v>
      </c>
      <c r="AN49" s="217">
        <v>7273.7</v>
      </c>
      <c r="AO49" s="217">
        <v>10416.1</v>
      </c>
      <c r="AP49" s="218">
        <v>7823.6</v>
      </c>
      <c r="AQ49" s="217">
        <v>8038.5</v>
      </c>
      <c r="AR49" s="757">
        <v>7671</v>
      </c>
      <c r="AS49" s="776">
        <v>7899.7</v>
      </c>
      <c r="AT49" s="805">
        <v>8057.6</v>
      </c>
      <c r="AU49" s="217">
        <v>8122.1</v>
      </c>
      <c r="AV49" s="757"/>
      <c r="AW49" s="776"/>
      <c r="AX49" s="805"/>
      <c r="AY49" s="887"/>
      <c r="AZ49" s="888"/>
      <c r="BB49" s="889"/>
      <c r="BC49" s="889"/>
    </row>
    <row r="50" spans="1:56" ht="20.149999999999999" customHeight="1" thickBot="1">
      <c r="A50" s="711" t="s">
        <v>245</v>
      </c>
      <c r="B50" s="129" t="s">
        <v>246</v>
      </c>
      <c r="C50" s="237"/>
      <c r="D50" s="237"/>
      <c r="E50" s="241"/>
      <c r="F50" s="240"/>
      <c r="G50" s="241"/>
      <c r="H50" s="241"/>
      <c r="I50" s="241"/>
      <c r="J50" s="240"/>
      <c r="K50" s="241"/>
      <c r="L50" s="233"/>
      <c r="M50" s="233"/>
      <c r="N50" s="242"/>
      <c r="O50" s="233"/>
      <c r="P50" s="233"/>
      <c r="Q50" s="233"/>
      <c r="R50" s="218"/>
      <c r="S50" s="220"/>
      <c r="T50" s="220"/>
      <c r="U50" s="220"/>
      <c r="V50" s="218"/>
      <c r="W50" s="220"/>
      <c r="X50" s="220"/>
      <c r="Y50" s="220"/>
      <c r="Z50" s="218"/>
      <c r="AA50" s="220"/>
      <c r="AB50" s="220"/>
      <c r="AC50" s="217"/>
      <c r="AD50" s="218"/>
      <c r="AE50" s="220"/>
      <c r="AF50" s="220"/>
      <c r="AG50" s="217"/>
      <c r="AH50" s="218"/>
      <c r="AI50" s="220"/>
      <c r="AJ50" s="220"/>
      <c r="AK50" s="217"/>
      <c r="AL50" s="218"/>
      <c r="AM50" s="217"/>
      <c r="AN50" s="217"/>
      <c r="AO50" s="217"/>
      <c r="AP50" s="218">
        <v>-2461</v>
      </c>
      <c r="AQ50" s="217">
        <v>-2461</v>
      </c>
      <c r="AR50" s="757">
        <v>-2854.7</v>
      </c>
      <c r="AS50" s="217">
        <v>-2854.7</v>
      </c>
      <c r="AT50" s="805">
        <v>-2854.7</v>
      </c>
      <c r="AU50" s="217">
        <v>-2854.7</v>
      </c>
      <c r="AV50" s="757"/>
      <c r="AW50" s="217"/>
      <c r="AX50" s="805"/>
      <c r="AY50" s="887"/>
      <c r="AZ50" s="888"/>
      <c r="BA50" s="7"/>
      <c r="BB50" s="889"/>
      <c r="BC50" s="889"/>
    </row>
    <row r="51" spans="1:56" s="226" customFormat="1" ht="25" customHeight="1" thickBot="1">
      <c r="A51" s="400" t="s">
        <v>247</v>
      </c>
      <c r="B51" s="400" t="s">
        <v>248</v>
      </c>
      <c r="C51" s="401">
        <f t="shared" ref="C51:AO51" si="8">SUM(C41:C49)</f>
        <v>2090.7669999999998</v>
      </c>
      <c r="D51" s="402">
        <f t="shared" si="8"/>
        <v>2192.2690000000002</v>
      </c>
      <c r="E51" s="402">
        <f t="shared" si="8"/>
        <v>2354.915</v>
      </c>
      <c r="F51" s="403">
        <f t="shared" si="8"/>
        <v>2468.4030000000002</v>
      </c>
      <c r="G51" s="402">
        <f t="shared" si="8"/>
        <v>2562.1680000000001</v>
      </c>
      <c r="H51" s="402">
        <f t="shared" si="8"/>
        <v>2647.2950000000001</v>
      </c>
      <c r="I51" s="402">
        <f t="shared" si="8"/>
        <v>2825.576</v>
      </c>
      <c r="J51" s="403">
        <f t="shared" si="8"/>
        <v>3001.2110000000002</v>
      </c>
      <c r="K51" s="401">
        <f t="shared" si="8"/>
        <v>3108.3469999999998</v>
      </c>
      <c r="L51" s="402">
        <f t="shared" si="8"/>
        <v>9091.7000000000007</v>
      </c>
      <c r="M51" s="402">
        <f t="shared" si="8"/>
        <v>9130.7000000000007</v>
      </c>
      <c r="N51" s="403">
        <f t="shared" si="8"/>
        <v>9078.2000000000007</v>
      </c>
      <c r="O51" s="401">
        <f t="shared" si="8"/>
        <v>9311.9</v>
      </c>
      <c r="P51" s="402">
        <f t="shared" si="8"/>
        <v>9557.8000000000011</v>
      </c>
      <c r="Q51" s="402">
        <f t="shared" si="8"/>
        <v>10060</v>
      </c>
      <c r="R51" s="403">
        <f t="shared" si="8"/>
        <v>10250.1</v>
      </c>
      <c r="S51" s="401">
        <f t="shared" si="8"/>
        <v>10427.6</v>
      </c>
      <c r="T51" s="402">
        <f t="shared" si="8"/>
        <v>10667.1</v>
      </c>
      <c r="U51" s="402">
        <f t="shared" si="8"/>
        <v>10947.4</v>
      </c>
      <c r="V51" s="403">
        <f t="shared" si="8"/>
        <v>11299.6</v>
      </c>
      <c r="W51" s="401">
        <f t="shared" si="8"/>
        <v>11578.3</v>
      </c>
      <c r="X51" s="402">
        <f t="shared" si="8"/>
        <v>11664.6</v>
      </c>
      <c r="Y51" s="402">
        <f t="shared" si="8"/>
        <v>11907.400000000001</v>
      </c>
      <c r="Z51" s="403">
        <f t="shared" si="8"/>
        <v>12074.2</v>
      </c>
      <c r="AA51" s="401">
        <f t="shared" si="8"/>
        <v>12871</v>
      </c>
      <c r="AB51" s="402">
        <f t="shared" si="8"/>
        <v>12899.7</v>
      </c>
      <c r="AC51" s="402">
        <f t="shared" si="8"/>
        <v>13126</v>
      </c>
      <c r="AD51" s="403">
        <f t="shared" si="8"/>
        <v>13227</v>
      </c>
      <c r="AE51" s="401">
        <f t="shared" si="8"/>
        <v>13519</v>
      </c>
      <c r="AF51" s="402">
        <f t="shared" si="8"/>
        <v>13268</v>
      </c>
      <c r="AG51" s="402">
        <f t="shared" si="8"/>
        <v>13499.4</v>
      </c>
      <c r="AH51" s="403">
        <f t="shared" si="8"/>
        <v>13811.3</v>
      </c>
      <c r="AI51" s="401">
        <f t="shared" si="8"/>
        <v>13987.400000000001</v>
      </c>
      <c r="AJ51" s="402">
        <f t="shared" si="8"/>
        <v>14290.5</v>
      </c>
      <c r="AK51" s="402">
        <f t="shared" si="8"/>
        <v>13996.7</v>
      </c>
      <c r="AL51" s="403">
        <f t="shared" si="8"/>
        <v>14432.8</v>
      </c>
      <c r="AM51" s="402">
        <f t="shared" si="8"/>
        <v>14718.4</v>
      </c>
      <c r="AN51" s="402">
        <f t="shared" si="8"/>
        <v>14472.5</v>
      </c>
      <c r="AO51" s="402">
        <f t="shared" si="8"/>
        <v>17510.8</v>
      </c>
      <c r="AP51" s="403">
        <f t="shared" ref="AP51:AX51" si="9">SUM(AP41:AP50)</f>
        <v>15395.599999999999</v>
      </c>
      <c r="AQ51" s="402">
        <f t="shared" si="9"/>
        <v>15621.400000000001</v>
      </c>
      <c r="AR51" s="755">
        <f t="shared" si="9"/>
        <v>14884.7</v>
      </c>
      <c r="AS51" s="755">
        <f t="shared" si="9"/>
        <v>15128.3</v>
      </c>
      <c r="AT51" s="803">
        <f t="shared" si="9"/>
        <v>15270.3</v>
      </c>
      <c r="AU51" s="402">
        <f t="shared" si="9"/>
        <v>15325</v>
      </c>
      <c r="AV51" s="755">
        <f t="shared" si="9"/>
        <v>0</v>
      </c>
      <c r="AW51" s="755">
        <f t="shared" si="9"/>
        <v>0</v>
      </c>
      <c r="AX51" s="803">
        <f t="shared" si="9"/>
        <v>0</v>
      </c>
      <c r="AY51" s="887"/>
      <c r="AZ51" s="888"/>
      <c r="BA51" s="7"/>
      <c r="BB51" s="889"/>
      <c r="BC51" s="889"/>
    </row>
    <row r="52" spans="1:56" s="7" customFormat="1" ht="20.149999999999999" customHeight="1" thickBot="1">
      <c r="A52" s="27" t="s">
        <v>249</v>
      </c>
      <c r="B52" s="127" t="s">
        <v>250</v>
      </c>
      <c r="C52" s="24">
        <v>0</v>
      </c>
      <c r="D52" s="24">
        <v>0</v>
      </c>
      <c r="E52" s="24">
        <v>0</v>
      </c>
      <c r="F52" s="228">
        <v>0</v>
      </c>
      <c r="G52" s="229">
        <v>0</v>
      </c>
      <c r="H52" s="229">
        <v>0</v>
      </c>
      <c r="I52" s="384">
        <f>2/1000</f>
        <v>2E-3</v>
      </c>
      <c r="J52" s="384">
        <f>2/1000</f>
        <v>2E-3</v>
      </c>
      <c r="K52" s="385">
        <f>2/1000</f>
        <v>2E-3</v>
      </c>
      <c r="L52" s="229">
        <v>0</v>
      </c>
      <c r="M52" s="229">
        <v>0</v>
      </c>
      <c r="N52" s="228">
        <v>0</v>
      </c>
      <c r="O52" s="229">
        <v>0</v>
      </c>
      <c r="P52" s="229">
        <v>0</v>
      </c>
      <c r="Q52" s="229">
        <v>0</v>
      </c>
      <c r="R52" s="67">
        <v>0</v>
      </c>
      <c r="S52" s="219">
        <v>-22.4</v>
      </c>
      <c r="T52" s="219">
        <v>94.5</v>
      </c>
      <c r="U52" s="219">
        <v>86.1</v>
      </c>
      <c r="V52" s="67">
        <v>78</v>
      </c>
      <c r="W52" s="219">
        <v>70</v>
      </c>
      <c r="X52" s="219">
        <v>60.5</v>
      </c>
      <c r="Y52" s="219">
        <v>52.5</v>
      </c>
      <c r="Z52" s="67">
        <v>42.6</v>
      </c>
      <c r="AA52" s="219">
        <v>34</v>
      </c>
      <c r="AB52" s="219">
        <v>554.29999999999995</v>
      </c>
      <c r="AC52" s="219">
        <v>555.29999999999995</v>
      </c>
      <c r="AD52" s="67">
        <v>648.20000000000005</v>
      </c>
      <c r="AE52" s="219">
        <v>653.6</v>
      </c>
      <c r="AF52" s="219">
        <v>650.5</v>
      </c>
      <c r="AG52" s="219">
        <v>655.7</v>
      </c>
      <c r="AH52" s="67">
        <v>653.20000000000005</v>
      </c>
      <c r="AI52" s="219">
        <v>652.6</v>
      </c>
      <c r="AJ52" s="219">
        <v>647.5</v>
      </c>
      <c r="AK52" s="219">
        <v>646.6</v>
      </c>
      <c r="AL52" s="67">
        <v>-6.6</v>
      </c>
      <c r="AM52" s="219">
        <v>647.9</v>
      </c>
      <c r="AN52" s="219">
        <v>489.9</v>
      </c>
      <c r="AO52" s="219">
        <v>-6.6</v>
      </c>
      <c r="AP52" s="67">
        <v>-11</v>
      </c>
      <c r="AQ52" s="219">
        <v>-14.5</v>
      </c>
      <c r="AR52" s="219">
        <v>540.1</v>
      </c>
      <c r="AS52" s="219">
        <v>526.20000000000005</v>
      </c>
      <c r="AT52" s="804">
        <v>540.5</v>
      </c>
      <c r="AU52" s="219">
        <v>544.70000000000005</v>
      </c>
      <c r="AV52" s="219"/>
      <c r="AW52" s="219"/>
      <c r="AX52" s="804"/>
      <c r="AY52" s="887"/>
      <c r="AZ52" s="888"/>
      <c r="BB52" s="889"/>
      <c r="BC52" s="889"/>
    </row>
    <row r="53" spans="1:56" s="226" customFormat="1" ht="25" customHeight="1" thickBot="1">
      <c r="A53" s="400" t="s">
        <v>251</v>
      </c>
      <c r="B53" s="400" t="s">
        <v>252</v>
      </c>
      <c r="C53" s="401">
        <f>C51+C52</f>
        <v>2090.7669999999998</v>
      </c>
      <c r="D53" s="402">
        <f>D51+D52</f>
        <v>2192.2690000000002</v>
      </c>
      <c r="E53" s="402">
        <f>E51+E52</f>
        <v>2354.915</v>
      </c>
      <c r="F53" s="403">
        <f>F51</f>
        <v>2468.4030000000002</v>
      </c>
      <c r="G53" s="402">
        <f>G51</f>
        <v>2562.1680000000001</v>
      </c>
      <c r="H53" s="402">
        <f>H51</f>
        <v>2647.2950000000001</v>
      </c>
      <c r="I53" s="402">
        <f>SUM(I51:I52)</f>
        <v>2825.578</v>
      </c>
      <c r="J53" s="403">
        <f t="shared" ref="J53:AP53" si="10">J51+J52</f>
        <v>3001.2130000000002</v>
      </c>
      <c r="K53" s="401">
        <f t="shared" si="10"/>
        <v>3108.3489999999997</v>
      </c>
      <c r="L53" s="402">
        <f t="shared" si="10"/>
        <v>9091.7000000000007</v>
      </c>
      <c r="M53" s="402">
        <f t="shared" si="10"/>
        <v>9130.7000000000007</v>
      </c>
      <c r="N53" s="403">
        <f t="shared" si="10"/>
        <v>9078.2000000000007</v>
      </c>
      <c r="O53" s="401">
        <f t="shared" si="10"/>
        <v>9311.9</v>
      </c>
      <c r="P53" s="402">
        <f t="shared" si="10"/>
        <v>9557.8000000000011</v>
      </c>
      <c r="Q53" s="402">
        <f t="shared" si="10"/>
        <v>10060</v>
      </c>
      <c r="R53" s="403">
        <f t="shared" si="10"/>
        <v>10250.1</v>
      </c>
      <c r="S53" s="401">
        <f t="shared" si="10"/>
        <v>10405.200000000001</v>
      </c>
      <c r="T53" s="402">
        <f t="shared" si="10"/>
        <v>10761.6</v>
      </c>
      <c r="U53" s="402">
        <f t="shared" si="10"/>
        <v>11033.5</v>
      </c>
      <c r="V53" s="403">
        <f t="shared" si="10"/>
        <v>11377.6</v>
      </c>
      <c r="W53" s="401">
        <f t="shared" si="10"/>
        <v>11648.3</v>
      </c>
      <c r="X53" s="402">
        <f t="shared" si="10"/>
        <v>11725.1</v>
      </c>
      <c r="Y53" s="402">
        <f t="shared" si="10"/>
        <v>11959.900000000001</v>
      </c>
      <c r="Z53" s="403">
        <f t="shared" si="10"/>
        <v>12116.800000000001</v>
      </c>
      <c r="AA53" s="401">
        <f t="shared" si="10"/>
        <v>12905</v>
      </c>
      <c r="AB53" s="402">
        <f t="shared" si="10"/>
        <v>13454</v>
      </c>
      <c r="AC53" s="402">
        <f t="shared" si="10"/>
        <v>13681.3</v>
      </c>
      <c r="AD53" s="403">
        <f t="shared" si="10"/>
        <v>13875.2</v>
      </c>
      <c r="AE53" s="401">
        <f t="shared" si="10"/>
        <v>14172.6</v>
      </c>
      <c r="AF53" s="402">
        <f t="shared" si="10"/>
        <v>13918.5</v>
      </c>
      <c r="AG53" s="402">
        <f t="shared" si="10"/>
        <v>14155.1</v>
      </c>
      <c r="AH53" s="403">
        <f t="shared" si="10"/>
        <v>14464.5</v>
      </c>
      <c r="AI53" s="401">
        <f t="shared" si="10"/>
        <v>14640.000000000002</v>
      </c>
      <c r="AJ53" s="402">
        <f t="shared" si="10"/>
        <v>14938</v>
      </c>
      <c r="AK53" s="402">
        <f t="shared" si="10"/>
        <v>14643.300000000001</v>
      </c>
      <c r="AL53" s="403">
        <f t="shared" si="10"/>
        <v>14426.199999999999</v>
      </c>
      <c r="AM53" s="401">
        <f t="shared" si="10"/>
        <v>15366.3</v>
      </c>
      <c r="AN53" s="402">
        <f t="shared" si="10"/>
        <v>14962.4</v>
      </c>
      <c r="AO53" s="402">
        <f t="shared" si="10"/>
        <v>17504.2</v>
      </c>
      <c r="AP53" s="403">
        <f t="shared" si="10"/>
        <v>15384.599999999999</v>
      </c>
      <c r="AQ53" s="401">
        <f t="shared" ref="AQ53:AT53" si="11">AQ51+AQ52</f>
        <v>15606.900000000001</v>
      </c>
      <c r="AR53" s="755">
        <f t="shared" si="11"/>
        <v>15424.800000000001</v>
      </c>
      <c r="AS53" s="402">
        <f t="shared" si="11"/>
        <v>15654.5</v>
      </c>
      <c r="AT53" s="803">
        <f t="shared" si="11"/>
        <v>15810.8</v>
      </c>
      <c r="AU53" s="401">
        <f t="shared" ref="AU53:AX53" si="12">AU51+AU52</f>
        <v>15869.7</v>
      </c>
      <c r="AV53" s="755">
        <f t="shared" si="12"/>
        <v>0</v>
      </c>
      <c r="AW53" s="402">
        <f t="shared" si="12"/>
        <v>0</v>
      </c>
      <c r="AX53" s="803">
        <f t="shared" si="12"/>
        <v>0</v>
      </c>
      <c r="AY53" s="887"/>
      <c r="AZ53" s="888"/>
      <c r="BA53" s="7"/>
      <c r="BB53" s="889"/>
      <c r="BC53" s="889"/>
    </row>
    <row r="54" spans="1:56" s="7" customFormat="1" ht="20.149999999999999" customHeight="1">
      <c r="A54" s="27" t="s">
        <v>253</v>
      </c>
      <c r="B54" s="126" t="s">
        <v>254</v>
      </c>
      <c r="C54" s="30">
        <f>932.068</f>
        <v>932.06799999999998</v>
      </c>
      <c r="D54" s="30">
        <f>(889155)*0.001</f>
        <v>889.15499999999997</v>
      </c>
      <c r="E54" s="30">
        <f>(680371)*0.001</f>
        <v>680.37099999999998</v>
      </c>
      <c r="F54" s="243">
        <f>(592003)*0.001</f>
        <v>592.00300000000004</v>
      </c>
      <c r="G54" s="238">
        <f>(572819)*0.001</f>
        <v>572.81899999999996</v>
      </c>
      <c r="H54" s="238">
        <f>(422858)*0.001</f>
        <v>422.858</v>
      </c>
      <c r="I54" s="238">
        <f>(329798)*0.001</f>
        <v>329.798</v>
      </c>
      <c r="J54" s="238">
        <f>(239889)*0.001</f>
        <v>239.88900000000001</v>
      </c>
      <c r="K54" s="244">
        <f>(236277)*0.001</f>
        <v>236.27700000000002</v>
      </c>
      <c r="L54" s="232">
        <v>8446.1</v>
      </c>
      <c r="M54" s="232">
        <v>7976.3</v>
      </c>
      <c r="N54" s="234">
        <v>7683.5</v>
      </c>
      <c r="O54" s="233">
        <v>7357.9</v>
      </c>
      <c r="P54" s="233">
        <v>7034.6</v>
      </c>
      <c r="Q54" s="232">
        <v>5644.9</v>
      </c>
      <c r="R54" s="67">
        <v>5379.8</v>
      </c>
      <c r="S54" s="220">
        <v>9982.1</v>
      </c>
      <c r="T54" s="220">
        <v>9752</v>
      </c>
      <c r="U54" s="220">
        <v>9530.2999999999993</v>
      </c>
      <c r="V54" s="67">
        <v>9302.7000000000007</v>
      </c>
      <c r="W54" s="220">
        <v>9056</v>
      </c>
      <c r="X54" s="220">
        <v>8808.6</v>
      </c>
      <c r="Y54" s="220">
        <v>8561.9</v>
      </c>
      <c r="Z54" s="67">
        <v>9291.4</v>
      </c>
      <c r="AA54" s="220">
        <v>9474.7000000000007</v>
      </c>
      <c r="AB54" s="220">
        <v>9139.4</v>
      </c>
      <c r="AC54" s="217">
        <v>9043.7999999999993</v>
      </c>
      <c r="AD54" s="67">
        <v>8605.2999999999993</v>
      </c>
      <c r="AE54" s="220">
        <v>8339.7999999999993</v>
      </c>
      <c r="AF54" s="220">
        <v>8100.2</v>
      </c>
      <c r="AG54" s="220">
        <v>7861.1</v>
      </c>
      <c r="AH54" s="67">
        <v>8617</v>
      </c>
      <c r="AI54" s="220">
        <v>8453.4</v>
      </c>
      <c r="AJ54" s="220">
        <v>9258.2999999999993</v>
      </c>
      <c r="AK54" s="220">
        <v>9073.7000000000007</v>
      </c>
      <c r="AL54" s="67">
        <v>8887.7999999999993</v>
      </c>
      <c r="AM54" s="220">
        <v>8701.9</v>
      </c>
      <c r="AN54" s="220">
        <v>8514.2000000000007</v>
      </c>
      <c r="AO54" s="220">
        <v>8005.1</v>
      </c>
      <c r="AP54" s="67">
        <v>7671.8</v>
      </c>
      <c r="AQ54" s="220">
        <v>7346.2</v>
      </c>
      <c r="AR54" s="219">
        <v>7025.1</v>
      </c>
      <c r="AS54" s="220">
        <v>6840.6</v>
      </c>
      <c r="AT54" s="804">
        <v>6624.8</v>
      </c>
      <c r="AU54" s="220">
        <v>6469.7</v>
      </c>
      <c r="AV54" s="219"/>
      <c r="AW54" s="220"/>
      <c r="AX54" s="804"/>
      <c r="AY54" s="887"/>
      <c r="AZ54" s="888"/>
      <c r="BA54" s="890"/>
      <c r="BB54" s="889"/>
      <c r="BC54" s="889"/>
      <c r="BD54" s="889"/>
    </row>
    <row r="55" spans="1:56" s="7" customFormat="1" ht="20.149999999999999" customHeight="1">
      <c r="A55" s="27" t="s">
        <v>255</v>
      </c>
      <c r="B55" s="126" t="s">
        <v>256</v>
      </c>
      <c r="C55" s="17">
        <f>1360.637</f>
        <v>1360.6369999999999</v>
      </c>
      <c r="D55" s="17">
        <f>(1369593)*0.001</f>
        <v>1369.5930000000001</v>
      </c>
      <c r="E55" s="17">
        <f>(1347224)*0.001</f>
        <v>1347.2239999999999</v>
      </c>
      <c r="F55" s="231">
        <f>(1316479)*0.001</f>
        <v>1316.479</v>
      </c>
      <c r="G55" s="232">
        <f>(1370119)*0.001</f>
        <v>1370.1190000000001</v>
      </c>
      <c r="H55" s="232">
        <f>(1395972)*0.001</f>
        <v>1395.972</v>
      </c>
      <c r="I55" s="232">
        <f>(1385314)*0.001</f>
        <v>1385.3140000000001</v>
      </c>
      <c r="J55" s="231">
        <f>(1340010)*0.001</f>
        <v>1340.01</v>
      </c>
      <c r="K55" s="232">
        <f>(1396071)*0.001</f>
        <v>1396.0710000000001</v>
      </c>
      <c r="L55" s="232">
        <v>4286.8999999999996</v>
      </c>
      <c r="M55" s="232">
        <v>4302.1000000000004</v>
      </c>
      <c r="N55" s="234">
        <v>4550.2</v>
      </c>
      <c r="O55" s="233">
        <v>4470</v>
      </c>
      <c r="P55" s="233">
        <v>4582.5</v>
      </c>
      <c r="Q55" s="232">
        <v>964.4</v>
      </c>
      <c r="R55" s="67">
        <v>975.3</v>
      </c>
      <c r="S55" s="220">
        <v>2252.6</v>
      </c>
      <c r="T55" s="220">
        <v>1795.1</v>
      </c>
      <c r="U55" s="220">
        <v>1805.1</v>
      </c>
      <c r="V55" s="67">
        <v>1835.7</v>
      </c>
      <c r="W55" s="220">
        <v>964.9</v>
      </c>
      <c r="X55" s="220">
        <v>975.3</v>
      </c>
      <c r="Y55" s="220">
        <v>965.2</v>
      </c>
      <c r="Z55" s="67">
        <v>975.7</v>
      </c>
      <c r="AA55" s="220">
        <v>965.2</v>
      </c>
      <c r="AB55" s="220">
        <v>975.5</v>
      </c>
      <c r="AC55" s="217">
        <v>965.6</v>
      </c>
      <c r="AD55" s="67">
        <v>976</v>
      </c>
      <c r="AE55" s="220">
        <v>965.5</v>
      </c>
      <c r="AF55" s="220">
        <v>968.9</v>
      </c>
      <c r="AG55" s="220">
        <v>977.7</v>
      </c>
      <c r="AH55" s="67">
        <v>969.2</v>
      </c>
      <c r="AI55" s="220">
        <v>1950.7</v>
      </c>
      <c r="AJ55" s="220">
        <v>1957.7</v>
      </c>
      <c r="AK55" s="220">
        <v>1958.8</v>
      </c>
      <c r="AL55" s="67">
        <v>1959.2</v>
      </c>
      <c r="AM55" s="220">
        <v>1959.8</v>
      </c>
      <c r="AN55" s="220">
        <v>1960.1</v>
      </c>
      <c r="AO55" s="220">
        <v>1960.6</v>
      </c>
      <c r="AP55" s="67">
        <v>1942.1</v>
      </c>
      <c r="AQ55" s="220">
        <v>1931.4</v>
      </c>
      <c r="AR55" s="219">
        <v>1905.2</v>
      </c>
      <c r="AS55" s="220">
        <v>1910.3</v>
      </c>
      <c r="AT55" s="804">
        <v>1900.4</v>
      </c>
      <c r="AU55" s="220">
        <v>2897</v>
      </c>
      <c r="AV55" s="219"/>
      <c r="AW55" s="220"/>
      <c r="AX55" s="804"/>
      <c r="AY55" s="887"/>
      <c r="AZ55" s="888"/>
      <c r="BB55" s="889"/>
      <c r="BC55" s="889"/>
    </row>
    <row r="56" spans="1:56" s="7" customFormat="1" ht="20.149999999999999" customHeight="1">
      <c r="A56" s="110" t="s">
        <v>257</v>
      </c>
      <c r="B56" s="128" t="s">
        <v>258</v>
      </c>
      <c r="C56" s="30">
        <f>0.81</f>
        <v>0.81</v>
      </c>
      <c r="D56" s="30">
        <f>(741)*0.001</f>
        <v>0.74099999999999999</v>
      </c>
      <c r="E56" s="30">
        <f>(638)*0.001</f>
        <v>0.63800000000000001</v>
      </c>
      <c r="F56" s="243">
        <f>(551)*0.001</f>
        <v>0.55100000000000005</v>
      </c>
      <c r="G56" s="238">
        <f>(474)*0.001</f>
        <v>0.47400000000000003</v>
      </c>
      <c r="H56" s="238">
        <f>(424)*0.001</f>
        <v>0.42399999999999999</v>
      </c>
      <c r="I56" s="238">
        <f>(306)*0.001</f>
        <v>0.30599999999999999</v>
      </c>
      <c r="J56" s="238">
        <f>(227)*0.001</f>
        <v>0.22700000000000001</v>
      </c>
      <c r="K56" s="244">
        <f>(166)*0.001</f>
        <v>0.16600000000000001</v>
      </c>
      <c r="L56" s="235">
        <v>4.5</v>
      </c>
      <c r="M56" s="235">
        <v>7.9</v>
      </c>
      <c r="N56" s="242">
        <v>11.7</v>
      </c>
      <c r="O56" s="245">
        <v>13.4</v>
      </c>
      <c r="P56" s="245">
        <v>15.7</v>
      </c>
      <c r="Q56" s="235">
        <v>21.3</v>
      </c>
      <c r="R56" s="67">
        <v>20.9</v>
      </c>
      <c r="S56" s="217">
        <v>21.2</v>
      </c>
      <c r="T56" s="217">
        <v>23.3</v>
      </c>
      <c r="U56" s="217">
        <v>22.1</v>
      </c>
      <c r="V56" s="67">
        <v>20.9</v>
      </c>
      <c r="W56" s="217">
        <v>22.6</v>
      </c>
      <c r="X56" s="217">
        <v>21.4</v>
      </c>
      <c r="Y56" s="217">
        <v>19.399999999999999</v>
      </c>
      <c r="Z56" s="67">
        <v>18.600000000000001</v>
      </c>
      <c r="AA56" s="217">
        <v>17.3</v>
      </c>
      <c r="AB56" s="217">
        <v>14.6</v>
      </c>
      <c r="AC56" s="217">
        <v>15</v>
      </c>
      <c r="AD56" s="67">
        <v>15.8</v>
      </c>
      <c r="AE56" s="217">
        <v>1070</v>
      </c>
      <c r="AF56" s="217">
        <v>997.6</v>
      </c>
      <c r="AG56" s="220">
        <v>946.9</v>
      </c>
      <c r="AH56" s="67">
        <v>1023.8</v>
      </c>
      <c r="AI56" s="217">
        <v>986.2</v>
      </c>
      <c r="AJ56" s="217">
        <v>1021.2</v>
      </c>
      <c r="AK56" s="220">
        <v>1016.4</v>
      </c>
      <c r="AL56" s="67">
        <v>1140.5</v>
      </c>
      <c r="AM56" s="217">
        <v>537.4</v>
      </c>
      <c r="AN56" s="220">
        <v>504.2</v>
      </c>
      <c r="AO56" s="220">
        <v>495.3</v>
      </c>
      <c r="AP56" s="67">
        <v>497.5</v>
      </c>
      <c r="AQ56" s="217">
        <v>467.5</v>
      </c>
      <c r="AR56" s="219">
        <v>349.1</v>
      </c>
      <c r="AS56" s="220">
        <v>328.3</v>
      </c>
      <c r="AT56" s="804">
        <v>345.6</v>
      </c>
      <c r="AU56" s="217">
        <v>342.2</v>
      </c>
      <c r="AV56" s="219"/>
      <c r="AW56" s="220"/>
      <c r="AX56" s="804"/>
      <c r="AY56" s="887"/>
      <c r="AZ56" s="888"/>
      <c r="BB56" s="889"/>
      <c r="BC56" s="889"/>
    </row>
    <row r="57" spans="1:56" s="7" customFormat="1" ht="20.149999999999999" customHeight="1">
      <c r="A57" s="27" t="s">
        <v>259</v>
      </c>
      <c r="B57" s="126" t="s">
        <v>260</v>
      </c>
      <c r="C57" s="18" t="e">
        <f>0*($A$86)</f>
        <v>#VALUE!</v>
      </c>
      <c r="D57" s="18">
        <f>0</f>
        <v>0</v>
      </c>
      <c r="E57" s="18">
        <f>0</f>
        <v>0</v>
      </c>
      <c r="F57" s="246">
        <v>0</v>
      </c>
      <c r="G57" s="247">
        <v>0</v>
      </c>
      <c r="H57" s="247">
        <f>0</f>
        <v>0</v>
      </c>
      <c r="I57" s="247">
        <v>0</v>
      </c>
      <c r="J57" s="247">
        <v>0</v>
      </c>
      <c r="K57" s="248">
        <v>0</v>
      </c>
      <c r="L57" s="235">
        <v>835.8</v>
      </c>
      <c r="M57" s="235">
        <v>730.2</v>
      </c>
      <c r="N57" s="242">
        <v>750.3</v>
      </c>
      <c r="O57" s="245">
        <v>724.4</v>
      </c>
      <c r="P57" s="245">
        <v>747.9</v>
      </c>
      <c r="Q57" s="235">
        <v>645.1</v>
      </c>
      <c r="R57" s="67">
        <v>652.79999999999995</v>
      </c>
      <c r="S57" s="217">
        <v>658</v>
      </c>
      <c r="T57" s="217">
        <v>686.7</v>
      </c>
      <c r="U57" s="217">
        <v>555.79999999999995</v>
      </c>
      <c r="V57" s="67">
        <v>574</v>
      </c>
      <c r="W57" s="217">
        <v>551</v>
      </c>
      <c r="X57" s="217">
        <v>555.4</v>
      </c>
      <c r="Y57" s="217">
        <v>452.4</v>
      </c>
      <c r="Z57" s="67">
        <v>440.8</v>
      </c>
      <c r="AA57" s="217">
        <v>447.6</v>
      </c>
      <c r="AB57" s="217">
        <v>466.9</v>
      </c>
      <c r="AC57" s="217">
        <v>343.6</v>
      </c>
      <c r="AD57" s="67">
        <v>348.2</v>
      </c>
      <c r="AE57" s="217">
        <v>350.5</v>
      </c>
      <c r="AF57" s="217">
        <v>348.8</v>
      </c>
      <c r="AG57" s="220">
        <v>241.7</v>
      </c>
      <c r="AH57" s="67">
        <v>236.9</v>
      </c>
      <c r="AI57" s="217">
        <v>254.9</v>
      </c>
      <c r="AJ57" s="217">
        <v>251.7</v>
      </c>
      <c r="AK57" s="220">
        <v>133.30000000000001</v>
      </c>
      <c r="AL57" s="67">
        <v>136.69999999999999</v>
      </c>
      <c r="AM57" s="217">
        <v>139</v>
      </c>
      <c r="AN57" s="220">
        <v>135.69999999999999</v>
      </c>
      <c r="AO57" s="220">
        <v>0</v>
      </c>
      <c r="AP57" s="67">
        <v>0</v>
      </c>
      <c r="AQ57" s="217">
        <v>0</v>
      </c>
      <c r="AR57" s="219">
        <v>0</v>
      </c>
      <c r="AS57" s="219">
        <v>0</v>
      </c>
      <c r="AT57" s="804">
        <v>0</v>
      </c>
      <c r="AU57" s="217">
        <v>0</v>
      </c>
      <c r="AV57" s="219"/>
      <c r="AW57" s="219"/>
      <c r="AX57" s="804"/>
      <c r="AY57" s="887"/>
      <c r="AZ57" s="888"/>
      <c r="BB57" s="889"/>
      <c r="BC57" s="889"/>
    </row>
    <row r="58" spans="1:56" s="7" customFormat="1" ht="20.149999999999999" customHeight="1">
      <c r="A58" s="27" t="s">
        <v>261</v>
      </c>
      <c r="B58" s="126" t="s">
        <v>262</v>
      </c>
      <c r="C58" s="41">
        <f>87.307</f>
        <v>87.307000000000002</v>
      </c>
      <c r="D58" s="41">
        <f>(88480)*0.001</f>
        <v>88.48</v>
      </c>
      <c r="E58" s="41">
        <f>(97271)*0.001</f>
        <v>97.271000000000001</v>
      </c>
      <c r="F58" s="236">
        <f>(94258)*0.001</f>
        <v>94.257999999999996</v>
      </c>
      <c r="G58" s="237">
        <f>(93487)*0.001</f>
        <v>93.487000000000009</v>
      </c>
      <c r="H58" s="237">
        <f>(93150)*0.001</f>
        <v>93.15</v>
      </c>
      <c r="I58" s="237">
        <f>(98799)*0.001</f>
        <v>98.799000000000007</v>
      </c>
      <c r="J58" s="237">
        <f>(108066)*0.001</f>
        <v>108.066</v>
      </c>
      <c r="K58" s="249">
        <f>(95950)*0.001</f>
        <v>95.95</v>
      </c>
      <c r="L58" s="232">
        <v>1010.7</v>
      </c>
      <c r="M58" s="232">
        <v>1038.8</v>
      </c>
      <c r="N58" s="242">
        <v>908.7</v>
      </c>
      <c r="O58" s="245">
        <v>888.6</v>
      </c>
      <c r="P58" s="245">
        <v>821.1</v>
      </c>
      <c r="Q58" s="232">
        <v>770.4</v>
      </c>
      <c r="R58" s="67">
        <v>615.79999999999995</v>
      </c>
      <c r="S58" s="217">
        <v>694.4</v>
      </c>
      <c r="T58" s="217">
        <v>889.1</v>
      </c>
      <c r="U58" s="217">
        <v>923.2</v>
      </c>
      <c r="V58" s="67">
        <v>786.9</v>
      </c>
      <c r="W58" s="217">
        <v>812.3</v>
      </c>
      <c r="X58" s="217">
        <v>775.7</v>
      </c>
      <c r="Y58" s="217">
        <v>771.8</v>
      </c>
      <c r="Z58" s="67">
        <v>879.8</v>
      </c>
      <c r="AA58" s="217">
        <v>1034.8</v>
      </c>
      <c r="AB58" s="217">
        <v>1027.8</v>
      </c>
      <c r="AC58" s="217">
        <v>1006.2</v>
      </c>
      <c r="AD58" s="67">
        <v>1160.0999999999999</v>
      </c>
      <c r="AE58" s="217">
        <v>1132</v>
      </c>
      <c r="AF58" s="217">
        <v>1129.8</v>
      </c>
      <c r="AG58" s="220">
        <v>1086.0999999999999</v>
      </c>
      <c r="AH58" s="67">
        <v>1025.3</v>
      </c>
      <c r="AI58" s="217">
        <v>950.2</v>
      </c>
      <c r="AJ58" s="217">
        <v>973.2</v>
      </c>
      <c r="AK58" s="220">
        <v>984.4</v>
      </c>
      <c r="AL58" s="67">
        <v>902.1</v>
      </c>
      <c r="AM58" s="217">
        <v>857.5</v>
      </c>
      <c r="AN58" s="220">
        <v>885.5</v>
      </c>
      <c r="AO58" s="220">
        <v>853.2</v>
      </c>
      <c r="AP58" s="67">
        <v>794.9</v>
      </c>
      <c r="AQ58" s="217">
        <v>721</v>
      </c>
      <c r="AR58" s="219">
        <v>1044.2</v>
      </c>
      <c r="AS58" s="219">
        <v>1023.2</v>
      </c>
      <c r="AT58" s="804">
        <v>978.7</v>
      </c>
      <c r="AU58" s="217">
        <v>914.9</v>
      </c>
      <c r="AV58" s="219"/>
      <c r="AW58" s="219"/>
      <c r="AX58" s="804"/>
      <c r="AY58" s="887"/>
      <c r="AZ58" s="888"/>
      <c r="BB58" s="889"/>
      <c r="BC58" s="889"/>
    </row>
    <row r="59" spans="1:56" s="7" customFormat="1" ht="20.149999999999999" customHeight="1">
      <c r="A59" s="27" t="s">
        <v>263</v>
      </c>
      <c r="B59" s="126" t="s">
        <v>264</v>
      </c>
      <c r="C59" s="24">
        <v>0</v>
      </c>
      <c r="D59" s="41">
        <f>(6285)*0.001</f>
        <v>6.2850000000000001</v>
      </c>
      <c r="E59" s="41">
        <f>(5716)*0.001</f>
        <v>5.7160000000000002</v>
      </c>
      <c r="F59" s="236">
        <f>(5181)*0.001</f>
        <v>5.181</v>
      </c>
      <c r="G59" s="237">
        <f>(4978)*0.001</f>
        <v>4.9779999999999998</v>
      </c>
      <c r="H59" s="237">
        <f>(4754)*0.001</f>
        <v>4.7540000000000004</v>
      </c>
      <c r="I59" s="237">
        <f>(4303)*0.001</f>
        <v>4.3029999999999999</v>
      </c>
      <c r="J59" s="237">
        <f>(4079)*0.001</f>
        <v>4.0789999999999997</v>
      </c>
      <c r="K59" s="249">
        <f>(3008)*0.001</f>
        <v>3.008</v>
      </c>
      <c r="L59" s="235">
        <v>2.8</v>
      </c>
      <c r="M59" s="235">
        <v>3.9</v>
      </c>
      <c r="N59" s="242">
        <v>4.7</v>
      </c>
      <c r="O59" s="245">
        <v>5.5</v>
      </c>
      <c r="P59" s="245">
        <v>5</v>
      </c>
      <c r="Q59" s="235">
        <v>4.5</v>
      </c>
      <c r="R59" s="67">
        <v>4.7</v>
      </c>
      <c r="S59" s="217">
        <v>22.1</v>
      </c>
      <c r="T59" s="217">
        <v>21</v>
      </c>
      <c r="U59" s="217">
        <v>20.100000000000001</v>
      </c>
      <c r="V59" s="67">
        <v>20.100000000000001</v>
      </c>
      <c r="W59" s="217">
        <v>4</v>
      </c>
      <c r="X59" s="217">
        <v>3.8</v>
      </c>
      <c r="Y59" s="217">
        <v>3.4</v>
      </c>
      <c r="Z59" s="67">
        <v>3.2</v>
      </c>
      <c r="AA59" s="217">
        <v>0</v>
      </c>
      <c r="AB59" s="217">
        <v>0</v>
      </c>
      <c r="AC59" s="217">
        <v>0</v>
      </c>
      <c r="AD59" s="67">
        <v>0</v>
      </c>
      <c r="AE59" s="217">
        <v>0</v>
      </c>
      <c r="AF59" s="217">
        <v>0</v>
      </c>
      <c r="AG59" s="220">
        <v>0</v>
      </c>
      <c r="AH59" s="67">
        <v>0</v>
      </c>
      <c r="AI59" s="217">
        <v>0</v>
      </c>
      <c r="AJ59" s="217">
        <v>0</v>
      </c>
      <c r="AK59" s="220">
        <v>0</v>
      </c>
      <c r="AL59" s="67">
        <v>0</v>
      </c>
      <c r="AM59" s="217">
        <v>0</v>
      </c>
      <c r="AN59" s="220">
        <v>0</v>
      </c>
      <c r="AO59" s="220">
        <v>0</v>
      </c>
      <c r="AP59" s="67">
        <v>0</v>
      </c>
      <c r="AQ59" s="217">
        <v>0</v>
      </c>
      <c r="AR59" s="219">
        <v>0</v>
      </c>
      <c r="AS59" s="219">
        <v>0</v>
      </c>
      <c r="AT59" s="804">
        <v>0</v>
      </c>
      <c r="AU59" s="217">
        <v>0</v>
      </c>
      <c r="AV59" s="219"/>
      <c r="AW59" s="219"/>
      <c r="AX59" s="804"/>
      <c r="AY59" s="887"/>
      <c r="AZ59" s="888"/>
      <c r="BB59" s="889"/>
      <c r="BC59" s="889"/>
    </row>
    <row r="60" spans="1:56" s="7" customFormat="1" ht="20.149999999999999" customHeight="1">
      <c r="A60" s="27" t="s">
        <v>265</v>
      </c>
      <c r="B60" s="126" t="s">
        <v>266</v>
      </c>
      <c r="C60" s="41">
        <f>13.779</f>
        <v>13.779</v>
      </c>
      <c r="D60" s="41">
        <f>(17835)*0.001</f>
        <v>17.835000000000001</v>
      </c>
      <c r="E60" s="41">
        <f>(19037)*0.001</f>
        <v>19.036999999999999</v>
      </c>
      <c r="F60" s="236">
        <f>(17690)*0.001</f>
        <v>17.690000000000001</v>
      </c>
      <c r="G60" s="237">
        <f>(17684)*0.001</f>
        <v>17.684000000000001</v>
      </c>
      <c r="H60" s="237">
        <f>(10154)*0.001</f>
        <v>10.154</v>
      </c>
      <c r="I60" s="237">
        <f>(8594)*0.001</f>
        <v>8.5939999999999994</v>
      </c>
      <c r="J60" s="237">
        <f>(7915)*0.001</f>
        <v>7.915</v>
      </c>
      <c r="K60" s="249">
        <f>(7828)*0.001</f>
        <v>7.8280000000000003</v>
      </c>
      <c r="L60" s="235">
        <v>158.19999999999999</v>
      </c>
      <c r="M60" s="235">
        <v>164.6</v>
      </c>
      <c r="N60" s="242">
        <v>184.2</v>
      </c>
      <c r="O60" s="245">
        <v>167.4</v>
      </c>
      <c r="P60" s="245">
        <v>132.4</v>
      </c>
      <c r="Q60" s="235">
        <v>133.1</v>
      </c>
      <c r="R60" s="67">
        <v>124.2</v>
      </c>
      <c r="S60" s="217">
        <v>157.30000000000001</v>
      </c>
      <c r="T60" s="217">
        <v>148.9</v>
      </c>
      <c r="U60" s="217">
        <v>148.19999999999999</v>
      </c>
      <c r="V60" s="67">
        <v>130.19999999999999</v>
      </c>
      <c r="W60" s="217">
        <v>128.1</v>
      </c>
      <c r="X60" s="217">
        <v>122</v>
      </c>
      <c r="Y60" s="217">
        <v>122.2</v>
      </c>
      <c r="Z60" s="67">
        <v>114.2</v>
      </c>
      <c r="AA60" s="217">
        <v>122.4</v>
      </c>
      <c r="AB60" s="217">
        <v>436.6</v>
      </c>
      <c r="AC60" s="217">
        <v>728.3</v>
      </c>
      <c r="AD60" s="67">
        <v>697.6</v>
      </c>
      <c r="AE60" s="217">
        <v>620.1</v>
      </c>
      <c r="AF60" s="217">
        <v>494</v>
      </c>
      <c r="AG60" s="220">
        <v>380.5</v>
      </c>
      <c r="AH60" s="67">
        <v>384.7</v>
      </c>
      <c r="AI60" s="217">
        <v>311.8</v>
      </c>
      <c r="AJ60" s="217">
        <v>334.5</v>
      </c>
      <c r="AK60" s="220">
        <v>346.2</v>
      </c>
      <c r="AL60" s="67">
        <v>388.1</v>
      </c>
      <c r="AM60" s="217">
        <v>104.9</v>
      </c>
      <c r="AN60" s="220">
        <v>95.4</v>
      </c>
      <c r="AO60" s="220">
        <v>345.8</v>
      </c>
      <c r="AP60" s="67">
        <v>319.8</v>
      </c>
      <c r="AQ60" s="217">
        <v>273.2</v>
      </c>
      <c r="AR60" s="219">
        <v>383.1</v>
      </c>
      <c r="AS60" s="220">
        <v>355.4</v>
      </c>
      <c r="AT60" s="804">
        <v>330.9</v>
      </c>
      <c r="AU60" s="217">
        <v>286.39999999999998</v>
      </c>
      <c r="AV60" s="219"/>
      <c r="AW60" s="220"/>
      <c r="AX60" s="804"/>
      <c r="AY60" s="887"/>
      <c r="AZ60" s="888"/>
      <c r="BB60" s="889"/>
      <c r="BC60" s="889"/>
    </row>
    <row r="61" spans="1:56" s="15" customFormat="1" ht="20.149999999999999" customHeight="1" thickBot="1">
      <c r="A61" s="29" t="s">
        <v>267</v>
      </c>
      <c r="B61" s="130" t="s">
        <v>268</v>
      </c>
      <c r="C61" s="18" t="e">
        <f>0*($A$86)</f>
        <v>#VALUE!</v>
      </c>
      <c r="D61" s="18">
        <f>0</f>
        <v>0</v>
      </c>
      <c r="E61" s="18">
        <f>0</f>
        <v>0</v>
      </c>
      <c r="F61" s="246">
        <v>0</v>
      </c>
      <c r="G61" s="247">
        <v>0</v>
      </c>
      <c r="H61" s="247">
        <f>0</f>
        <v>0</v>
      </c>
      <c r="I61" s="247">
        <v>0</v>
      </c>
      <c r="J61" s="250">
        <v>0.1</v>
      </c>
      <c r="K61" s="248">
        <v>0</v>
      </c>
      <c r="L61" s="247" t="e">
        <f>0*($A$86)</f>
        <v>#VALUE!</v>
      </c>
      <c r="M61" s="247" t="e">
        <f>0*($A$86)</f>
        <v>#VALUE!</v>
      </c>
      <c r="N61" s="250">
        <v>40.1</v>
      </c>
      <c r="O61" s="251">
        <v>22.6</v>
      </c>
      <c r="P61" s="251">
        <v>2</v>
      </c>
      <c r="Q61" s="252">
        <v>1.9</v>
      </c>
      <c r="R61" s="67">
        <v>0</v>
      </c>
      <c r="S61" s="197">
        <v>1.1000000000000001</v>
      </c>
      <c r="T61" s="197">
        <v>0.9</v>
      </c>
      <c r="U61" s="197">
        <v>0</v>
      </c>
      <c r="V61" s="67">
        <v>0</v>
      </c>
      <c r="W61" s="197">
        <v>1.5</v>
      </c>
      <c r="X61" s="197">
        <v>1.7</v>
      </c>
      <c r="Y61" s="197">
        <v>1.3</v>
      </c>
      <c r="Z61" s="67">
        <v>0</v>
      </c>
      <c r="AA61" s="197">
        <v>2.2000000000000002</v>
      </c>
      <c r="AB61" s="197">
        <v>0.5</v>
      </c>
      <c r="AC61" s="197">
        <v>205</v>
      </c>
      <c r="AD61" s="67">
        <v>165.2</v>
      </c>
      <c r="AE61" s="197">
        <v>167.2</v>
      </c>
      <c r="AF61" s="197">
        <v>5.4</v>
      </c>
      <c r="AG61" s="197">
        <v>6.7</v>
      </c>
      <c r="AH61" s="67">
        <v>3.2</v>
      </c>
      <c r="AI61" s="197">
        <v>30.2</v>
      </c>
      <c r="AJ61" s="197">
        <v>29.6</v>
      </c>
      <c r="AK61" s="197">
        <v>24.9</v>
      </c>
      <c r="AL61" s="221">
        <v>16.8</v>
      </c>
      <c r="AM61" s="197">
        <v>6.7</v>
      </c>
      <c r="AN61" s="197">
        <v>1.4</v>
      </c>
      <c r="AO61" s="197">
        <v>0</v>
      </c>
      <c r="AP61" s="221">
        <v>0</v>
      </c>
      <c r="AQ61" s="197">
        <v>0</v>
      </c>
      <c r="AR61" s="754">
        <v>0</v>
      </c>
      <c r="AS61" s="197">
        <v>0</v>
      </c>
      <c r="AT61" s="802">
        <v>4.3</v>
      </c>
      <c r="AU61" s="197">
        <v>11.9</v>
      </c>
      <c r="AV61" s="754"/>
      <c r="AW61" s="197"/>
      <c r="AX61" s="802"/>
      <c r="AY61" s="887"/>
      <c r="AZ61" s="888"/>
      <c r="BA61" s="7"/>
      <c r="BB61" s="889"/>
      <c r="BC61" s="889"/>
    </row>
    <row r="62" spans="1:56" s="226" customFormat="1" ht="25" customHeight="1" thickBot="1">
      <c r="A62" s="400" t="s">
        <v>269</v>
      </c>
      <c r="B62" s="400" t="s">
        <v>270</v>
      </c>
      <c r="C62" s="401" t="e">
        <f t="shared" ref="C62" si="13">SUM(C54:C60)</f>
        <v>#VALUE!</v>
      </c>
      <c r="D62" s="402">
        <f t="shared" ref="D62" si="14">SUM(D54:D60)</f>
        <v>2372.0889999999999</v>
      </c>
      <c r="E62" s="402">
        <f t="shared" ref="E62" si="15">SUM(E54:E60)</f>
        <v>2150.2569999999996</v>
      </c>
      <c r="F62" s="403">
        <f t="shared" ref="F62:I62" si="16">SUM(F54:F60)</f>
        <v>2026.162</v>
      </c>
      <c r="G62" s="402">
        <f t="shared" si="16"/>
        <v>2059.5610000000001</v>
      </c>
      <c r="H62" s="402">
        <f t="shared" si="16"/>
        <v>1927.3119999999999</v>
      </c>
      <c r="I62" s="402">
        <f t="shared" si="16"/>
        <v>1827.1140000000003</v>
      </c>
      <c r="J62" s="403">
        <f t="shared" ref="J62:K62" si="17">SUM(J54:J60)</f>
        <v>1700.1859999999999</v>
      </c>
      <c r="K62" s="401">
        <f t="shared" si="17"/>
        <v>1739.3000000000002</v>
      </c>
      <c r="L62" s="402">
        <f t="shared" ref="L62:M62" si="18">SUM(L54:L60)</f>
        <v>14745</v>
      </c>
      <c r="M62" s="402">
        <f t="shared" si="18"/>
        <v>14223.800000000001</v>
      </c>
      <c r="N62" s="403">
        <f t="shared" ref="N62:S62" si="19">SUM(N54:N61)-N61</f>
        <v>14093.300000000003</v>
      </c>
      <c r="O62" s="401">
        <f t="shared" si="19"/>
        <v>13627.199999999999</v>
      </c>
      <c r="P62" s="402">
        <f t="shared" si="19"/>
        <v>13339.2</v>
      </c>
      <c r="Q62" s="402">
        <f t="shared" si="19"/>
        <v>8183.7</v>
      </c>
      <c r="R62" s="403">
        <f t="shared" si="19"/>
        <v>7773.5</v>
      </c>
      <c r="S62" s="401">
        <f t="shared" si="19"/>
        <v>13787.7</v>
      </c>
      <c r="T62" s="402">
        <f t="shared" ref="T62:U62" si="20">SUM(T54:T61)-T61</f>
        <v>13316.1</v>
      </c>
      <c r="U62" s="402">
        <f t="shared" si="20"/>
        <v>13004.800000000001</v>
      </c>
      <c r="V62" s="403">
        <f t="shared" ref="V62" si="21">SUM(V54:V61)-V61</f>
        <v>12670.500000000002</v>
      </c>
      <c r="W62" s="401">
        <f t="shared" ref="W62:Z62" si="22">SUM(W54:W61)-W61</f>
        <v>11538.9</v>
      </c>
      <c r="X62" s="402">
        <f t="shared" si="22"/>
        <v>11262.199999999999</v>
      </c>
      <c r="Y62" s="402">
        <f t="shared" si="22"/>
        <v>10896.3</v>
      </c>
      <c r="Z62" s="403">
        <f t="shared" si="22"/>
        <v>11723.7</v>
      </c>
      <c r="AA62" s="401">
        <f t="shared" ref="AA62:AE62" si="23">SUM(AA54:AA61)-AA61</f>
        <v>12062</v>
      </c>
      <c r="AB62" s="402">
        <f t="shared" si="23"/>
        <v>12060.8</v>
      </c>
      <c r="AC62" s="402">
        <f t="shared" si="23"/>
        <v>12102.5</v>
      </c>
      <c r="AD62" s="403">
        <f t="shared" si="23"/>
        <v>11803</v>
      </c>
      <c r="AE62" s="401">
        <f t="shared" si="23"/>
        <v>12477.9</v>
      </c>
      <c r="AF62" s="402">
        <f t="shared" ref="AF62:AI62" si="24">SUM(AF54:AF61)-AF61</f>
        <v>12039.3</v>
      </c>
      <c r="AG62" s="402">
        <f t="shared" si="24"/>
        <v>11494.000000000002</v>
      </c>
      <c r="AH62" s="403">
        <f t="shared" si="24"/>
        <v>12256.9</v>
      </c>
      <c r="AI62" s="401">
        <f t="shared" si="24"/>
        <v>12907.2</v>
      </c>
      <c r="AJ62" s="402">
        <f t="shared" ref="AJ62:AM62" si="25">SUM(AJ54:AJ61)-AJ61</f>
        <v>13796.600000000002</v>
      </c>
      <c r="AK62" s="402">
        <f t="shared" si="25"/>
        <v>13512.8</v>
      </c>
      <c r="AL62" s="403">
        <f t="shared" si="25"/>
        <v>13414.400000000001</v>
      </c>
      <c r="AM62" s="401">
        <f t="shared" si="25"/>
        <v>12300.499999999998</v>
      </c>
      <c r="AN62" s="402">
        <f t="shared" ref="AN62:AQ62" si="26">SUM(AN54:AN61)-AN61</f>
        <v>12095.100000000002</v>
      </c>
      <c r="AO62" s="402">
        <f t="shared" si="26"/>
        <v>11660</v>
      </c>
      <c r="AP62" s="403">
        <f t="shared" si="26"/>
        <v>11226.099999999999</v>
      </c>
      <c r="AQ62" s="401">
        <f t="shared" si="26"/>
        <v>10739.300000000001</v>
      </c>
      <c r="AR62" s="755">
        <f t="shared" ref="AR62:AU62" si="27">SUM(AR54:AR61)-AR61</f>
        <v>10706.700000000003</v>
      </c>
      <c r="AS62" s="402">
        <f t="shared" si="27"/>
        <v>10457.799999999999</v>
      </c>
      <c r="AT62" s="403">
        <f t="shared" si="27"/>
        <v>10180.400000000001</v>
      </c>
      <c r="AU62" s="401">
        <f t="shared" si="27"/>
        <v>10910.2</v>
      </c>
      <c r="AV62" s="755">
        <f t="shared" ref="AV62:AX62" si="28">SUM(AV54:AV61)-AV61</f>
        <v>0</v>
      </c>
      <c r="AW62" s="402">
        <f t="shared" si="28"/>
        <v>0</v>
      </c>
      <c r="AX62" s="403">
        <f t="shared" si="28"/>
        <v>0</v>
      </c>
      <c r="AY62" s="887"/>
      <c r="AZ62" s="888"/>
      <c r="BA62" s="7"/>
      <c r="BB62" s="889"/>
      <c r="BC62" s="889"/>
    </row>
    <row r="63" spans="1:56" s="7" customFormat="1" ht="20.149999999999999" customHeight="1">
      <c r="A63" s="27" t="s">
        <v>253</v>
      </c>
      <c r="B63" s="126" t="s">
        <v>254</v>
      </c>
      <c r="C63" s="41">
        <f>250.363</f>
        <v>250.363</v>
      </c>
      <c r="D63" s="41">
        <f>(265796)*0.001</f>
        <v>265.79599999999999</v>
      </c>
      <c r="E63" s="41">
        <f>(238676)*0.001</f>
        <v>238.67600000000002</v>
      </c>
      <c r="F63" s="236">
        <f>(275608)*0.001</f>
        <v>275.608</v>
      </c>
      <c r="G63" s="237">
        <f>(250329)*0.001</f>
        <v>250.32900000000001</v>
      </c>
      <c r="H63" s="237">
        <f>(263389)*0.001</f>
        <v>263.38900000000001</v>
      </c>
      <c r="I63" s="237">
        <f>(214673)*0.001</f>
        <v>214.673</v>
      </c>
      <c r="J63" s="237">
        <f>(245994)*0.001</f>
        <v>245.994</v>
      </c>
      <c r="K63" s="249">
        <f>(240921)*0.001</f>
        <v>240.92099999999999</v>
      </c>
      <c r="L63" s="232">
        <v>1094.3</v>
      </c>
      <c r="M63" s="232">
        <v>1365.1</v>
      </c>
      <c r="N63" s="234">
        <v>1322.6</v>
      </c>
      <c r="O63" s="233">
        <v>1543.9</v>
      </c>
      <c r="P63" s="233">
        <v>1169.9000000000001</v>
      </c>
      <c r="Q63" s="232">
        <v>963.7</v>
      </c>
      <c r="R63" s="67">
        <v>1230.9000000000001</v>
      </c>
      <c r="S63" s="220">
        <v>1593</v>
      </c>
      <c r="T63" s="220">
        <v>1251.3</v>
      </c>
      <c r="U63" s="220">
        <v>1269.4000000000001</v>
      </c>
      <c r="V63" s="67">
        <v>1270</v>
      </c>
      <c r="W63" s="220">
        <v>1286.8</v>
      </c>
      <c r="X63" s="220">
        <v>1805.9</v>
      </c>
      <c r="Y63" s="220">
        <v>1824.8</v>
      </c>
      <c r="Z63" s="67">
        <v>1341.9</v>
      </c>
      <c r="AA63" s="220">
        <v>552.9</v>
      </c>
      <c r="AB63" s="220">
        <v>1074.7</v>
      </c>
      <c r="AC63" s="217">
        <v>1368.9</v>
      </c>
      <c r="AD63" s="67">
        <v>1611.3</v>
      </c>
      <c r="AE63" s="220">
        <v>1298.2</v>
      </c>
      <c r="AF63" s="220">
        <v>1279</v>
      </c>
      <c r="AG63" s="220">
        <v>1748.5</v>
      </c>
      <c r="AH63" s="67">
        <v>1892.5</v>
      </c>
      <c r="AI63" s="220">
        <v>1241.5999999999999</v>
      </c>
      <c r="AJ63" s="220">
        <v>364.6</v>
      </c>
      <c r="AK63" s="220">
        <v>557.5</v>
      </c>
      <c r="AL63" s="67">
        <v>753</v>
      </c>
      <c r="AM63" s="220">
        <v>947.4</v>
      </c>
      <c r="AN63" s="220">
        <v>1053.4000000000001</v>
      </c>
      <c r="AO63" s="220">
        <v>1924.5</v>
      </c>
      <c r="AP63" s="67">
        <v>1072.7</v>
      </c>
      <c r="AQ63" s="220">
        <v>1219.0999999999999</v>
      </c>
      <c r="AR63" s="219">
        <v>1357.2</v>
      </c>
      <c r="AS63" s="220">
        <v>1367.2</v>
      </c>
      <c r="AT63" s="67">
        <v>1512.6</v>
      </c>
      <c r="AU63" s="220">
        <v>2376.3000000000002</v>
      </c>
      <c r="AV63" s="219"/>
      <c r="AW63" s="220"/>
      <c r="AX63" s="67"/>
      <c r="AY63" s="887"/>
      <c r="AZ63" s="888"/>
      <c r="BA63" s="890"/>
      <c r="BB63" s="889"/>
      <c r="BC63" s="889"/>
      <c r="BD63" s="889"/>
    </row>
    <row r="64" spans="1:56" s="7" customFormat="1" ht="20.149999999999999" customHeight="1">
      <c r="A64" s="27" t="s">
        <v>255</v>
      </c>
      <c r="B64" s="126" t="s">
        <v>256</v>
      </c>
      <c r="C64" s="41">
        <f>100.836</f>
        <v>100.836</v>
      </c>
      <c r="D64" s="41">
        <f>(101342)*0.001</f>
        <v>101.342</v>
      </c>
      <c r="E64" s="41">
        <f>(99687)*0.001</f>
        <v>99.686999999999998</v>
      </c>
      <c r="F64" s="236">
        <f>(97256)*0.001</f>
        <v>97.256</v>
      </c>
      <c r="G64" s="237">
        <f>(101219)*0.001</f>
        <v>101.21900000000001</v>
      </c>
      <c r="H64" s="237">
        <f>(102957)*0.001</f>
        <v>102.95700000000001</v>
      </c>
      <c r="I64" s="237">
        <f>(102171)*0.001</f>
        <v>102.17100000000001</v>
      </c>
      <c r="J64" s="237">
        <f>(98659)*0.001</f>
        <v>98.659000000000006</v>
      </c>
      <c r="K64" s="249">
        <f>(101071)*0.001</f>
        <v>101.071</v>
      </c>
      <c r="L64" s="235">
        <v>431.9</v>
      </c>
      <c r="M64" s="235">
        <v>439.1</v>
      </c>
      <c r="N64" s="242">
        <v>464.4</v>
      </c>
      <c r="O64" s="245">
        <v>462.5</v>
      </c>
      <c r="P64" s="245">
        <v>479.4</v>
      </c>
      <c r="Q64" s="235">
        <v>4607.5</v>
      </c>
      <c r="R64" s="67">
        <v>4776.7</v>
      </c>
      <c r="S64" s="217">
        <v>41.5</v>
      </c>
      <c r="T64" s="217">
        <v>42.3</v>
      </c>
      <c r="U64" s="217">
        <v>41.9</v>
      </c>
      <c r="V64" s="67">
        <v>42.4</v>
      </c>
      <c r="W64" s="217">
        <v>981.4</v>
      </c>
      <c r="X64" s="217">
        <v>42.5</v>
      </c>
      <c r="Y64" s="217">
        <v>42.1</v>
      </c>
      <c r="Z64" s="67">
        <v>42.5</v>
      </c>
      <c r="AA64" s="217">
        <v>41.9</v>
      </c>
      <c r="AB64" s="217">
        <v>42.4</v>
      </c>
      <c r="AC64" s="217">
        <v>41.8</v>
      </c>
      <c r="AD64" s="67">
        <v>42.3</v>
      </c>
      <c r="AE64" s="217">
        <v>41.9</v>
      </c>
      <c r="AF64" s="217">
        <v>34.799999999999997</v>
      </c>
      <c r="AG64" s="220">
        <v>35.1</v>
      </c>
      <c r="AH64" s="67">
        <v>34.799999999999997</v>
      </c>
      <c r="AI64" s="217">
        <v>63.1</v>
      </c>
      <c r="AJ64" s="217">
        <v>48.9</v>
      </c>
      <c r="AK64" s="220">
        <v>41.1</v>
      </c>
      <c r="AL64" s="67">
        <v>38.700000000000003</v>
      </c>
      <c r="AM64" s="217">
        <v>38.6</v>
      </c>
      <c r="AN64" s="220">
        <v>38.6</v>
      </c>
      <c r="AO64" s="220">
        <v>39.200000000000003</v>
      </c>
      <c r="AP64" s="67">
        <v>66.400000000000006</v>
      </c>
      <c r="AQ64" s="217">
        <v>103.8</v>
      </c>
      <c r="AR64" s="219">
        <v>149</v>
      </c>
      <c r="AS64" s="220">
        <v>159.9</v>
      </c>
      <c r="AT64" s="67">
        <v>176</v>
      </c>
      <c r="AU64" s="217">
        <v>318</v>
      </c>
      <c r="AV64" s="219"/>
      <c r="AW64" s="220"/>
      <c r="AX64" s="67"/>
      <c r="AY64" s="887"/>
      <c r="AZ64" s="888"/>
      <c r="BB64" s="889"/>
      <c r="BC64" s="889"/>
    </row>
    <row r="65" spans="1:55" s="7" customFormat="1" ht="20.149999999999999" customHeight="1">
      <c r="A65" s="27" t="s">
        <v>271</v>
      </c>
      <c r="B65" s="128" t="s">
        <v>258</v>
      </c>
      <c r="C65" s="41">
        <f>0.237</f>
        <v>0.23699999999999999</v>
      </c>
      <c r="D65" s="41">
        <f>(243)*0.001</f>
        <v>0.24299999999999999</v>
      </c>
      <c r="E65" s="41">
        <f>(234)*0.001</f>
        <v>0.23400000000000001</v>
      </c>
      <c r="F65" s="236">
        <f>(233)*0.001</f>
        <v>0.23300000000000001</v>
      </c>
      <c r="G65" s="237">
        <f>(238)*0.001</f>
        <v>0.23800000000000002</v>
      </c>
      <c r="H65" s="237">
        <f>(247)*0.001</f>
        <v>0.247</v>
      </c>
      <c r="I65" s="237">
        <f>(240)*0.001</f>
        <v>0.24</v>
      </c>
      <c r="J65" s="237">
        <f>(236)*0.001</f>
        <v>0.23600000000000002</v>
      </c>
      <c r="K65" s="249">
        <f>(237)*0.001</f>
        <v>0.23700000000000002</v>
      </c>
      <c r="L65" s="235">
        <v>5.3</v>
      </c>
      <c r="M65" s="235">
        <v>5.8</v>
      </c>
      <c r="N65" s="242">
        <v>6.8</v>
      </c>
      <c r="O65" s="245">
        <v>2.7</v>
      </c>
      <c r="P65" s="245">
        <v>3.7</v>
      </c>
      <c r="Q65" s="235">
        <v>4.3</v>
      </c>
      <c r="R65" s="67">
        <v>4.3</v>
      </c>
      <c r="S65" s="217">
        <v>4.5</v>
      </c>
      <c r="T65" s="217">
        <v>4.9000000000000004</v>
      </c>
      <c r="U65" s="217">
        <v>4.9000000000000004</v>
      </c>
      <c r="V65" s="67">
        <v>5</v>
      </c>
      <c r="W65" s="217">
        <v>5.2</v>
      </c>
      <c r="X65" s="217">
        <v>7.6</v>
      </c>
      <c r="Y65" s="217">
        <v>7</v>
      </c>
      <c r="Z65" s="67">
        <v>9.6999999999999993</v>
      </c>
      <c r="AA65" s="217">
        <v>10.4</v>
      </c>
      <c r="AB65" s="217">
        <v>9.6999999999999993</v>
      </c>
      <c r="AC65" s="217">
        <v>10.7</v>
      </c>
      <c r="AD65" s="67">
        <v>8.1999999999999993</v>
      </c>
      <c r="AE65" s="217">
        <v>411.5</v>
      </c>
      <c r="AF65" s="217">
        <v>411.1</v>
      </c>
      <c r="AG65" s="220">
        <v>411.4</v>
      </c>
      <c r="AH65" s="67">
        <v>413.5</v>
      </c>
      <c r="AI65" s="217">
        <v>430.3</v>
      </c>
      <c r="AJ65" s="217">
        <v>418.8</v>
      </c>
      <c r="AK65" s="220">
        <v>420</v>
      </c>
      <c r="AL65" s="67">
        <v>432.5</v>
      </c>
      <c r="AM65" s="217">
        <v>198.7</v>
      </c>
      <c r="AN65" s="220">
        <v>201.5</v>
      </c>
      <c r="AO65" s="220">
        <v>196.8</v>
      </c>
      <c r="AP65" s="67">
        <v>201.1</v>
      </c>
      <c r="AQ65" s="217">
        <v>197.9</v>
      </c>
      <c r="AR65" s="219">
        <v>186.7</v>
      </c>
      <c r="AS65" s="220">
        <v>190.2</v>
      </c>
      <c r="AT65" s="67">
        <v>178.6</v>
      </c>
      <c r="AU65" s="217">
        <v>180.6</v>
      </c>
      <c r="AV65" s="219"/>
      <c r="AW65" s="220"/>
      <c r="AX65" s="67"/>
      <c r="AY65" s="887"/>
      <c r="AZ65" s="888"/>
      <c r="BB65" s="889"/>
      <c r="BC65" s="889"/>
    </row>
    <row r="66" spans="1:55" s="7" customFormat="1" ht="20.149999999999999" customHeight="1">
      <c r="A66" s="27" t="s">
        <v>259</v>
      </c>
      <c r="B66" s="126" t="s">
        <v>260</v>
      </c>
      <c r="C66" s="19">
        <v>0</v>
      </c>
      <c r="D66" s="19">
        <v>0</v>
      </c>
      <c r="E66" s="19">
        <v>0</v>
      </c>
      <c r="F66" s="253">
        <v>0</v>
      </c>
      <c r="G66" s="254">
        <v>0</v>
      </c>
      <c r="H66" s="254">
        <v>0</v>
      </c>
      <c r="I66" s="254">
        <v>0</v>
      </c>
      <c r="J66" s="254">
        <v>0</v>
      </c>
      <c r="K66" s="255">
        <v>0</v>
      </c>
      <c r="L66" s="235">
        <v>115.8</v>
      </c>
      <c r="M66" s="235">
        <v>113.9</v>
      </c>
      <c r="N66" s="242">
        <v>117.1</v>
      </c>
      <c r="O66" s="245">
        <v>113</v>
      </c>
      <c r="P66" s="245">
        <v>116.7</v>
      </c>
      <c r="Q66" s="235">
        <v>115.6</v>
      </c>
      <c r="R66" s="67">
        <v>117</v>
      </c>
      <c r="S66" s="217">
        <v>118</v>
      </c>
      <c r="T66" s="217">
        <v>123.1</v>
      </c>
      <c r="U66" s="217">
        <v>117.7</v>
      </c>
      <c r="V66" s="67">
        <v>121.5</v>
      </c>
      <c r="W66" s="217">
        <v>116.6</v>
      </c>
      <c r="X66" s="217">
        <v>117.6</v>
      </c>
      <c r="Y66" s="217">
        <v>117.6</v>
      </c>
      <c r="Z66" s="67">
        <v>114.5</v>
      </c>
      <c r="AA66" s="217">
        <v>116.3</v>
      </c>
      <c r="AB66" s="217">
        <v>121.3</v>
      </c>
      <c r="AC66" s="217">
        <v>116.6</v>
      </c>
      <c r="AD66" s="67">
        <v>118.1</v>
      </c>
      <c r="AE66" s="217">
        <v>118.9</v>
      </c>
      <c r="AF66" s="217">
        <v>118.3</v>
      </c>
      <c r="AG66" s="220">
        <v>119.3</v>
      </c>
      <c r="AH66" s="67">
        <v>116.9</v>
      </c>
      <c r="AI66" s="217">
        <v>125.8</v>
      </c>
      <c r="AJ66" s="217">
        <v>124.2</v>
      </c>
      <c r="AK66" s="220">
        <v>123.5</v>
      </c>
      <c r="AL66" s="67">
        <v>126.7</v>
      </c>
      <c r="AM66" s="217">
        <v>128.80000000000001</v>
      </c>
      <c r="AN66" s="220">
        <v>125.8</v>
      </c>
      <c r="AO66" s="220">
        <v>140</v>
      </c>
      <c r="AP66" s="67">
        <v>139.9</v>
      </c>
      <c r="AQ66" s="217">
        <v>142.4</v>
      </c>
      <c r="AR66" s="219">
        <v>144.19999999999999</v>
      </c>
      <c r="AS66" s="220">
        <v>0</v>
      </c>
      <c r="AT66" s="67">
        <v>0</v>
      </c>
      <c r="AU66" s="217">
        <v>0</v>
      </c>
      <c r="AV66" s="219"/>
      <c r="AW66" s="220"/>
      <c r="AX66" s="67"/>
      <c r="AY66" s="887"/>
      <c r="AZ66" s="888"/>
      <c r="BB66" s="889"/>
      <c r="BC66" s="889"/>
    </row>
    <row r="67" spans="1:55" s="7" customFormat="1" ht="20.149999999999999" customHeight="1">
      <c r="A67" s="27" t="s">
        <v>272</v>
      </c>
      <c r="B67" s="126" t="s">
        <v>273</v>
      </c>
      <c r="C67" s="19"/>
      <c r="D67" s="19"/>
      <c r="E67" s="19"/>
      <c r="F67" s="253"/>
      <c r="G67" s="254"/>
      <c r="H67" s="254"/>
      <c r="I67" s="254"/>
      <c r="J67" s="254"/>
      <c r="K67" s="255"/>
      <c r="L67" s="235"/>
      <c r="M67" s="235"/>
      <c r="N67" s="242"/>
      <c r="O67" s="245"/>
      <c r="P67" s="245"/>
      <c r="Q67" s="235"/>
      <c r="R67" s="67"/>
      <c r="S67" s="217"/>
      <c r="T67" s="217"/>
      <c r="U67" s="217"/>
      <c r="V67" s="67"/>
      <c r="W67" s="217"/>
      <c r="X67" s="217"/>
      <c r="Y67" s="217"/>
      <c r="Z67" s="67"/>
      <c r="AA67" s="220">
        <v>359</v>
      </c>
      <c r="AB67" s="217">
        <v>649.1</v>
      </c>
      <c r="AC67" s="217">
        <v>643.5</v>
      </c>
      <c r="AD67" s="67">
        <v>705.2</v>
      </c>
      <c r="AE67" s="220">
        <v>722.6</v>
      </c>
      <c r="AF67" s="217">
        <v>712.2</v>
      </c>
      <c r="AG67" s="220">
        <v>729.6</v>
      </c>
      <c r="AH67" s="67">
        <v>713.1</v>
      </c>
      <c r="AI67" s="220">
        <v>725.1</v>
      </c>
      <c r="AJ67" s="217">
        <v>686.4</v>
      </c>
      <c r="AK67" s="220">
        <v>671.7</v>
      </c>
      <c r="AL67" s="67">
        <v>675.6</v>
      </c>
      <c r="AM67" s="220">
        <v>663.1</v>
      </c>
      <c r="AN67" s="220">
        <v>646.70000000000005</v>
      </c>
      <c r="AO67" s="220">
        <v>668.3</v>
      </c>
      <c r="AP67" s="67">
        <v>650.79999999999995</v>
      </c>
      <c r="AQ67" s="220">
        <v>637.5</v>
      </c>
      <c r="AR67" s="219">
        <v>631.79999999999995</v>
      </c>
      <c r="AS67" s="220">
        <v>632.70000000000005</v>
      </c>
      <c r="AT67" s="67">
        <v>606.79999999999995</v>
      </c>
      <c r="AU67" s="220">
        <v>628.9</v>
      </c>
      <c r="AV67" s="219"/>
      <c r="AW67" s="220"/>
      <c r="AX67" s="67"/>
      <c r="AY67" s="887"/>
      <c r="AZ67" s="888"/>
      <c r="BB67" s="889"/>
      <c r="BC67" s="889"/>
    </row>
    <row r="68" spans="1:55" s="7" customFormat="1" ht="20.149999999999999" customHeight="1">
      <c r="A68" s="27" t="s">
        <v>274</v>
      </c>
      <c r="B68" s="126" t="s">
        <v>738</v>
      </c>
      <c r="C68" s="41">
        <f>435.427</f>
        <v>435.42700000000002</v>
      </c>
      <c r="D68" s="41">
        <f>(436188)*0.001</f>
        <v>436.18799999999999</v>
      </c>
      <c r="E68" s="41">
        <f>(441676)*0.001</f>
        <v>441.67599999999999</v>
      </c>
      <c r="F68" s="236">
        <f>(472094)*0.001</f>
        <v>472.09399999999999</v>
      </c>
      <c r="G68" s="237">
        <f>(432897)*0.001</f>
        <v>432.89699999999999</v>
      </c>
      <c r="H68" s="237">
        <f>(428004)*0.001</f>
        <v>428.00400000000002</v>
      </c>
      <c r="I68" s="237">
        <f>(390829)*0.001</f>
        <v>390.82900000000001</v>
      </c>
      <c r="J68" s="237">
        <f>(413210)*0.001</f>
        <v>413.21000000000004</v>
      </c>
      <c r="K68" s="249">
        <f>(418100)*0.001</f>
        <v>418.1</v>
      </c>
      <c r="L68" s="232">
        <v>1618.8</v>
      </c>
      <c r="M68" s="232">
        <v>1505.3</v>
      </c>
      <c r="N68" s="234">
        <v>1523</v>
      </c>
      <c r="O68" s="233">
        <v>1333.5</v>
      </c>
      <c r="P68" s="233">
        <v>1670.4</v>
      </c>
      <c r="Q68" s="232">
        <v>1431.5</v>
      </c>
      <c r="R68" s="67">
        <v>1485.4</v>
      </c>
      <c r="S68" s="220">
        <v>1711.4</v>
      </c>
      <c r="T68" s="220">
        <v>1365.9</v>
      </c>
      <c r="U68" s="220">
        <v>1338.1</v>
      </c>
      <c r="V68" s="67">
        <v>1569.5</v>
      </c>
      <c r="W68" s="220">
        <v>1337.9</v>
      </c>
      <c r="X68" s="220">
        <v>1694.4</v>
      </c>
      <c r="Y68" s="220">
        <v>1397.9</v>
      </c>
      <c r="Z68" s="67">
        <v>1727.3</v>
      </c>
      <c r="AA68" s="217">
        <v>1430.8</v>
      </c>
      <c r="AB68" s="220">
        <v>2254.9</v>
      </c>
      <c r="AC68" s="217">
        <v>2302.6999999999998</v>
      </c>
      <c r="AD68" s="67">
        <v>2382.4</v>
      </c>
      <c r="AE68" s="217">
        <v>2029.1</v>
      </c>
      <c r="AF68" s="220">
        <v>2691.7</v>
      </c>
      <c r="AG68" s="220">
        <v>2392.3000000000002</v>
      </c>
      <c r="AH68" s="67">
        <v>2420.8000000000002</v>
      </c>
      <c r="AI68" s="217">
        <v>2190</v>
      </c>
      <c r="AJ68" s="220">
        <v>2119.1999999999998</v>
      </c>
      <c r="AK68" s="220">
        <v>2744</v>
      </c>
      <c r="AL68" s="67">
        <v>2155.3000000000002</v>
      </c>
      <c r="AM68" s="217">
        <v>1855.9</v>
      </c>
      <c r="AN68" s="220">
        <v>1742.5</v>
      </c>
      <c r="AO68" s="220">
        <v>2368.1</v>
      </c>
      <c r="AP68" s="67">
        <v>2531.1999999999998</v>
      </c>
      <c r="AQ68" s="217">
        <v>2241.3000000000002</v>
      </c>
      <c r="AR68" s="219">
        <v>2461.3000000000002</v>
      </c>
      <c r="AS68" s="219">
        <v>2455.1999999999998</v>
      </c>
      <c r="AT68" s="67">
        <v>3767.1</v>
      </c>
      <c r="AU68" s="217">
        <v>2445.5</v>
      </c>
      <c r="AV68" s="219"/>
      <c r="AW68" s="219"/>
      <c r="AX68" s="67"/>
      <c r="AY68" s="887"/>
      <c r="AZ68" s="888"/>
      <c r="BA68" s="887"/>
      <c r="BB68" s="889"/>
      <c r="BC68" s="889"/>
    </row>
    <row r="69" spans="1:55" s="15" customFormat="1" ht="20.149999999999999" customHeight="1">
      <c r="A69" s="29" t="s">
        <v>267</v>
      </c>
      <c r="B69" s="130" t="s">
        <v>739</v>
      </c>
      <c r="C69" s="23">
        <v>0</v>
      </c>
      <c r="D69" s="23">
        <v>0</v>
      </c>
      <c r="E69" s="23">
        <v>0</v>
      </c>
      <c r="F69" s="215">
        <v>0</v>
      </c>
      <c r="G69" s="66">
        <v>0</v>
      </c>
      <c r="H69" s="66">
        <v>0</v>
      </c>
      <c r="I69" s="66">
        <v>0</v>
      </c>
      <c r="J69" s="250">
        <v>12</v>
      </c>
      <c r="K69" s="256">
        <v>0</v>
      </c>
      <c r="L69" s="66">
        <v>0</v>
      </c>
      <c r="M69" s="66">
        <v>0</v>
      </c>
      <c r="N69" s="250">
        <v>87</v>
      </c>
      <c r="O69" s="251">
        <v>99.7</v>
      </c>
      <c r="P69" s="251">
        <v>79</v>
      </c>
      <c r="Q69" s="257">
        <v>57.1</v>
      </c>
      <c r="R69" s="221">
        <v>72.900000000000006</v>
      </c>
      <c r="S69" s="197">
        <v>25.8</v>
      </c>
      <c r="T69" s="197">
        <v>3.5</v>
      </c>
      <c r="U69" s="197">
        <v>1.8</v>
      </c>
      <c r="V69" s="221">
        <v>0</v>
      </c>
      <c r="W69" s="197">
        <v>1.5</v>
      </c>
      <c r="X69" s="197">
        <v>0.6</v>
      </c>
      <c r="Y69" s="197">
        <v>0.5</v>
      </c>
      <c r="Z69" s="221">
        <v>3.6</v>
      </c>
      <c r="AA69" s="197">
        <v>2.8</v>
      </c>
      <c r="AB69" s="197">
        <v>4.2</v>
      </c>
      <c r="AC69" s="217">
        <v>5.5</v>
      </c>
      <c r="AD69" s="221">
        <v>8.8000000000000007</v>
      </c>
      <c r="AE69" s="197">
        <v>9.1</v>
      </c>
      <c r="AF69" s="197">
        <v>9</v>
      </c>
      <c r="AG69" s="198">
        <v>7.5</v>
      </c>
      <c r="AH69" s="67">
        <v>8.3000000000000007</v>
      </c>
      <c r="AI69" s="197">
        <v>37.799999999999997</v>
      </c>
      <c r="AJ69" s="197">
        <v>51.1</v>
      </c>
      <c r="AK69" s="198">
        <v>45.1</v>
      </c>
      <c r="AL69" s="221">
        <v>39.200000000000003</v>
      </c>
      <c r="AM69" s="197">
        <v>31.3</v>
      </c>
      <c r="AN69" s="198">
        <v>24.4</v>
      </c>
      <c r="AO69" s="198">
        <v>14.2</v>
      </c>
      <c r="AP69" s="221">
        <v>0</v>
      </c>
      <c r="AQ69" s="197">
        <v>0</v>
      </c>
      <c r="AR69" s="758">
        <v>0</v>
      </c>
      <c r="AS69" s="198">
        <v>0</v>
      </c>
      <c r="AT69" s="802">
        <v>2.1</v>
      </c>
      <c r="AU69" s="197">
        <v>0.5</v>
      </c>
      <c r="AV69" s="758"/>
      <c r="AW69" s="198"/>
      <c r="AX69" s="802"/>
      <c r="AY69" s="887"/>
      <c r="AZ69" s="888"/>
      <c r="BA69" s="7"/>
      <c r="BB69" s="889"/>
      <c r="BC69" s="889"/>
    </row>
    <row r="70" spans="1:55" s="15" customFormat="1">
      <c r="A70" s="177" t="s">
        <v>275</v>
      </c>
      <c r="B70" s="194" t="s">
        <v>276</v>
      </c>
      <c r="C70" s="23"/>
      <c r="D70" s="23"/>
      <c r="E70" s="23"/>
      <c r="F70" s="215"/>
      <c r="G70" s="66"/>
      <c r="H70" s="66"/>
      <c r="I70" s="66"/>
      <c r="J70" s="251"/>
      <c r="K70" s="256"/>
      <c r="L70" s="66"/>
      <c r="M70" s="66"/>
      <c r="N70" s="250"/>
      <c r="O70" s="251"/>
      <c r="P70" s="251"/>
      <c r="Q70" s="257"/>
      <c r="R70" s="221"/>
      <c r="S70" s="197"/>
      <c r="T70" s="197"/>
      <c r="U70" s="197"/>
      <c r="V70" s="221"/>
      <c r="W70" s="197"/>
      <c r="X70" s="197"/>
      <c r="Y70" s="197"/>
      <c r="Z70" s="221"/>
      <c r="AA70" s="197"/>
      <c r="AB70" s="197"/>
      <c r="AC70" s="217"/>
      <c r="AD70" s="221"/>
      <c r="AE70" s="197"/>
      <c r="AF70" s="197"/>
      <c r="AG70" s="198"/>
      <c r="AH70" s="67"/>
      <c r="AI70" s="197"/>
      <c r="AJ70" s="197"/>
      <c r="AK70" s="198"/>
      <c r="AL70" s="67">
        <v>415.7</v>
      </c>
      <c r="AM70" s="197">
        <v>0</v>
      </c>
      <c r="AN70" s="220">
        <v>767.5</v>
      </c>
      <c r="AO70" s="220">
        <v>511.7</v>
      </c>
      <c r="AP70" s="67">
        <v>0</v>
      </c>
      <c r="AQ70" s="197">
        <v>0</v>
      </c>
      <c r="AR70" s="219">
        <v>660.8</v>
      </c>
      <c r="AS70" s="220">
        <v>660.8</v>
      </c>
      <c r="AT70" s="67">
        <v>0</v>
      </c>
      <c r="AU70" s="197">
        <v>0</v>
      </c>
      <c r="AV70" s="219"/>
      <c r="AW70" s="220"/>
      <c r="AX70" s="67"/>
      <c r="AY70" s="887"/>
      <c r="AZ70" s="888"/>
      <c r="BA70" s="7"/>
      <c r="BB70" s="889"/>
      <c r="BC70" s="889"/>
    </row>
    <row r="71" spans="1:55" s="15" customFormat="1" ht="20.149999999999999" customHeight="1">
      <c r="A71" s="27" t="s">
        <v>277</v>
      </c>
      <c r="B71" s="126" t="s">
        <v>278</v>
      </c>
      <c r="C71" s="23"/>
      <c r="D71" s="23"/>
      <c r="E71" s="23"/>
      <c r="F71" s="215"/>
      <c r="G71" s="66"/>
      <c r="H71" s="66"/>
      <c r="I71" s="66"/>
      <c r="J71" s="251"/>
      <c r="K71" s="256"/>
      <c r="L71" s="66"/>
      <c r="M71" s="66"/>
      <c r="N71" s="250"/>
      <c r="O71" s="251"/>
      <c r="P71" s="251"/>
      <c r="Q71" s="257"/>
      <c r="R71" s="221"/>
      <c r="S71" s="197"/>
      <c r="T71" s="197"/>
      <c r="U71" s="197"/>
      <c r="V71" s="221"/>
      <c r="W71" s="197"/>
      <c r="X71" s="197"/>
      <c r="Y71" s="197"/>
      <c r="Z71" s="221"/>
      <c r="AA71" s="197"/>
      <c r="AB71" s="197"/>
      <c r="AC71" s="217"/>
      <c r="AD71" s="221"/>
      <c r="AE71" s="197"/>
      <c r="AF71" s="197"/>
      <c r="AG71" s="198"/>
      <c r="AH71" s="67"/>
      <c r="AI71" s="197"/>
      <c r="AJ71" s="197"/>
      <c r="AK71" s="198"/>
      <c r="AL71" s="67">
        <v>548</v>
      </c>
      <c r="AM71" s="197">
        <v>0</v>
      </c>
      <c r="AN71" s="198">
        <v>0</v>
      </c>
      <c r="AO71" s="198">
        <v>0</v>
      </c>
      <c r="AP71" s="67">
        <v>0</v>
      </c>
      <c r="AQ71" s="197">
        <v>0</v>
      </c>
      <c r="AR71" s="758">
        <v>0</v>
      </c>
      <c r="AS71" s="758">
        <v>0</v>
      </c>
      <c r="AT71" s="67">
        <v>0</v>
      </c>
      <c r="AU71" s="197">
        <v>0</v>
      </c>
      <c r="AV71" s="758"/>
      <c r="AW71" s="758"/>
      <c r="AX71" s="67"/>
      <c r="AY71" s="887"/>
      <c r="AZ71" s="888"/>
      <c r="BA71" s="7"/>
      <c r="BB71" s="889"/>
      <c r="BC71" s="889"/>
    </row>
    <row r="72" spans="1:55" s="7" customFormat="1" ht="20.149999999999999" customHeight="1">
      <c r="A72" s="27" t="s">
        <v>279</v>
      </c>
      <c r="B72" s="126" t="s">
        <v>280</v>
      </c>
      <c r="C72" s="41">
        <f>29.589</f>
        <v>29.588999999999999</v>
      </c>
      <c r="D72" s="41">
        <f>(7799)*0.001</f>
        <v>7.7990000000000004</v>
      </c>
      <c r="E72" s="41">
        <f>(6782)*0.001</f>
        <v>6.782</v>
      </c>
      <c r="F72" s="236">
        <f>(7092)*0.001</f>
        <v>7.0920000000000005</v>
      </c>
      <c r="G72" s="237">
        <f>(1990)*0.001</f>
        <v>1.99</v>
      </c>
      <c r="H72" s="237">
        <f>(6510)*0.001</f>
        <v>6.51</v>
      </c>
      <c r="I72" s="237">
        <f>(14152)*0.001</f>
        <v>14.152000000000001</v>
      </c>
      <c r="J72" s="237">
        <f>(4520)*0.001</f>
        <v>4.5200000000000005</v>
      </c>
      <c r="K72" s="249">
        <f>(12203)*0.001</f>
        <v>12.202999999999999</v>
      </c>
      <c r="L72" s="235">
        <v>43.7</v>
      </c>
      <c r="M72" s="235">
        <v>22.1</v>
      </c>
      <c r="N72" s="242">
        <v>48.028993427171699</v>
      </c>
      <c r="O72" s="245">
        <v>22.5</v>
      </c>
      <c r="P72" s="245">
        <v>132.69999999999999</v>
      </c>
      <c r="Q72" s="235">
        <v>96.3</v>
      </c>
      <c r="R72" s="67">
        <v>176.1</v>
      </c>
      <c r="S72" s="217">
        <v>29.2</v>
      </c>
      <c r="T72" s="217">
        <v>39.1</v>
      </c>
      <c r="U72" s="217">
        <v>21.967722325707697</v>
      </c>
      <c r="V72" s="67">
        <v>24.9</v>
      </c>
      <c r="W72" s="217">
        <v>4.3</v>
      </c>
      <c r="X72" s="217">
        <v>24.9</v>
      </c>
      <c r="Y72" s="217">
        <v>17.5</v>
      </c>
      <c r="Z72" s="67">
        <v>61.3</v>
      </c>
      <c r="AA72" s="217">
        <v>60.1</v>
      </c>
      <c r="AB72" s="217">
        <v>44.9</v>
      </c>
      <c r="AC72" s="217">
        <v>62.3</v>
      </c>
      <c r="AD72" s="67">
        <v>151.1</v>
      </c>
      <c r="AE72" s="217">
        <v>191.1</v>
      </c>
      <c r="AF72" s="217">
        <v>154.30000000000001</v>
      </c>
      <c r="AG72" s="220">
        <v>192.4</v>
      </c>
      <c r="AH72" s="67">
        <v>276.60000000000002</v>
      </c>
      <c r="AI72" s="217">
        <v>335.6</v>
      </c>
      <c r="AJ72" s="217">
        <v>126.1</v>
      </c>
      <c r="AK72" s="220">
        <v>100.2</v>
      </c>
      <c r="AL72" s="67">
        <v>128.9</v>
      </c>
      <c r="AM72" s="217">
        <v>171</v>
      </c>
      <c r="AN72" s="220">
        <v>65</v>
      </c>
      <c r="AO72" s="220">
        <v>954.6</v>
      </c>
      <c r="AP72" s="67">
        <v>964.2</v>
      </c>
      <c r="AQ72" s="217">
        <v>1007</v>
      </c>
      <c r="AR72" s="219">
        <v>91.5</v>
      </c>
      <c r="AS72" s="219">
        <v>107.9</v>
      </c>
      <c r="AT72" s="804">
        <v>74.3</v>
      </c>
      <c r="AU72" s="217">
        <v>81.400000000000006</v>
      </c>
      <c r="AV72" s="219"/>
      <c r="AW72" s="219"/>
      <c r="AX72" s="804"/>
      <c r="AY72" s="887"/>
      <c r="AZ72" s="888"/>
      <c r="BB72" s="889"/>
      <c r="BC72" s="889"/>
    </row>
    <row r="73" spans="1:55" s="7" customFormat="1" ht="20.149999999999999" customHeight="1">
      <c r="A73" s="27" t="s">
        <v>281</v>
      </c>
      <c r="B73" s="126" t="s">
        <v>282</v>
      </c>
      <c r="C73" s="41">
        <f>12.532</f>
        <v>12.532</v>
      </c>
      <c r="D73" s="41">
        <f>(12125)*0.001</f>
        <v>12.125</v>
      </c>
      <c r="E73" s="41">
        <f>(12084)*0.001</f>
        <v>12.084</v>
      </c>
      <c r="F73" s="236">
        <f>(13259)*0.001</f>
        <v>13.259</v>
      </c>
      <c r="G73" s="237">
        <f>(13182)*0.001</f>
        <v>13.182</v>
      </c>
      <c r="H73" s="237">
        <f>(12551)*0.001</f>
        <v>12.551</v>
      </c>
      <c r="I73" s="237">
        <f>(12536)*0.001</f>
        <v>12.536</v>
      </c>
      <c r="J73" s="237">
        <f>(2727)*0.001</f>
        <v>2.7269999999999999</v>
      </c>
      <c r="K73" s="249">
        <f>(2843)*0.001</f>
        <v>2.843</v>
      </c>
      <c r="L73" s="235">
        <v>2.6</v>
      </c>
      <c r="M73" s="235">
        <v>2.7</v>
      </c>
      <c r="N73" s="242">
        <v>1.4</v>
      </c>
      <c r="O73" s="245">
        <v>1.4</v>
      </c>
      <c r="P73" s="258" t="s">
        <v>283</v>
      </c>
      <c r="Q73" s="258" t="s">
        <v>283</v>
      </c>
      <c r="R73" s="222" t="s">
        <v>283</v>
      </c>
      <c r="S73" s="223" t="s">
        <v>283</v>
      </c>
      <c r="T73" s="223" t="s">
        <v>283</v>
      </c>
      <c r="U73" s="223" t="s">
        <v>283</v>
      </c>
      <c r="V73" s="222" t="s">
        <v>283</v>
      </c>
      <c r="W73" s="223" t="s">
        <v>283</v>
      </c>
      <c r="X73" s="223" t="s">
        <v>283</v>
      </c>
      <c r="Y73" s="223" t="s">
        <v>283</v>
      </c>
      <c r="Z73" s="222" t="s">
        <v>283</v>
      </c>
      <c r="AA73" s="223" t="s">
        <v>283</v>
      </c>
      <c r="AB73" s="223" t="s">
        <v>283</v>
      </c>
      <c r="AC73" s="223" t="s">
        <v>283</v>
      </c>
      <c r="AD73" s="222" t="s">
        <v>283</v>
      </c>
      <c r="AE73" s="223" t="s">
        <v>283</v>
      </c>
      <c r="AF73" s="223" t="s">
        <v>283</v>
      </c>
      <c r="AG73" s="223" t="s">
        <v>283</v>
      </c>
      <c r="AH73" s="222" t="s">
        <v>283</v>
      </c>
      <c r="AI73" s="223" t="s">
        <v>283</v>
      </c>
      <c r="AJ73" s="223" t="s">
        <v>283</v>
      </c>
      <c r="AK73" s="223" t="s">
        <v>283</v>
      </c>
      <c r="AL73" s="222" t="s">
        <v>283</v>
      </c>
      <c r="AM73" s="223" t="s">
        <v>283</v>
      </c>
      <c r="AN73" s="223" t="s">
        <v>283</v>
      </c>
      <c r="AO73" s="223" t="s">
        <v>283</v>
      </c>
      <c r="AP73" s="222" t="s">
        <v>283</v>
      </c>
      <c r="AQ73" s="223" t="s">
        <v>283</v>
      </c>
      <c r="AR73" s="759" t="s">
        <v>283</v>
      </c>
      <c r="AS73" s="223" t="s">
        <v>283</v>
      </c>
      <c r="AT73" s="222" t="s">
        <v>283</v>
      </c>
      <c r="AU73" s="223" t="s">
        <v>283</v>
      </c>
      <c r="AV73" s="759" t="s">
        <v>283</v>
      </c>
      <c r="AW73" s="223" t="s">
        <v>283</v>
      </c>
      <c r="AX73" s="222" t="s">
        <v>283</v>
      </c>
      <c r="AY73" s="887"/>
      <c r="AZ73" s="888"/>
      <c r="BB73" s="889"/>
      <c r="BC73" s="889"/>
    </row>
    <row r="74" spans="1:55" s="7" customFormat="1" ht="20.149999999999999" customHeight="1" thickBot="1">
      <c r="A74" s="27" t="s">
        <v>263</v>
      </c>
      <c r="B74" s="126" t="s">
        <v>264</v>
      </c>
      <c r="C74" s="41">
        <f>188.402</f>
        <v>188.40199999999999</v>
      </c>
      <c r="D74" s="41">
        <f>(209950)*0.001</f>
        <v>209.95000000000002</v>
      </c>
      <c r="E74" s="41">
        <f>(210563)*0.001</f>
        <v>210.56300000000002</v>
      </c>
      <c r="F74" s="236">
        <f>(201238)*0.001</f>
        <v>201.238</v>
      </c>
      <c r="G74" s="237">
        <f>(207890)*0.001</f>
        <v>207.89000000000001</v>
      </c>
      <c r="H74" s="237">
        <f>(204442)*0.001</f>
        <v>204.44200000000001</v>
      </c>
      <c r="I74" s="237">
        <f>(210688)*0.001</f>
        <v>210.68800000000002</v>
      </c>
      <c r="J74" s="237">
        <f>(209485)*0.001</f>
        <v>209.48500000000001</v>
      </c>
      <c r="K74" s="249">
        <f>(228170)*0.001</f>
        <v>228.17000000000002</v>
      </c>
      <c r="L74" s="235">
        <v>678</v>
      </c>
      <c r="M74" s="235">
        <v>672.7</v>
      </c>
      <c r="N74" s="242">
        <v>683.9</v>
      </c>
      <c r="O74" s="245">
        <v>670.3</v>
      </c>
      <c r="P74" s="245">
        <v>672</v>
      </c>
      <c r="Q74" s="235">
        <v>680.9</v>
      </c>
      <c r="R74" s="67">
        <v>676.1</v>
      </c>
      <c r="S74" s="217">
        <v>665</v>
      </c>
      <c r="T74" s="217">
        <v>676.8</v>
      </c>
      <c r="U74" s="217">
        <v>660.84343092999995</v>
      </c>
      <c r="V74" s="67">
        <v>647.9</v>
      </c>
      <c r="W74" s="217">
        <v>633.79999999999995</v>
      </c>
      <c r="X74" s="217">
        <v>637.29999999999995</v>
      </c>
      <c r="Y74" s="217">
        <v>629.5</v>
      </c>
      <c r="Z74" s="67">
        <v>618.29999999999995</v>
      </c>
      <c r="AA74" s="217">
        <v>356</v>
      </c>
      <c r="AB74" s="217">
        <v>39.799999999999997</v>
      </c>
      <c r="AC74" s="217">
        <v>65</v>
      </c>
      <c r="AD74" s="67">
        <v>0</v>
      </c>
      <c r="AE74" s="217">
        <v>0</v>
      </c>
      <c r="AF74" s="217">
        <v>0</v>
      </c>
      <c r="AG74" s="217">
        <v>0</v>
      </c>
      <c r="AH74" s="67">
        <v>0</v>
      </c>
      <c r="AI74" s="217">
        <v>0</v>
      </c>
      <c r="AJ74" s="217">
        <v>0</v>
      </c>
      <c r="AK74" s="217">
        <v>0</v>
      </c>
      <c r="AL74" s="67">
        <v>0</v>
      </c>
      <c r="AM74" s="217">
        <v>0</v>
      </c>
      <c r="AN74" s="217">
        <v>0</v>
      </c>
      <c r="AO74" s="217">
        <v>0</v>
      </c>
      <c r="AP74" s="67">
        <v>0</v>
      </c>
      <c r="AQ74" s="217">
        <v>0</v>
      </c>
      <c r="AR74" s="757">
        <v>0</v>
      </c>
      <c r="AS74" s="217">
        <v>0</v>
      </c>
      <c r="AT74" s="67">
        <v>0</v>
      </c>
      <c r="AU74" s="217">
        <v>0</v>
      </c>
      <c r="AV74" s="757"/>
      <c r="AW74" s="217"/>
      <c r="AX74" s="67"/>
      <c r="AY74" s="887"/>
      <c r="AZ74" s="888"/>
      <c r="BB74" s="889"/>
      <c r="BC74" s="889"/>
    </row>
    <row r="75" spans="1:55" s="226" customFormat="1" ht="25" customHeight="1" thickBot="1">
      <c r="A75" s="400" t="s">
        <v>284</v>
      </c>
      <c r="B75" s="404" t="s">
        <v>285</v>
      </c>
      <c r="C75" s="401">
        <f t="shared" ref="C75:M75" si="29">SUM(C63:C74)</f>
        <v>1017.386</v>
      </c>
      <c r="D75" s="402">
        <f t="shared" si="29"/>
        <v>1033.443</v>
      </c>
      <c r="E75" s="402">
        <f t="shared" si="29"/>
        <v>1009.7019999999999</v>
      </c>
      <c r="F75" s="403">
        <f t="shared" si="29"/>
        <v>1066.78</v>
      </c>
      <c r="G75" s="402">
        <f t="shared" si="29"/>
        <v>1007.745</v>
      </c>
      <c r="H75" s="402">
        <f t="shared" si="29"/>
        <v>1018.1</v>
      </c>
      <c r="I75" s="402">
        <f t="shared" si="29"/>
        <v>945.28899999999999</v>
      </c>
      <c r="J75" s="403">
        <f t="shared" si="29"/>
        <v>986.83100000000002</v>
      </c>
      <c r="K75" s="401">
        <f t="shared" si="29"/>
        <v>1003.5449999999998</v>
      </c>
      <c r="L75" s="402">
        <f t="shared" si="29"/>
        <v>3990.3999999999992</v>
      </c>
      <c r="M75" s="402">
        <f t="shared" si="29"/>
        <v>4126.7</v>
      </c>
      <c r="N75" s="403">
        <f t="shared" ref="N75:U75" si="30">SUM(N63:N74)-N69</f>
        <v>4167.2289934271712</v>
      </c>
      <c r="O75" s="401">
        <f t="shared" si="30"/>
        <v>4149.8</v>
      </c>
      <c r="P75" s="402">
        <f t="shared" si="30"/>
        <v>4244.8</v>
      </c>
      <c r="Q75" s="402">
        <f t="shared" si="30"/>
        <v>7899.8</v>
      </c>
      <c r="R75" s="403">
        <f t="shared" si="30"/>
        <v>8466.5000000000018</v>
      </c>
      <c r="S75" s="401">
        <f t="shared" si="30"/>
        <v>4162.5999999999995</v>
      </c>
      <c r="T75" s="402">
        <f t="shared" si="30"/>
        <v>3503.3999999999996</v>
      </c>
      <c r="U75" s="402">
        <f t="shared" si="30"/>
        <v>3454.8111532557077</v>
      </c>
      <c r="V75" s="403">
        <f t="shared" ref="V75" si="31">SUM(V63:V74)-V69</f>
        <v>3681.2000000000003</v>
      </c>
      <c r="W75" s="401">
        <f t="shared" ref="W75:X75" si="32">SUM(W63:W74)-W69</f>
        <v>4366</v>
      </c>
      <c r="X75" s="402">
        <f t="shared" si="32"/>
        <v>4330.2</v>
      </c>
      <c r="Y75" s="402">
        <f t="shared" ref="Y75:Z75" si="33">SUM(Y63:Y74)-Y69</f>
        <v>4036.3999999999996</v>
      </c>
      <c r="Z75" s="403">
        <f t="shared" si="33"/>
        <v>3915.5000000000005</v>
      </c>
      <c r="AA75" s="401">
        <f t="shared" ref="AA75:AH75" si="34">SUM(AA63:AA74)-AA69</f>
        <v>2927.4</v>
      </c>
      <c r="AB75" s="402">
        <f t="shared" si="34"/>
        <v>4236.8</v>
      </c>
      <c r="AC75" s="402">
        <f t="shared" si="34"/>
        <v>4611.5</v>
      </c>
      <c r="AD75" s="403">
        <f t="shared" si="34"/>
        <v>5018.6000000000004</v>
      </c>
      <c r="AE75" s="401">
        <f t="shared" si="34"/>
        <v>4813.3000000000011</v>
      </c>
      <c r="AF75" s="402">
        <f t="shared" si="34"/>
        <v>5401.4000000000005</v>
      </c>
      <c r="AG75" s="402">
        <f t="shared" si="34"/>
        <v>5628.6</v>
      </c>
      <c r="AH75" s="403">
        <f t="shared" si="34"/>
        <v>5868.2000000000007</v>
      </c>
      <c r="AI75" s="401">
        <f t="shared" ref="AI75:AK75" si="35">SUM(AI63:AI74)-AI69</f>
        <v>5111.5</v>
      </c>
      <c r="AJ75" s="402">
        <f t="shared" si="35"/>
        <v>3888.2</v>
      </c>
      <c r="AK75" s="402">
        <f t="shared" si="35"/>
        <v>4658</v>
      </c>
      <c r="AL75" s="403">
        <f>SUM(AL63:AL74)-AL69</f>
        <v>5274.4</v>
      </c>
      <c r="AM75" s="401">
        <f t="shared" ref="AM75:AO75" si="36">SUM(AM63:AM74)-AM69</f>
        <v>4003.5</v>
      </c>
      <c r="AN75" s="402">
        <f t="shared" si="36"/>
        <v>4641</v>
      </c>
      <c r="AO75" s="402">
        <f t="shared" si="36"/>
        <v>6803.2</v>
      </c>
      <c r="AP75" s="403">
        <f>SUM(AP63:AP74)-AP69</f>
        <v>5626.3</v>
      </c>
      <c r="AQ75" s="401">
        <f t="shared" ref="AQ75:AS75" si="37">SUM(AQ63:AQ74)-AQ69</f>
        <v>5549</v>
      </c>
      <c r="AR75" s="755">
        <f>SUM(AR63:AR74)-AR69</f>
        <v>5682.5000000000009</v>
      </c>
      <c r="AS75" s="402">
        <f t="shared" si="37"/>
        <v>5573.9</v>
      </c>
      <c r="AT75" s="803">
        <f>SUM(AT63:AT74)-AT69</f>
        <v>6315.4000000000005</v>
      </c>
      <c r="AU75" s="401">
        <f t="shared" ref="AU75" si="38">SUM(AU63:AU74)-AU69</f>
        <v>6030.7</v>
      </c>
      <c r="AV75" s="755">
        <f>SUM(AV63:AV74)-AV69</f>
        <v>0</v>
      </c>
      <c r="AW75" s="402">
        <f t="shared" ref="AW75" si="39">SUM(AW63:AW74)-AW69</f>
        <v>0</v>
      </c>
      <c r="AX75" s="803">
        <f>SUM(AX63:AX74)-AX69</f>
        <v>0</v>
      </c>
      <c r="AY75" s="887"/>
      <c r="AZ75" s="888"/>
      <c r="BA75" s="7"/>
      <c r="BB75" s="889"/>
      <c r="BC75" s="889"/>
    </row>
    <row r="76" spans="1:55" s="7" customFormat="1" ht="20.149999999999999" customHeight="1">
      <c r="A76" s="225" t="s">
        <v>286</v>
      </c>
      <c r="B76" s="208" t="s">
        <v>287</v>
      </c>
      <c r="C76" s="41"/>
      <c r="D76" s="41"/>
      <c r="E76" s="41"/>
      <c r="F76" s="236"/>
      <c r="G76" s="237"/>
      <c r="H76" s="237"/>
      <c r="I76" s="237"/>
      <c r="J76" s="237"/>
      <c r="K76" s="249"/>
      <c r="L76" s="235"/>
      <c r="M76" s="235"/>
      <c r="N76" s="242"/>
      <c r="O76" s="245"/>
      <c r="P76" s="258"/>
      <c r="Q76" s="258"/>
      <c r="R76" s="222"/>
      <c r="S76" s="223"/>
      <c r="T76" s="223"/>
      <c r="U76" s="223"/>
      <c r="V76" s="222"/>
      <c r="W76" s="223"/>
      <c r="X76" s="223"/>
      <c r="Y76" s="223"/>
      <c r="Z76" s="222"/>
      <c r="AA76" s="223"/>
      <c r="AB76" s="223"/>
      <c r="AC76" s="223"/>
      <c r="AD76" s="222"/>
      <c r="AE76" s="223"/>
      <c r="AF76" s="223"/>
      <c r="AG76" s="223"/>
      <c r="AH76" s="222"/>
      <c r="AI76" s="223"/>
      <c r="AJ76" s="223"/>
      <c r="AK76" s="223"/>
      <c r="AL76" s="222"/>
      <c r="AM76" s="217">
        <v>1284.2</v>
      </c>
      <c r="AN76" s="217">
        <v>1223.8</v>
      </c>
      <c r="AO76" s="217">
        <v>0</v>
      </c>
      <c r="AP76" s="222"/>
      <c r="AQ76" s="217"/>
      <c r="AR76" s="757"/>
      <c r="AS76" s="217"/>
      <c r="AT76" s="222"/>
      <c r="AU76" s="217"/>
      <c r="AV76" s="757"/>
      <c r="AW76" s="217"/>
      <c r="AX76" s="222"/>
      <c r="AY76" s="887"/>
      <c r="AZ76" s="888"/>
      <c r="BB76" s="889"/>
      <c r="BC76" s="889"/>
    </row>
    <row r="77" spans="1:55" s="7" customFormat="1" ht="20.149999999999999" customHeight="1" thickBot="1">
      <c r="A77" s="395" t="s">
        <v>288</v>
      </c>
      <c r="B77" s="396" t="s">
        <v>289</v>
      </c>
      <c r="C77" s="41"/>
      <c r="D77" s="41"/>
      <c r="E77" s="41"/>
      <c r="F77" s="236"/>
      <c r="G77" s="237"/>
      <c r="H77" s="237"/>
      <c r="I77" s="237"/>
      <c r="J77" s="237"/>
      <c r="K77" s="249"/>
      <c r="L77" s="235"/>
      <c r="M77" s="235"/>
      <c r="N77" s="242"/>
      <c r="O77" s="245"/>
      <c r="P77" s="258"/>
      <c r="Q77" s="258"/>
      <c r="R77" s="222"/>
      <c r="S77" s="223"/>
      <c r="T77" s="223"/>
      <c r="U77" s="223"/>
      <c r="V77" s="222"/>
      <c r="W77" s="223"/>
      <c r="X77" s="223"/>
      <c r="Y77" s="223"/>
      <c r="Z77" s="222"/>
      <c r="AA77" s="223"/>
      <c r="AB77" s="223"/>
      <c r="AC77" s="223"/>
      <c r="AD77" s="222"/>
      <c r="AE77" s="223"/>
      <c r="AF77" s="223"/>
      <c r="AG77" s="223"/>
      <c r="AH77" s="222"/>
      <c r="AI77" s="223"/>
      <c r="AJ77" s="223"/>
      <c r="AK77" s="223"/>
      <c r="AL77" s="222"/>
      <c r="AM77" s="197">
        <v>803.1</v>
      </c>
      <c r="AN77" s="197">
        <v>769.4</v>
      </c>
      <c r="AO77" s="197">
        <v>0</v>
      </c>
      <c r="AP77" s="222"/>
      <c r="AQ77" s="197"/>
      <c r="AR77" s="754"/>
      <c r="AS77" s="197"/>
      <c r="AT77" s="222"/>
      <c r="AU77" s="197"/>
      <c r="AV77" s="754"/>
      <c r="AW77" s="197"/>
      <c r="AX77" s="222"/>
      <c r="AY77" s="887"/>
      <c r="AZ77" s="888"/>
      <c r="BB77" s="889"/>
      <c r="BC77" s="889"/>
    </row>
    <row r="78" spans="1:55" s="226" customFormat="1" ht="25" customHeight="1" thickBot="1">
      <c r="A78" s="400" t="s">
        <v>290</v>
      </c>
      <c r="B78" s="404" t="s">
        <v>291</v>
      </c>
      <c r="C78" s="401" t="e">
        <f>C62+C75</f>
        <v>#VALUE!</v>
      </c>
      <c r="D78" s="402">
        <f>D62+D75</f>
        <v>3405.5320000000002</v>
      </c>
      <c r="E78" s="402">
        <f>E62+E75</f>
        <v>3159.9589999999994</v>
      </c>
      <c r="F78" s="403">
        <f t="shared" ref="F78:U78" si="40">F75+F62</f>
        <v>3092.942</v>
      </c>
      <c r="G78" s="402">
        <f t="shared" si="40"/>
        <v>3067.306</v>
      </c>
      <c r="H78" s="402">
        <f t="shared" si="40"/>
        <v>2945.4119999999998</v>
      </c>
      <c r="I78" s="402">
        <f t="shared" si="40"/>
        <v>2772.4030000000002</v>
      </c>
      <c r="J78" s="403">
        <f t="shared" si="40"/>
        <v>2687.0169999999998</v>
      </c>
      <c r="K78" s="401">
        <f t="shared" si="40"/>
        <v>2742.8450000000003</v>
      </c>
      <c r="L78" s="402">
        <f t="shared" si="40"/>
        <v>18735.399999999998</v>
      </c>
      <c r="M78" s="402">
        <f t="shared" si="40"/>
        <v>18350.5</v>
      </c>
      <c r="N78" s="403">
        <f t="shared" si="40"/>
        <v>18260.528993427175</v>
      </c>
      <c r="O78" s="401">
        <f t="shared" si="40"/>
        <v>17777</v>
      </c>
      <c r="P78" s="402">
        <f t="shared" si="40"/>
        <v>17584</v>
      </c>
      <c r="Q78" s="402">
        <f t="shared" si="40"/>
        <v>16083.5</v>
      </c>
      <c r="R78" s="403">
        <f t="shared" si="40"/>
        <v>16240.000000000002</v>
      </c>
      <c r="S78" s="401">
        <f t="shared" si="40"/>
        <v>17950.3</v>
      </c>
      <c r="T78" s="402">
        <f t="shared" si="40"/>
        <v>16819.5</v>
      </c>
      <c r="U78" s="402">
        <f t="shared" si="40"/>
        <v>16459.611153255708</v>
      </c>
      <c r="V78" s="403">
        <f t="shared" ref="V78:W78" si="41">V75+V62</f>
        <v>16351.700000000003</v>
      </c>
      <c r="W78" s="401">
        <f t="shared" si="41"/>
        <v>15904.9</v>
      </c>
      <c r="X78" s="402">
        <f t="shared" ref="X78:Y78" si="42">X75+X62</f>
        <v>15592.399999999998</v>
      </c>
      <c r="Y78" s="402">
        <f t="shared" si="42"/>
        <v>14932.699999999999</v>
      </c>
      <c r="Z78" s="403">
        <f t="shared" ref="Z78" si="43">Z75+Z62</f>
        <v>15639.2</v>
      </c>
      <c r="AA78" s="401">
        <f t="shared" ref="AA78:AH78" si="44">AA75+AA62</f>
        <v>14989.4</v>
      </c>
      <c r="AB78" s="402">
        <f t="shared" si="44"/>
        <v>16297.599999999999</v>
      </c>
      <c r="AC78" s="402">
        <f t="shared" si="44"/>
        <v>16714</v>
      </c>
      <c r="AD78" s="403">
        <f t="shared" si="44"/>
        <v>16821.599999999999</v>
      </c>
      <c r="AE78" s="401">
        <f t="shared" si="44"/>
        <v>17291.2</v>
      </c>
      <c r="AF78" s="402">
        <f t="shared" si="44"/>
        <v>17440.7</v>
      </c>
      <c r="AG78" s="402">
        <f t="shared" si="44"/>
        <v>17122.600000000002</v>
      </c>
      <c r="AH78" s="403">
        <f t="shared" si="44"/>
        <v>18125.099999999999</v>
      </c>
      <c r="AI78" s="401">
        <f t="shared" ref="AI78:AL78" si="45">AI75+AI62</f>
        <v>18018.7</v>
      </c>
      <c r="AJ78" s="402">
        <f t="shared" si="45"/>
        <v>17684.800000000003</v>
      </c>
      <c r="AK78" s="402">
        <f t="shared" si="45"/>
        <v>18170.8</v>
      </c>
      <c r="AL78" s="403">
        <f t="shared" si="45"/>
        <v>18688.800000000003</v>
      </c>
      <c r="AM78" s="401">
        <f>AM75+AM62+AM76</f>
        <v>17588.199999999997</v>
      </c>
      <c r="AN78" s="402">
        <f>AN75+AN62+AN76</f>
        <v>17959.900000000001</v>
      </c>
      <c r="AO78" s="402">
        <f t="shared" ref="AO78:AP78" si="46">AO75+AO62</f>
        <v>18463.2</v>
      </c>
      <c r="AP78" s="403">
        <f t="shared" si="46"/>
        <v>16852.399999999998</v>
      </c>
      <c r="AQ78" s="401">
        <f>AQ75+AQ62+AQ76</f>
        <v>16288.300000000001</v>
      </c>
      <c r="AR78" s="755">
        <f>AR75+AR62+AR76</f>
        <v>16389.200000000004</v>
      </c>
      <c r="AS78" s="402">
        <f t="shared" ref="AS78:AT78" si="47">AS75+AS62</f>
        <v>16031.699999999999</v>
      </c>
      <c r="AT78" s="803">
        <f t="shared" si="47"/>
        <v>16495.800000000003</v>
      </c>
      <c r="AU78" s="401">
        <f>AU75+AU62+AU76</f>
        <v>16940.900000000001</v>
      </c>
      <c r="AV78" s="755">
        <f>AV75+AV62+AV76</f>
        <v>0</v>
      </c>
      <c r="AW78" s="402">
        <f t="shared" ref="AW78:AX78" si="48">AW75+AW62</f>
        <v>0</v>
      </c>
      <c r="AX78" s="803">
        <f t="shared" si="48"/>
        <v>0</v>
      </c>
      <c r="AY78" s="887"/>
      <c r="AZ78" s="888"/>
      <c r="BA78" s="7"/>
      <c r="BB78" s="889"/>
      <c r="BC78" s="889"/>
    </row>
    <row r="79" spans="1:55" s="227" customFormat="1" ht="25" customHeight="1">
      <c r="A79" s="391" t="s">
        <v>292</v>
      </c>
      <c r="B79" s="391" t="s">
        <v>227</v>
      </c>
      <c r="C79" s="392" t="e">
        <f t="shared" ref="C79:U79" si="49">C78+C53</f>
        <v>#VALUE!</v>
      </c>
      <c r="D79" s="393">
        <f t="shared" si="49"/>
        <v>5597.8010000000004</v>
      </c>
      <c r="E79" s="393">
        <f t="shared" si="49"/>
        <v>5514.8739999999998</v>
      </c>
      <c r="F79" s="394">
        <f t="shared" si="49"/>
        <v>5561.3450000000003</v>
      </c>
      <c r="G79" s="393">
        <f t="shared" si="49"/>
        <v>5629.4740000000002</v>
      </c>
      <c r="H79" s="393">
        <f t="shared" si="49"/>
        <v>5592.7070000000003</v>
      </c>
      <c r="I79" s="393">
        <f t="shared" si="49"/>
        <v>5597.9809999999998</v>
      </c>
      <c r="J79" s="394">
        <f t="shared" si="49"/>
        <v>5688.23</v>
      </c>
      <c r="K79" s="392">
        <f t="shared" si="49"/>
        <v>5851.1939999999995</v>
      </c>
      <c r="L79" s="393">
        <f t="shared" si="49"/>
        <v>27827.1</v>
      </c>
      <c r="M79" s="393">
        <f t="shared" si="49"/>
        <v>27481.200000000001</v>
      </c>
      <c r="N79" s="394">
        <f t="shared" si="49"/>
        <v>27338.728993427176</v>
      </c>
      <c r="O79" s="392">
        <f t="shared" si="49"/>
        <v>27088.9</v>
      </c>
      <c r="P79" s="393">
        <f t="shared" si="49"/>
        <v>27141.800000000003</v>
      </c>
      <c r="Q79" s="393">
        <f t="shared" si="49"/>
        <v>26143.5</v>
      </c>
      <c r="R79" s="394">
        <f t="shared" si="49"/>
        <v>26490.100000000002</v>
      </c>
      <c r="S79" s="392">
        <f t="shared" si="49"/>
        <v>28355.5</v>
      </c>
      <c r="T79" s="393">
        <f t="shared" si="49"/>
        <v>27581.1</v>
      </c>
      <c r="U79" s="393">
        <f t="shared" si="49"/>
        <v>27493.111153255708</v>
      </c>
      <c r="V79" s="394">
        <f t="shared" ref="V79:W79" si="50">V78+V53</f>
        <v>27729.300000000003</v>
      </c>
      <c r="W79" s="392">
        <f t="shared" si="50"/>
        <v>27553.199999999997</v>
      </c>
      <c r="X79" s="393">
        <f t="shared" ref="X79:Y79" si="51">X78+X53</f>
        <v>27317.5</v>
      </c>
      <c r="Y79" s="393">
        <f t="shared" si="51"/>
        <v>26892.6</v>
      </c>
      <c r="Z79" s="394">
        <f t="shared" ref="Z79" si="52">Z78+Z53</f>
        <v>27756</v>
      </c>
      <c r="AA79" s="392">
        <f t="shared" ref="AA79:AH79" si="53">AA78+AA53</f>
        <v>27894.400000000001</v>
      </c>
      <c r="AB79" s="393">
        <f t="shared" si="53"/>
        <v>29751.599999999999</v>
      </c>
      <c r="AC79" s="393">
        <f t="shared" si="53"/>
        <v>30395.3</v>
      </c>
      <c r="AD79" s="394">
        <f t="shared" si="53"/>
        <v>30696.799999999999</v>
      </c>
      <c r="AE79" s="392">
        <f t="shared" si="53"/>
        <v>31463.800000000003</v>
      </c>
      <c r="AF79" s="393">
        <f t="shared" si="53"/>
        <v>31359.200000000001</v>
      </c>
      <c r="AG79" s="393">
        <f t="shared" si="53"/>
        <v>31277.700000000004</v>
      </c>
      <c r="AH79" s="394">
        <f t="shared" si="53"/>
        <v>32589.599999999999</v>
      </c>
      <c r="AI79" s="392">
        <f t="shared" ref="AI79:AL79" si="54">AI78+AI53</f>
        <v>32658.700000000004</v>
      </c>
      <c r="AJ79" s="393">
        <f t="shared" si="54"/>
        <v>32622.800000000003</v>
      </c>
      <c r="AK79" s="393">
        <f t="shared" si="54"/>
        <v>32814.1</v>
      </c>
      <c r="AL79" s="394">
        <f t="shared" si="54"/>
        <v>33115</v>
      </c>
      <c r="AM79" s="392">
        <f t="shared" ref="AM79:AP79" si="55">AM78+AM53</f>
        <v>32954.5</v>
      </c>
      <c r="AN79" s="393">
        <f t="shared" si="55"/>
        <v>32922.300000000003</v>
      </c>
      <c r="AO79" s="393">
        <f t="shared" si="55"/>
        <v>35967.4</v>
      </c>
      <c r="AP79" s="394">
        <f t="shared" si="55"/>
        <v>32236.999999999996</v>
      </c>
      <c r="AQ79" s="392">
        <f t="shared" ref="AQ79:AT79" si="56">AQ78+AQ53</f>
        <v>31895.200000000004</v>
      </c>
      <c r="AR79" s="393">
        <f>AR78+AR53</f>
        <v>31814.000000000007</v>
      </c>
      <c r="AS79" s="393">
        <f t="shared" si="56"/>
        <v>31686.199999999997</v>
      </c>
      <c r="AT79" s="394">
        <f t="shared" si="56"/>
        <v>32306.600000000002</v>
      </c>
      <c r="AU79" s="392">
        <f t="shared" ref="AU79" si="57">AU78+AU53</f>
        <v>32810.600000000006</v>
      </c>
      <c r="AV79" s="393">
        <f>AV78+AV53</f>
        <v>0</v>
      </c>
      <c r="AW79" s="393">
        <f t="shared" ref="AW79:AX79" si="58">AW78+AW53</f>
        <v>0</v>
      </c>
      <c r="AX79" s="394">
        <f t="shared" si="58"/>
        <v>0</v>
      </c>
      <c r="AY79" s="887"/>
      <c r="AZ79" s="888"/>
      <c r="BA79" s="7"/>
      <c r="BB79" s="889"/>
      <c r="BC79" s="889"/>
    </row>
    <row r="80" spans="1:55" s="7" customFormat="1">
      <c r="A80" s="28"/>
      <c r="B80" s="125"/>
      <c r="Z80" s="5"/>
      <c r="AA80" s="5"/>
      <c r="AB80" s="5"/>
      <c r="AC80" s="5"/>
      <c r="AD80" s="5"/>
      <c r="AE80" s="5"/>
      <c r="AF80" s="5"/>
      <c r="AG80" s="5"/>
      <c r="AH80" s="5"/>
      <c r="AI80" s="5"/>
      <c r="AJ80" s="5"/>
      <c r="AK80" s="5"/>
      <c r="AL80" s="5"/>
      <c r="AM80" s="5"/>
      <c r="AN80" s="5"/>
      <c r="AO80" s="5"/>
      <c r="AP80" s="5"/>
      <c r="AQ80" s="5"/>
      <c r="AR80" s="5"/>
      <c r="AS80" s="5"/>
      <c r="AT80" s="5"/>
      <c r="AU80" s="5"/>
      <c r="AV80" s="5"/>
      <c r="AW80" s="5"/>
      <c r="AX80" s="5"/>
    </row>
    <row r="81" spans="1:50" s="7" customFormat="1">
      <c r="A81" s="28"/>
      <c r="B81" s="125"/>
      <c r="Z81" s="5"/>
      <c r="AA81" s="5"/>
      <c r="AB81" s="5"/>
      <c r="AC81" s="5"/>
      <c r="AD81" s="5"/>
      <c r="AE81" s="5"/>
      <c r="AF81" s="5"/>
      <c r="AG81" s="5"/>
      <c r="AH81" s="5"/>
      <c r="AI81" s="5"/>
      <c r="AJ81" s="5"/>
      <c r="AK81" s="5"/>
      <c r="AL81" s="5"/>
      <c r="AM81" s="5"/>
      <c r="AN81" s="5"/>
      <c r="AO81" s="5"/>
      <c r="AP81" s="5"/>
      <c r="AQ81" s="5"/>
      <c r="AR81" s="5"/>
      <c r="AS81" s="750"/>
      <c r="AT81" s="5"/>
      <c r="AU81" s="5"/>
      <c r="AV81" s="5"/>
      <c r="AW81" s="750"/>
      <c r="AX81" s="5"/>
    </row>
    <row r="82" spans="1:50" s="180" customFormat="1" ht="30.75" customHeight="1">
      <c r="A82" s="183" t="s">
        <v>293</v>
      </c>
      <c r="B82" s="178" t="s">
        <v>294</v>
      </c>
      <c r="C82" s="179"/>
      <c r="D82" s="179"/>
      <c r="E82" s="179"/>
      <c r="F82" s="179"/>
      <c r="G82" s="179"/>
      <c r="H82" s="179"/>
      <c r="I82" s="179"/>
      <c r="J82" s="179"/>
      <c r="K82" s="179"/>
      <c r="L82" s="179"/>
      <c r="M82" s="179"/>
      <c r="N82" s="179"/>
      <c r="O82" s="179"/>
      <c r="P82" s="179"/>
      <c r="Q82" s="179"/>
      <c r="R82" s="179"/>
      <c r="Z82" s="224"/>
      <c r="AA82" s="224"/>
      <c r="AB82" s="224"/>
      <c r="AC82" s="224"/>
      <c r="AD82" s="224"/>
      <c r="AE82" s="224"/>
      <c r="AF82" s="224"/>
      <c r="AG82" s="224"/>
      <c r="AH82" s="224"/>
      <c r="AI82" s="224"/>
      <c r="AJ82" s="224"/>
      <c r="AK82" s="224"/>
      <c r="AL82" s="224"/>
      <c r="AM82" s="224"/>
      <c r="AN82" s="224"/>
      <c r="AO82" s="224"/>
      <c r="AP82" s="224"/>
      <c r="AQ82" s="224"/>
      <c r="AR82" s="224"/>
      <c r="AS82" s="224"/>
      <c r="AT82" s="799"/>
      <c r="AU82" s="224"/>
      <c r="AV82" s="224"/>
      <c r="AW82" s="224"/>
      <c r="AX82" s="799"/>
    </row>
    <row r="83" spans="1:50" s="180" customFormat="1" ht="44.25" customHeight="1">
      <c r="A83" s="183" t="s">
        <v>295</v>
      </c>
      <c r="B83" s="178" t="s">
        <v>296</v>
      </c>
      <c r="C83" s="179"/>
      <c r="D83" s="179"/>
      <c r="E83" s="179"/>
      <c r="F83" s="179"/>
      <c r="G83" s="179"/>
      <c r="H83" s="179"/>
      <c r="I83" s="179"/>
      <c r="J83" s="179"/>
      <c r="K83" s="179"/>
      <c r="L83" s="179"/>
      <c r="M83" s="179"/>
      <c r="N83" s="179"/>
      <c r="O83" s="179"/>
      <c r="P83" s="179"/>
      <c r="Q83" s="179"/>
      <c r="R83" s="179"/>
    </row>
    <row r="84" spans="1:50" s="180" customFormat="1" ht="66.75" customHeight="1">
      <c r="A84" s="183" t="s">
        <v>297</v>
      </c>
      <c r="B84" s="181" t="s">
        <v>298</v>
      </c>
      <c r="C84" s="182"/>
      <c r="D84" s="182"/>
      <c r="E84" s="182"/>
      <c r="F84" s="182"/>
      <c r="G84" s="182"/>
      <c r="H84" s="182"/>
      <c r="I84" s="182"/>
      <c r="J84" s="182"/>
      <c r="K84" s="182"/>
      <c r="L84" s="182"/>
      <c r="M84" s="182"/>
      <c r="N84" s="182"/>
      <c r="O84" s="182"/>
      <c r="P84" s="182"/>
      <c r="Q84" s="182"/>
      <c r="R84" s="182"/>
    </row>
    <row r="85" spans="1:50" s="180" customFormat="1" ht="110.25" customHeight="1">
      <c r="A85" s="185" t="s">
        <v>299</v>
      </c>
      <c r="B85" s="184" t="s">
        <v>300</v>
      </c>
    </row>
    <row r="86" spans="1:50" s="7" customFormat="1" ht="57.75" customHeight="1">
      <c r="A86" s="135" t="s">
        <v>301</v>
      </c>
      <c r="B86" s="898" t="s">
        <v>302</v>
      </c>
    </row>
    <row r="87" spans="1:50" s="7" customFormat="1" ht="71.25" customHeight="1">
      <c r="A87" s="135" t="s">
        <v>303</v>
      </c>
      <c r="B87" s="898" t="s">
        <v>740</v>
      </c>
    </row>
  </sheetData>
  <customSheetViews>
    <customSheetView guid="{ED9E521F-BC9B-4E88-8A9F-5288A046401B}" showPageBreaks="1" showGridLines="0" fitToPage="1" printArea="1">
      <pane xSplit="1" ySplit="4" topLeftCell="B62" activePane="bottomRight" state="frozen"/>
      <selection pane="bottomRight" activeCell="AN51" sqref="AN51"/>
      <pageMargins left="0" right="0" top="0" bottom="0" header="0" footer="0"/>
      <pageSetup paperSize="9" scale="26" orientation="landscape" r:id="rId1"/>
    </customSheetView>
    <customSheetView guid="{634BFE77-A2AA-4FA6-8ED5-F02244B9F10C}" showPageBreaks="1" showGridLines="0" fitToPage="1" printArea="1" hiddenColumns="1">
      <pane xSplit="1" ySplit="4" topLeftCell="AG65" activePane="bottomRight" state="frozen"/>
      <selection pane="bottomRight" activeCell="AM77" sqref="AM77"/>
      <pageMargins left="0" right="0" top="0" bottom="0" header="0" footer="0"/>
      <pageSetup paperSize="9" scale="27" orientation="landscape"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1" ySplit="4" topLeftCell="AK70" activePane="bottomRight" state="frozen"/>
      <selection pane="bottomRight" activeCell="AN74" sqref="AN74:AN75"/>
      <pageMargins left="0" right="0" top="0" bottom="0" header="0" footer="0"/>
      <pageSetup paperSize="9" scale="27" orientation="landscape" r:id="rId3"/>
    </customSheetView>
    <customSheetView guid="{B87BD74C-18F3-4393-BF03-31B25889E08F}" showGridLines="0" fitToPage="1">
      <pane xSplit="1" ySplit="4" topLeftCell="AL65" activePane="bottomRight" state="frozen"/>
      <selection pane="bottomRight" activeCell="AM51" sqref="AM51"/>
      <pageMargins left="0" right="0" top="0" bottom="0" header="0" footer="0"/>
      <pageSetup paperSize="9" scale="10" orientation="landscape" r:id="rId4"/>
    </customSheetView>
  </customSheetViews>
  <mergeCells count="12">
    <mergeCell ref="AU2:AX2"/>
    <mergeCell ref="AQ2:AT2"/>
    <mergeCell ref="AM2:AP2"/>
    <mergeCell ref="C2:F2"/>
    <mergeCell ref="G2:J2"/>
    <mergeCell ref="K2:N2"/>
    <mergeCell ref="O2:R2"/>
    <mergeCell ref="AI2:AL2"/>
    <mergeCell ref="AE2:AH2"/>
    <mergeCell ref="AA2:AD2"/>
    <mergeCell ref="W2:Z2"/>
    <mergeCell ref="S2:V2"/>
  </mergeCells>
  <phoneticPr fontId="8" type="noConversion"/>
  <pageMargins left="0.70866141732283472" right="0.70866141732283472" top="0.74803149606299213" bottom="0.74803149606299213" header="0.31496062992125984" footer="0.31496062992125984"/>
  <pageSetup paperSize="9" scale="26" orientation="landscape" r:id="rId5"/>
  <headerFooter>
    <oddFooter>&amp;L&amp;1#&amp;"Calibri"&amp;8&amp;K000000TAJEMNICA PRZEDSIĘBIORSTWA w rozumieniu art. 11 ust. 2 ustawy z dnia 16 kwietnia 1993 r. o zwalczaniu nieuczciwej konkurencji – DO UŻYTKU SŁUŻBOWEGO</oddFooter>
  </headerFooter>
  <ignoredErrors>
    <ignoredError sqref="G34 I34 D34 AD23" formula="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M152"/>
  <sheetViews>
    <sheetView showGridLines="0" tabSelected="1" zoomScale="90" zoomScaleNormal="90" zoomScaleSheetLayoutView="110" workbookViewId="0">
      <pane xSplit="1" ySplit="4" topLeftCell="B21" activePane="bottomRight" state="frozen"/>
      <selection pane="topRight" activeCell="B1" sqref="B1"/>
      <selection pane="bottomLeft" activeCell="A5" sqref="A5"/>
      <selection pane="bottomRight" activeCell="B27" sqref="B27"/>
    </sheetView>
  </sheetViews>
  <sheetFormatPr defaultColWidth="9" defaultRowHeight="12.9" outlineLevelCol="1"/>
  <cols>
    <col min="1" max="1" width="45.640625" style="135" customWidth="1"/>
    <col min="2" max="2" width="47.85546875" style="135" customWidth="1"/>
    <col min="3" max="3" width="13.140625" style="4" hidden="1" customWidth="1" outlineLevel="1"/>
    <col min="4" max="5" width="13" style="4" hidden="1" customWidth="1" outlineLevel="1"/>
    <col min="6" max="6" width="12.5" style="4" hidden="1" customWidth="1" outlineLevel="1"/>
    <col min="7" max="7" width="13" style="4" hidden="1" customWidth="1" outlineLevel="1"/>
    <col min="8" max="9" width="12.85546875" style="4" hidden="1" customWidth="1" outlineLevel="1"/>
    <col min="10" max="10" width="12.5" style="4" hidden="1" customWidth="1" outlineLevel="1"/>
    <col min="11" max="12" width="13" style="4" hidden="1" customWidth="1" outlineLevel="1"/>
    <col min="13" max="13" width="12.85546875" style="4" hidden="1" customWidth="1" outlineLevel="1"/>
    <col min="14" max="14" width="12.5" style="4" hidden="1" customWidth="1" outlineLevel="1"/>
    <col min="15" max="29" width="13" style="4" hidden="1" customWidth="1" outlineLevel="1"/>
    <col min="30" max="30" width="14.140625" style="4" hidden="1" customWidth="1" outlineLevel="1"/>
    <col min="31" max="34" width="13" style="6" hidden="1" customWidth="1" outlineLevel="1"/>
    <col min="35" max="46" width="13.140625" style="6" hidden="1" customWidth="1" outlineLevel="1"/>
    <col min="47" max="47" width="13.140625" style="6" customWidth="1" collapsed="1"/>
    <col min="48" max="54" width="13.140625" style="6" customWidth="1"/>
    <col min="55" max="56" width="9" style="4"/>
    <col min="57" max="57" width="11.85546875" style="4" bestFit="1" customWidth="1"/>
    <col min="58" max="16384" width="9" style="4"/>
  </cols>
  <sheetData>
    <row r="1" spans="1:481" s="10" customFormat="1" ht="89.25" customHeight="1">
      <c r="A1" s="195"/>
      <c r="B1" s="3"/>
      <c r="C1" s="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c r="IW1" s="9"/>
      <c r="IX1" s="9"/>
      <c r="IY1" s="9"/>
      <c r="IZ1" s="9"/>
      <c r="JA1" s="9"/>
      <c r="JB1" s="9"/>
      <c r="JC1" s="9"/>
      <c r="JD1" s="9"/>
      <c r="JE1" s="9"/>
      <c r="JF1" s="9"/>
      <c r="JG1" s="9"/>
      <c r="JH1" s="9"/>
      <c r="JI1" s="9"/>
      <c r="JJ1" s="9"/>
      <c r="JK1" s="9"/>
      <c r="JL1" s="9"/>
      <c r="JM1" s="9"/>
      <c r="JN1" s="9"/>
      <c r="JO1" s="9"/>
      <c r="JP1" s="9"/>
      <c r="JQ1" s="9"/>
      <c r="JR1" s="9"/>
      <c r="JS1" s="9"/>
      <c r="JT1" s="9"/>
      <c r="JU1" s="9"/>
      <c r="JV1" s="9"/>
      <c r="JW1" s="9"/>
      <c r="JX1" s="9"/>
      <c r="JY1" s="9"/>
      <c r="JZ1" s="9"/>
      <c r="KA1" s="9"/>
      <c r="KB1" s="9"/>
      <c r="KC1" s="9"/>
      <c r="KD1" s="9"/>
      <c r="KE1" s="9"/>
      <c r="KF1" s="9"/>
      <c r="KG1" s="9"/>
      <c r="KH1" s="9"/>
      <c r="KI1" s="9"/>
      <c r="KJ1" s="9"/>
      <c r="KK1" s="9"/>
      <c r="KL1" s="9"/>
      <c r="KM1" s="9"/>
      <c r="KN1" s="9"/>
      <c r="KO1" s="9"/>
      <c r="KP1" s="9"/>
      <c r="KQ1" s="9"/>
      <c r="KR1" s="9"/>
      <c r="KS1" s="9"/>
      <c r="KT1" s="9"/>
      <c r="KU1" s="9"/>
      <c r="KV1" s="9"/>
      <c r="KW1" s="9"/>
      <c r="KX1" s="9"/>
      <c r="KY1" s="9"/>
      <c r="KZ1" s="9"/>
      <c r="LA1" s="9"/>
      <c r="LB1" s="9"/>
      <c r="LC1" s="9"/>
      <c r="LD1" s="9"/>
      <c r="LE1" s="9"/>
      <c r="LF1" s="9"/>
      <c r="LG1" s="9"/>
      <c r="LH1" s="9"/>
      <c r="LI1" s="9"/>
      <c r="LJ1" s="9"/>
      <c r="LK1" s="9"/>
      <c r="LL1" s="9"/>
      <c r="LM1" s="9"/>
      <c r="LN1" s="9"/>
      <c r="LO1" s="9"/>
      <c r="LP1" s="9"/>
      <c r="LQ1" s="9"/>
      <c r="LR1" s="9"/>
      <c r="LS1" s="9"/>
      <c r="LT1" s="9"/>
      <c r="LU1" s="9"/>
      <c r="LV1" s="9"/>
      <c r="LW1" s="9"/>
      <c r="LX1" s="9"/>
      <c r="LY1" s="9"/>
      <c r="LZ1" s="9"/>
      <c r="MA1" s="9"/>
      <c r="MB1" s="9"/>
      <c r="MC1" s="9"/>
      <c r="MD1" s="9"/>
      <c r="ME1" s="9"/>
      <c r="MF1" s="9"/>
      <c r="MG1" s="9"/>
      <c r="MH1" s="9"/>
      <c r="MI1" s="9"/>
      <c r="MJ1" s="9"/>
      <c r="MK1" s="9"/>
      <c r="ML1" s="9"/>
      <c r="MM1" s="9"/>
      <c r="MN1" s="9"/>
      <c r="MO1" s="9"/>
      <c r="MP1" s="9"/>
      <c r="MQ1" s="9"/>
      <c r="MR1" s="9"/>
      <c r="MS1" s="9"/>
      <c r="MT1" s="9"/>
      <c r="MU1" s="9"/>
      <c r="MV1" s="9"/>
      <c r="MW1" s="9"/>
      <c r="MX1" s="9"/>
      <c r="MY1" s="9"/>
      <c r="MZ1" s="9"/>
      <c r="NA1" s="9"/>
      <c r="NB1" s="9"/>
      <c r="NC1" s="9"/>
      <c r="ND1" s="9"/>
      <c r="NE1" s="9"/>
      <c r="NF1" s="9"/>
      <c r="NG1" s="9"/>
      <c r="NH1" s="9"/>
      <c r="NI1" s="9"/>
      <c r="NJ1" s="9"/>
      <c r="NK1" s="9"/>
      <c r="NL1" s="9"/>
      <c r="NM1" s="9"/>
      <c r="NN1" s="9"/>
      <c r="NO1" s="9"/>
      <c r="NP1" s="9"/>
      <c r="NQ1" s="9"/>
      <c r="NR1" s="9"/>
      <c r="NS1" s="9"/>
      <c r="NT1" s="9"/>
      <c r="NU1" s="9"/>
      <c r="NV1" s="9"/>
      <c r="NW1" s="9"/>
      <c r="NX1" s="9"/>
      <c r="NY1" s="9"/>
      <c r="NZ1" s="9"/>
      <c r="OA1" s="9"/>
      <c r="OB1" s="9"/>
      <c r="OC1" s="9"/>
      <c r="OD1" s="9"/>
      <c r="OE1" s="9"/>
      <c r="OF1" s="9"/>
      <c r="OG1" s="9"/>
      <c r="OH1" s="9"/>
      <c r="OI1" s="9"/>
      <c r="OJ1" s="9"/>
      <c r="OK1" s="9"/>
      <c r="OL1" s="9"/>
      <c r="OM1" s="9"/>
      <c r="ON1" s="9"/>
      <c r="OO1" s="9"/>
      <c r="OP1" s="9"/>
      <c r="OQ1" s="9"/>
      <c r="OR1" s="9"/>
      <c r="OS1" s="9"/>
      <c r="OT1" s="9"/>
      <c r="OU1" s="9"/>
      <c r="OV1" s="9"/>
      <c r="OW1" s="9"/>
      <c r="OX1" s="9"/>
      <c r="OY1" s="9"/>
      <c r="OZ1" s="9"/>
      <c r="PA1" s="9"/>
      <c r="PB1" s="9"/>
      <c r="PC1" s="9"/>
      <c r="PD1" s="9"/>
      <c r="PE1" s="9"/>
      <c r="PF1" s="9"/>
      <c r="PG1" s="9"/>
      <c r="PH1" s="9"/>
      <c r="PI1" s="9"/>
      <c r="PJ1" s="9"/>
      <c r="PK1" s="9"/>
      <c r="PL1" s="9"/>
      <c r="PM1" s="9"/>
      <c r="PN1" s="9"/>
      <c r="PO1" s="9"/>
      <c r="PP1" s="9"/>
      <c r="PQ1" s="9"/>
      <c r="PR1" s="9"/>
      <c r="PS1" s="9"/>
      <c r="PT1" s="9"/>
      <c r="PU1" s="9"/>
      <c r="PV1" s="9"/>
      <c r="PW1" s="9"/>
      <c r="PX1" s="9"/>
      <c r="PY1" s="9"/>
      <c r="PZ1" s="9"/>
      <c r="QA1" s="9"/>
      <c r="QB1" s="9"/>
      <c r="QC1" s="9"/>
      <c r="QD1" s="9"/>
      <c r="QE1" s="9"/>
      <c r="QF1" s="9"/>
      <c r="QG1" s="9"/>
      <c r="QH1" s="9"/>
      <c r="QI1" s="9"/>
      <c r="QJ1" s="9"/>
      <c r="QK1" s="9"/>
      <c r="QL1" s="9"/>
      <c r="QM1" s="9"/>
      <c r="QN1" s="9"/>
      <c r="QO1" s="9"/>
      <c r="QP1" s="9"/>
      <c r="QQ1" s="9"/>
      <c r="QR1" s="9"/>
      <c r="QS1" s="9"/>
      <c r="QT1" s="9"/>
      <c r="QU1" s="9"/>
      <c r="QV1" s="9"/>
      <c r="QW1" s="9"/>
      <c r="QX1" s="9"/>
      <c r="QY1" s="9"/>
      <c r="QZ1" s="9"/>
      <c r="RA1" s="9"/>
      <c r="RB1" s="9"/>
      <c r="RC1" s="9"/>
      <c r="RD1" s="9"/>
      <c r="RE1" s="9"/>
      <c r="RF1" s="9"/>
      <c r="RG1" s="9"/>
      <c r="RH1" s="9"/>
      <c r="RI1" s="9"/>
      <c r="RJ1" s="9"/>
      <c r="RK1" s="9"/>
      <c r="RL1" s="9"/>
      <c r="RM1" s="9"/>
    </row>
    <row r="2" spans="1:481" s="10" customFormat="1" ht="42.75" customHeight="1">
      <c r="A2" s="323" t="s">
        <v>304</v>
      </c>
      <c r="B2" s="670" t="s">
        <v>305</v>
      </c>
      <c r="C2" s="912">
        <v>2012</v>
      </c>
      <c r="D2" s="912"/>
      <c r="E2" s="912"/>
      <c r="F2" s="912"/>
      <c r="G2" s="915">
        <v>2013</v>
      </c>
      <c r="H2" s="912"/>
      <c r="I2" s="912"/>
      <c r="J2" s="916"/>
      <c r="K2" s="912">
        <v>2014</v>
      </c>
      <c r="L2" s="912"/>
      <c r="M2" s="912"/>
      <c r="N2" s="912"/>
      <c r="O2" s="915">
        <v>2015</v>
      </c>
      <c r="P2" s="912"/>
      <c r="Q2" s="912"/>
      <c r="R2" s="916"/>
      <c r="S2" s="912">
        <v>2016</v>
      </c>
      <c r="T2" s="912"/>
      <c r="U2" s="912"/>
      <c r="V2" s="912"/>
      <c r="W2" s="915" t="s">
        <v>306</v>
      </c>
      <c r="X2" s="912"/>
      <c r="Y2" s="912"/>
      <c r="Z2" s="916"/>
      <c r="AA2" s="912" t="s">
        <v>307</v>
      </c>
      <c r="AB2" s="913"/>
      <c r="AC2" s="913"/>
      <c r="AD2" s="913"/>
      <c r="AE2" s="915" t="s">
        <v>308</v>
      </c>
      <c r="AF2" s="913"/>
      <c r="AG2" s="913"/>
      <c r="AH2" s="914"/>
      <c r="AI2" s="912" t="s">
        <v>309</v>
      </c>
      <c r="AJ2" s="912"/>
      <c r="AK2" s="912"/>
      <c r="AL2" s="912"/>
      <c r="AM2" s="915">
        <v>2020</v>
      </c>
      <c r="AN2" s="913"/>
      <c r="AO2" s="913"/>
      <c r="AP2" s="914"/>
      <c r="AQ2" s="912">
        <v>2021</v>
      </c>
      <c r="AR2" s="913"/>
      <c r="AS2" s="913"/>
      <c r="AT2" s="914"/>
      <c r="AU2" s="912">
        <v>2022</v>
      </c>
      <c r="AV2" s="913"/>
      <c r="AW2" s="913"/>
      <c r="AX2" s="914"/>
      <c r="AY2" s="912">
        <v>2023</v>
      </c>
      <c r="AZ2" s="913"/>
      <c r="BA2" s="913"/>
      <c r="BB2" s="914"/>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9"/>
      <c r="IP2" s="9"/>
      <c r="IQ2" s="9"/>
      <c r="IR2" s="9"/>
      <c r="IS2" s="9"/>
      <c r="IT2" s="9"/>
      <c r="IU2" s="9"/>
      <c r="IV2" s="9"/>
      <c r="IW2" s="9"/>
      <c r="IX2" s="9"/>
      <c r="IY2" s="9"/>
      <c r="IZ2" s="9"/>
      <c r="JA2" s="9"/>
      <c r="JB2" s="9"/>
      <c r="JC2" s="9"/>
      <c r="JD2" s="9"/>
      <c r="JE2" s="9"/>
      <c r="JF2" s="9"/>
      <c r="JG2" s="9"/>
      <c r="JH2" s="9"/>
      <c r="JI2" s="9"/>
      <c r="JJ2" s="9"/>
      <c r="JK2" s="9"/>
      <c r="JL2" s="9"/>
      <c r="JM2" s="9"/>
      <c r="JN2" s="9"/>
      <c r="JO2" s="9"/>
      <c r="JP2" s="9"/>
      <c r="JQ2" s="9"/>
      <c r="JR2" s="9"/>
      <c r="JS2" s="9"/>
      <c r="JT2" s="9"/>
      <c r="JU2" s="9"/>
      <c r="JV2" s="9"/>
      <c r="JW2" s="9"/>
      <c r="JX2" s="9"/>
      <c r="JY2" s="9"/>
      <c r="JZ2" s="9"/>
      <c r="KA2" s="9"/>
      <c r="KB2" s="9"/>
      <c r="KC2" s="9"/>
      <c r="KD2" s="9"/>
      <c r="KE2" s="9"/>
      <c r="KF2" s="9"/>
      <c r="KG2" s="9"/>
      <c r="KH2" s="9"/>
      <c r="KI2" s="9"/>
      <c r="KJ2" s="9"/>
      <c r="KK2" s="9"/>
      <c r="KL2" s="9"/>
      <c r="KM2" s="9"/>
      <c r="KN2" s="9"/>
      <c r="KO2" s="9"/>
      <c r="KP2" s="9"/>
      <c r="KQ2" s="9"/>
      <c r="KR2" s="9"/>
      <c r="KS2" s="9"/>
      <c r="KT2" s="9"/>
      <c r="KU2" s="9"/>
      <c r="KV2" s="9"/>
      <c r="KW2" s="9"/>
      <c r="KX2" s="9"/>
      <c r="KY2" s="9"/>
      <c r="KZ2" s="9"/>
      <c r="LA2" s="9"/>
      <c r="LB2" s="9"/>
      <c r="LC2" s="9"/>
      <c r="LD2" s="9"/>
      <c r="LE2" s="9"/>
      <c r="LF2" s="9"/>
      <c r="LG2" s="9"/>
      <c r="LH2" s="9"/>
      <c r="LI2" s="9"/>
      <c r="LJ2" s="9"/>
      <c r="LK2" s="9"/>
      <c r="LL2" s="9"/>
      <c r="LM2" s="9"/>
      <c r="LN2" s="9"/>
      <c r="LO2" s="9"/>
      <c r="LP2" s="9"/>
      <c r="LQ2" s="9"/>
      <c r="LR2" s="9"/>
      <c r="LS2" s="9"/>
      <c r="LT2" s="9"/>
      <c r="LU2" s="9"/>
      <c r="LV2" s="9"/>
      <c r="LW2" s="9"/>
      <c r="LX2" s="9"/>
      <c r="LY2" s="9"/>
      <c r="LZ2" s="9"/>
      <c r="MA2" s="9"/>
      <c r="MB2" s="9"/>
      <c r="MC2" s="9"/>
      <c r="MD2" s="9"/>
      <c r="ME2" s="9"/>
      <c r="MF2" s="9"/>
      <c r="MG2" s="9"/>
      <c r="MH2" s="9"/>
      <c r="MI2" s="9"/>
      <c r="MJ2" s="9"/>
      <c r="MK2" s="9"/>
      <c r="ML2" s="9"/>
      <c r="MM2" s="9"/>
      <c r="MN2" s="9"/>
      <c r="MO2" s="9"/>
      <c r="MP2" s="9"/>
      <c r="MQ2" s="9"/>
      <c r="MR2" s="9"/>
      <c r="MS2" s="9"/>
      <c r="MT2" s="9"/>
      <c r="MU2" s="9"/>
      <c r="MV2" s="9"/>
      <c r="MW2" s="9"/>
      <c r="MX2" s="9"/>
      <c r="MY2" s="9"/>
      <c r="MZ2" s="9"/>
      <c r="NA2" s="9"/>
      <c r="NB2" s="9"/>
      <c r="NC2" s="9"/>
      <c r="ND2" s="9"/>
      <c r="NE2" s="9"/>
      <c r="NF2" s="9"/>
      <c r="NG2" s="9"/>
      <c r="NH2" s="9"/>
      <c r="NI2" s="9"/>
      <c r="NJ2" s="9"/>
      <c r="NK2" s="9"/>
      <c r="NL2" s="9"/>
      <c r="NM2" s="9"/>
      <c r="NN2" s="9"/>
      <c r="NO2" s="9"/>
      <c r="NP2" s="9"/>
      <c r="NQ2" s="9"/>
      <c r="NR2" s="9"/>
      <c r="NS2" s="9"/>
      <c r="NT2" s="9"/>
      <c r="NU2" s="9"/>
      <c r="NV2" s="9"/>
      <c r="NW2" s="9"/>
      <c r="NX2" s="9"/>
      <c r="NY2" s="9"/>
      <c r="NZ2" s="9"/>
      <c r="OA2" s="9"/>
      <c r="OB2" s="9"/>
      <c r="OC2" s="9"/>
      <c r="OD2" s="9"/>
      <c r="OE2" s="9"/>
      <c r="OF2" s="9"/>
      <c r="OG2" s="9"/>
      <c r="OH2" s="9"/>
      <c r="OI2" s="9"/>
      <c r="OJ2" s="9"/>
      <c r="OK2" s="9"/>
      <c r="OL2" s="9"/>
      <c r="OM2" s="9"/>
      <c r="ON2" s="9"/>
      <c r="OO2" s="9"/>
      <c r="OP2" s="9"/>
      <c r="OQ2" s="9"/>
      <c r="OR2" s="9"/>
      <c r="OS2" s="9"/>
      <c r="OT2" s="9"/>
      <c r="OU2" s="9"/>
      <c r="OV2" s="9"/>
      <c r="OW2" s="9"/>
      <c r="OX2" s="9"/>
      <c r="OY2" s="9"/>
      <c r="OZ2" s="9"/>
      <c r="PA2" s="9"/>
      <c r="PB2" s="9"/>
      <c r="PC2" s="9"/>
      <c r="PD2" s="9"/>
      <c r="PE2" s="9"/>
      <c r="PF2" s="9"/>
      <c r="PG2" s="9"/>
      <c r="PH2" s="9"/>
      <c r="PI2" s="9"/>
      <c r="PJ2" s="9"/>
      <c r="PK2" s="9"/>
      <c r="PL2" s="9"/>
      <c r="PM2" s="9"/>
      <c r="PN2" s="9"/>
      <c r="PO2" s="9"/>
      <c r="PP2" s="9"/>
      <c r="PQ2" s="9"/>
      <c r="PR2" s="9"/>
      <c r="PS2" s="9"/>
      <c r="PT2" s="9"/>
      <c r="PU2" s="9"/>
      <c r="PV2" s="9"/>
      <c r="PW2" s="9"/>
      <c r="PX2" s="9"/>
      <c r="PY2" s="9"/>
      <c r="PZ2" s="9"/>
      <c r="QA2" s="9"/>
      <c r="QB2" s="9"/>
      <c r="QC2" s="9"/>
      <c r="QD2" s="9"/>
      <c r="QE2" s="9"/>
      <c r="QF2" s="9"/>
      <c r="QG2" s="9"/>
      <c r="QH2" s="9"/>
      <c r="QI2" s="9"/>
      <c r="QJ2" s="9"/>
      <c r="QK2" s="9"/>
      <c r="QL2" s="9"/>
      <c r="QM2" s="9"/>
      <c r="QN2" s="9"/>
      <c r="QO2" s="9"/>
      <c r="QP2" s="9"/>
      <c r="QQ2" s="9"/>
      <c r="QR2" s="9"/>
      <c r="QS2" s="9"/>
      <c r="QT2" s="9"/>
      <c r="QU2" s="9"/>
      <c r="QV2" s="9"/>
      <c r="QW2" s="9"/>
      <c r="QX2" s="9"/>
      <c r="QY2" s="9"/>
      <c r="QZ2" s="9"/>
      <c r="RA2" s="9"/>
      <c r="RB2" s="9"/>
      <c r="RC2" s="9"/>
      <c r="RD2" s="9"/>
      <c r="RE2" s="9"/>
      <c r="RF2" s="9"/>
      <c r="RG2" s="9"/>
      <c r="RH2" s="9"/>
      <c r="RI2" s="9"/>
      <c r="RJ2" s="9"/>
      <c r="RK2" s="9"/>
      <c r="RL2" s="9"/>
      <c r="RM2" s="9"/>
    </row>
    <row r="3" spans="1:481" ht="40" customHeight="1">
      <c r="A3" s="323" t="s">
        <v>19</v>
      </c>
      <c r="B3" s="670" t="s">
        <v>19</v>
      </c>
      <c r="C3" s="481" t="s">
        <v>310</v>
      </c>
      <c r="D3" s="481" t="s">
        <v>311</v>
      </c>
      <c r="E3" s="481" t="s">
        <v>312</v>
      </c>
      <c r="F3" s="481" t="s">
        <v>313</v>
      </c>
      <c r="G3" s="649" t="s">
        <v>310</v>
      </c>
      <c r="H3" s="481" t="s">
        <v>311</v>
      </c>
      <c r="I3" s="481" t="s">
        <v>312</v>
      </c>
      <c r="J3" s="650" t="s">
        <v>313</v>
      </c>
      <c r="K3" s="481" t="s">
        <v>310</v>
      </c>
      <c r="L3" s="481" t="s">
        <v>311</v>
      </c>
      <c r="M3" s="481" t="s">
        <v>312</v>
      </c>
      <c r="N3" s="481" t="s">
        <v>313</v>
      </c>
      <c r="O3" s="649" t="s">
        <v>310</v>
      </c>
      <c r="P3" s="481" t="s">
        <v>311</v>
      </c>
      <c r="Q3" s="481" t="s">
        <v>312</v>
      </c>
      <c r="R3" s="650" t="s">
        <v>313</v>
      </c>
      <c r="S3" s="481" t="s">
        <v>310</v>
      </c>
      <c r="T3" s="481" t="s">
        <v>311</v>
      </c>
      <c r="U3" s="481" t="s">
        <v>312</v>
      </c>
      <c r="V3" s="481" t="s">
        <v>313</v>
      </c>
      <c r="W3" s="649" t="s">
        <v>310</v>
      </c>
      <c r="X3" s="481" t="s">
        <v>311</v>
      </c>
      <c r="Y3" s="481" t="s">
        <v>312</v>
      </c>
      <c r="Z3" s="650" t="s">
        <v>313</v>
      </c>
      <c r="AA3" s="481" t="s">
        <v>310</v>
      </c>
      <c r="AB3" s="481" t="s">
        <v>311</v>
      </c>
      <c r="AC3" s="481" t="s">
        <v>312</v>
      </c>
      <c r="AD3" s="481" t="s">
        <v>313</v>
      </c>
      <c r="AE3" s="649" t="s">
        <v>310</v>
      </c>
      <c r="AF3" s="481" t="s">
        <v>311</v>
      </c>
      <c r="AG3" s="481" t="s">
        <v>312</v>
      </c>
      <c r="AH3" s="650" t="s">
        <v>313</v>
      </c>
      <c r="AI3" s="481" t="s">
        <v>310</v>
      </c>
      <c r="AJ3" s="481" t="s">
        <v>311</v>
      </c>
      <c r="AK3" s="481" t="s">
        <v>312</v>
      </c>
      <c r="AL3" s="481" t="s">
        <v>313</v>
      </c>
      <c r="AM3" s="649" t="s">
        <v>310</v>
      </c>
      <c r="AN3" s="481" t="s">
        <v>311</v>
      </c>
      <c r="AO3" s="481" t="s">
        <v>312</v>
      </c>
      <c r="AP3" s="650" t="s">
        <v>313</v>
      </c>
      <c r="AQ3" s="481" t="s">
        <v>310</v>
      </c>
      <c r="AR3" s="481" t="s">
        <v>311</v>
      </c>
      <c r="AS3" s="481" t="s">
        <v>312</v>
      </c>
      <c r="AT3" s="650" t="s">
        <v>313</v>
      </c>
      <c r="AU3" s="481" t="s">
        <v>310</v>
      </c>
      <c r="AV3" s="481" t="s">
        <v>311</v>
      </c>
      <c r="AW3" s="481" t="s">
        <v>312</v>
      </c>
      <c r="AX3" s="650" t="s">
        <v>313</v>
      </c>
      <c r="AY3" s="481" t="str">
        <f>AU3</f>
        <v>3 miesiące 
do 31 marca</v>
      </c>
      <c r="AZ3" s="481" t="s">
        <v>311</v>
      </c>
      <c r="BA3" s="481" t="s">
        <v>312</v>
      </c>
      <c r="BB3" s="650" t="s">
        <v>313</v>
      </c>
    </row>
    <row r="4" spans="1:481" s="485" customFormat="1" ht="40" customHeight="1" thickBot="1">
      <c r="A4" s="483"/>
      <c r="B4" s="671"/>
      <c r="C4" s="484" t="s">
        <v>314</v>
      </c>
      <c r="D4" s="484" t="s">
        <v>315</v>
      </c>
      <c r="E4" s="484" t="s">
        <v>316</v>
      </c>
      <c r="F4" s="484" t="s">
        <v>317</v>
      </c>
      <c r="G4" s="651" t="s">
        <v>314</v>
      </c>
      <c r="H4" s="484" t="s">
        <v>315</v>
      </c>
      <c r="I4" s="484" t="s">
        <v>316</v>
      </c>
      <c r="J4" s="652" t="s">
        <v>317</v>
      </c>
      <c r="K4" s="484" t="s">
        <v>314</v>
      </c>
      <c r="L4" s="484" t="s">
        <v>315</v>
      </c>
      <c r="M4" s="484" t="s">
        <v>316</v>
      </c>
      <c r="N4" s="484" t="s">
        <v>317</v>
      </c>
      <c r="O4" s="651" t="s">
        <v>314</v>
      </c>
      <c r="P4" s="484" t="s">
        <v>315</v>
      </c>
      <c r="Q4" s="484" t="s">
        <v>316</v>
      </c>
      <c r="R4" s="652" t="s">
        <v>317</v>
      </c>
      <c r="S4" s="484" t="s">
        <v>314</v>
      </c>
      <c r="T4" s="484" t="s">
        <v>315</v>
      </c>
      <c r="U4" s="484" t="s">
        <v>316</v>
      </c>
      <c r="V4" s="484" t="s">
        <v>317</v>
      </c>
      <c r="W4" s="651" t="s">
        <v>314</v>
      </c>
      <c r="X4" s="484" t="s">
        <v>315</v>
      </c>
      <c r="Y4" s="484" t="s">
        <v>316</v>
      </c>
      <c r="Z4" s="652" t="s">
        <v>317</v>
      </c>
      <c r="AA4" s="484" t="s">
        <v>314</v>
      </c>
      <c r="AB4" s="484" t="s">
        <v>315</v>
      </c>
      <c r="AC4" s="484" t="s">
        <v>316</v>
      </c>
      <c r="AD4" s="484" t="s">
        <v>317</v>
      </c>
      <c r="AE4" s="651" t="s">
        <v>314</v>
      </c>
      <c r="AF4" s="484" t="s">
        <v>315</v>
      </c>
      <c r="AG4" s="484" t="s">
        <v>316</v>
      </c>
      <c r="AH4" s="652" t="s">
        <v>317</v>
      </c>
      <c r="AI4" s="484" t="s">
        <v>314</v>
      </c>
      <c r="AJ4" s="484" t="s">
        <v>315</v>
      </c>
      <c r="AK4" s="484" t="s">
        <v>316</v>
      </c>
      <c r="AL4" s="484" t="s">
        <v>317</v>
      </c>
      <c r="AM4" s="651" t="s">
        <v>314</v>
      </c>
      <c r="AN4" s="484" t="s">
        <v>315</v>
      </c>
      <c r="AO4" s="484" t="s">
        <v>316</v>
      </c>
      <c r="AP4" s="652" t="s">
        <v>317</v>
      </c>
      <c r="AQ4" s="484" t="s">
        <v>314</v>
      </c>
      <c r="AR4" s="484" t="s">
        <v>315</v>
      </c>
      <c r="AS4" s="484" t="s">
        <v>316</v>
      </c>
      <c r="AT4" s="652" t="s">
        <v>317</v>
      </c>
      <c r="AU4" s="484" t="s">
        <v>314</v>
      </c>
      <c r="AV4" s="484" t="s">
        <v>315</v>
      </c>
      <c r="AW4" s="484" t="s">
        <v>316</v>
      </c>
      <c r="AX4" s="652" t="s">
        <v>317</v>
      </c>
      <c r="AY4" s="484" t="s">
        <v>314</v>
      </c>
      <c r="AZ4" s="484" t="s">
        <v>315</v>
      </c>
      <c r="BA4" s="484" t="s">
        <v>316</v>
      </c>
      <c r="BB4" s="652" t="s">
        <v>317</v>
      </c>
    </row>
    <row r="5" spans="1:481" ht="20.149999999999999" customHeight="1" thickBot="1">
      <c r="A5" s="482" t="s">
        <v>318</v>
      </c>
      <c r="B5" s="672" t="s">
        <v>319</v>
      </c>
      <c r="C5" s="93">
        <v>205.10900000000001</v>
      </c>
      <c r="D5" s="93">
        <v>304.61200000000002</v>
      </c>
      <c r="E5" s="93">
        <v>476.67400000000004</v>
      </c>
      <c r="F5" s="93">
        <v>598.298</v>
      </c>
      <c r="G5" s="653">
        <v>95.105000000000004</v>
      </c>
      <c r="H5" s="93">
        <v>175.85</v>
      </c>
      <c r="I5" s="93">
        <v>352.30099999999999</v>
      </c>
      <c r="J5" s="654">
        <v>525.44500000000005</v>
      </c>
      <c r="K5" s="93">
        <v>98.171999999999997</v>
      </c>
      <c r="L5" s="93">
        <f>'P&amp;L'!M28+'P&amp;L'!N28</f>
        <v>230.29999999999967</v>
      </c>
      <c r="M5" s="93">
        <v>278.5</v>
      </c>
      <c r="N5" s="93">
        <v>292.5</v>
      </c>
      <c r="O5" s="653">
        <v>170.8</v>
      </c>
      <c r="P5" s="93">
        <v>475.29999999999984</v>
      </c>
      <c r="Q5" s="93">
        <f>SUM('P&amp;L'!R28:T28)</f>
        <v>977.7999999999995</v>
      </c>
      <c r="R5" s="654">
        <f>SUM('P&amp;L'!V28)</f>
        <v>1163.3999999999994</v>
      </c>
      <c r="S5" s="93">
        <f>'P&amp;L'!W28</f>
        <v>178.50000000000006</v>
      </c>
      <c r="T5" s="93">
        <f>'P&amp;L'!W28+'P&amp;L'!X28</f>
        <v>409.4000000000002</v>
      </c>
      <c r="U5" s="93">
        <f>T5+'P&amp;L'!Y28</f>
        <v>679.20000000000061</v>
      </c>
      <c r="V5" s="93">
        <f>'P&amp;L'!AA28</f>
        <v>1021.0000000000001</v>
      </c>
      <c r="W5" s="653">
        <v>271.40000000000032</v>
      </c>
      <c r="X5" s="93">
        <v>553.10000000000025</v>
      </c>
      <c r="Y5" s="93">
        <v>788</v>
      </c>
      <c r="Z5" s="654">
        <v>945.2</v>
      </c>
      <c r="AA5" s="93">
        <v>292.2</v>
      </c>
      <c r="AB5" s="93">
        <v>523.6</v>
      </c>
      <c r="AC5" s="93">
        <v>750.7</v>
      </c>
      <c r="AD5" s="93">
        <v>816.1</v>
      </c>
      <c r="AE5" s="653">
        <v>300.8</v>
      </c>
      <c r="AF5" s="93">
        <v>570.9</v>
      </c>
      <c r="AG5" s="93">
        <v>817.9</v>
      </c>
      <c r="AH5" s="654">
        <v>1126.3</v>
      </c>
      <c r="AI5" s="93">
        <v>297.3</v>
      </c>
      <c r="AJ5" s="93">
        <v>566.20000000000005</v>
      </c>
      <c r="AK5" s="93">
        <v>802.7</v>
      </c>
      <c r="AL5" s="93">
        <v>1114.5999999999999</v>
      </c>
      <c r="AM5" s="653">
        <f>'P&amp;L'!BB28</f>
        <v>183.78882651999987</v>
      </c>
      <c r="AN5" s="93">
        <v>474.5</v>
      </c>
      <c r="AO5" s="93">
        <v>819.5</v>
      </c>
      <c r="AP5" s="654">
        <v>1146.2</v>
      </c>
      <c r="AQ5" s="93">
        <f>'P&amp;L'!BG28</f>
        <v>390.4</v>
      </c>
      <c r="AR5" s="93">
        <f>'P&amp;L'!BH28+AQ5</f>
        <v>932.09999999999991</v>
      </c>
      <c r="AS5" s="93">
        <f>'P&amp;L'!BI28+AR5</f>
        <v>4080.8000000000006</v>
      </c>
      <c r="AT5" s="654">
        <f>'P&amp;L'!BK28</f>
        <v>4414.4999999999982</v>
      </c>
      <c r="AU5" s="93">
        <f>'P&amp;L'!BL28</f>
        <v>212.79999999999995</v>
      </c>
      <c r="AV5" s="767">
        <f>SUM('P&amp;L'!BL28:BM28)</f>
        <v>495.49999999999977</v>
      </c>
      <c r="AW5" s="767">
        <f>SUM('P&amp;L'!BL28:BN28)</f>
        <v>726.60000000000059</v>
      </c>
      <c r="AX5" s="808">
        <f>'P&amp;L'!BP28</f>
        <v>901.10000000000014</v>
      </c>
      <c r="AY5" s="93">
        <f>'P&amp;L'!BQ28</f>
        <v>71.000000000000583</v>
      </c>
      <c r="AZ5" s="767"/>
      <c r="BA5" s="767"/>
      <c r="BB5" s="808"/>
    </row>
    <row r="6" spans="1:481" ht="20.149999999999999" customHeight="1" thickBot="1">
      <c r="A6" s="388" t="s">
        <v>320</v>
      </c>
      <c r="B6" s="673" t="s">
        <v>321</v>
      </c>
      <c r="C6" s="389">
        <f t="shared" ref="C6:AB6" si="0">SUM(C7:C31)</f>
        <v>27.58799999999999</v>
      </c>
      <c r="D6" s="389">
        <f t="shared" si="0"/>
        <v>110.99899999999997</v>
      </c>
      <c r="E6" s="389">
        <f t="shared" si="0"/>
        <v>152.09600000000003</v>
      </c>
      <c r="F6" s="390">
        <f t="shared" si="0"/>
        <v>244.9200000000001</v>
      </c>
      <c r="G6" s="655">
        <f t="shared" si="0"/>
        <v>70.556999999999988</v>
      </c>
      <c r="H6" s="390">
        <f t="shared" si="0"/>
        <v>176.07799999999997</v>
      </c>
      <c r="I6" s="390">
        <f t="shared" si="0"/>
        <v>195.94299999999996</v>
      </c>
      <c r="J6" s="656">
        <f t="shared" si="0"/>
        <v>334.28999999999991</v>
      </c>
      <c r="K6" s="390">
        <f t="shared" si="0"/>
        <v>86.532000000000011</v>
      </c>
      <c r="L6" s="390">
        <f t="shared" si="0"/>
        <v>505.40000000000015</v>
      </c>
      <c r="M6" s="390">
        <f t="shared" si="0"/>
        <v>1145.4000000000003</v>
      </c>
      <c r="N6" s="390">
        <f t="shared" si="0"/>
        <v>1825.2999999999997</v>
      </c>
      <c r="O6" s="655">
        <f t="shared" si="0"/>
        <v>282.2000000000001</v>
      </c>
      <c r="P6" s="390">
        <f t="shared" si="0"/>
        <v>852.69999999999982</v>
      </c>
      <c r="Q6" s="390">
        <f t="shared" si="0"/>
        <v>1195.6999999999994</v>
      </c>
      <c r="R6" s="656">
        <f t="shared" si="0"/>
        <v>1821.6999999999998</v>
      </c>
      <c r="S6" s="390">
        <f t="shared" si="0"/>
        <v>405.9</v>
      </c>
      <c r="T6" s="390">
        <f t="shared" si="0"/>
        <v>1140</v>
      </c>
      <c r="U6" s="390">
        <f t="shared" si="0"/>
        <v>1678.3000000000002</v>
      </c>
      <c r="V6" s="390">
        <f t="shared" si="0"/>
        <v>2130.5</v>
      </c>
      <c r="W6" s="655">
        <f t="shared" si="0"/>
        <v>509.29999999999995</v>
      </c>
      <c r="X6" s="390">
        <f t="shared" si="0"/>
        <v>1062.8</v>
      </c>
      <c r="Y6" s="390">
        <f t="shared" si="0"/>
        <v>1457.6999999999998</v>
      </c>
      <c r="Z6" s="656">
        <f t="shared" si="0"/>
        <v>2181.1000000000004</v>
      </c>
      <c r="AA6" s="390">
        <f t="shared" si="0"/>
        <v>340.90000000000009</v>
      </c>
      <c r="AB6" s="390">
        <f t="shared" si="0"/>
        <v>873.30000000000007</v>
      </c>
      <c r="AC6" s="390">
        <v>1470.1</v>
      </c>
      <c r="AD6" s="390">
        <f t="shared" ref="AD6:AP6" si="1">SUM(AD7:AD31)</f>
        <v>2416</v>
      </c>
      <c r="AE6" s="655">
        <f t="shared" si="1"/>
        <v>402.4</v>
      </c>
      <c r="AF6" s="390">
        <f t="shared" si="1"/>
        <v>983.40000000000032</v>
      </c>
      <c r="AG6" s="390">
        <f t="shared" si="1"/>
        <v>1588.9000000000003</v>
      </c>
      <c r="AH6" s="656">
        <f t="shared" si="1"/>
        <v>2265.5</v>
      </c>
      <c r="AI6" s="390">
        <f t="shared" si="1"/>
        <v>464.9</v>
      </c>
      <c r="AJ6" s="390">
        <f t="shared" si="1"/>
        <v>1143.1000000000001</v>
      </c>
      <c r="AK6" s="390">
        <f t="shared" si="1"/>
        <v>1857.2000000000003</v>
      </c>
      <c r="AL6" s="390">
        <f t="shared" si="1"/>
        <v>2663.2999999999997</v>
      </c>
      <c r="AM6" s="655">
        <f t="shared" si="1"/>
        <v>677.20000000000016</v>
      </c>
      <c r="AN6" s="390">
        <f t="shared" si="1"/>
        <v>1232.3000000000004</v>
      </c>
      <c r="AO6" s="390">
        <f t="shared" si="1"/>
        <v>1835.7999999999997</v>
      </c>
      <c r="AP6" s="656">
        <f t="shared" si="1"/>
        <v>2651.7</v>
      </c>
      <c r="AQ6" s="390">
        <f t="shared" ref="AQ6:AS6" si="2">SUM(AQ7:AQ31)</f>
        <v>603.90000000000009</v>
      </c>
      <c r="AR6" s="390">
        <f t="shared" si="2"/>
        <v>953.8</v>
      </c>
      <c r="AS6" s="390">
        <f t="shared" si="2"/>
        <v>-1284.9999999999998</v>
      </c>
      <c r="AT6" s="656">
        <f>SUM(AT7:AT31)</f>
        <v>-724.80000000000007</v>
      </c>
      <c r="AU6" s="390">
        <f t="shared" ref="AU6:AW6" si="3">SUM(AU7:AU31)</f>
        <v>454.00000000000011</v>
      </c>
      <c r="AV6" s="768">
        <f t="shared" si="3"/>
        <v>997.79999999999984</v>
      </c>
      <c r="AW6" s="390">
        <f t="shared" si="3"/>
        <v>1492.8</v>
      </c>
      <c r="AX6" s="808">
        <f>SUM(AX7:AX31)</f>
        <v>2072.4</v>
      </c>
      <c r="AY6" s="390">
        <f>SUM(AY7:AY31)</f>
        <v>284.7000000000001</v>
      </c>
      <c r="AZ6" s="768">
        <f t="shared" ref="AZ6:BA6" si="4">SUM(AZ7:AZ31)</f>
        <v>0</v>
      </c>
      <c r="BA6" s="390">
        <f t="shared" si="4"/>
        <v>0</v>
      </c>
      <c r="BB6" s="808">
        <f>SUM(BB7:BB31)</f>
        <v>0</v>
      </c>
    </row>
    <row r="7" spans="1:481" ht="20.149999999999999" customHeight="1">
      <c r="A7" s="70" t="s">
        <v>44</v>
      </c>
      <c r="B7" s="674" t="s">
        <v>45</v>
      </c>
      <c r="C7" s="68">
        <v>54.433</v>
      </c>
      <c r="D7" s="68">
        <v>111.117</v>
      </c>
      <c r="E7" s="68">
        <v>171.35499999999999</v>
      </c>
      <c r="F7" s="68">
        <v>243.066</v>
      </c>
      <c r="G7" s="657">
        <v>60.698</v>
      </c>
      <c r="H7" s="68">
        <v>122.961</v>
      </c>
      <c r="I7" s="68">
        <v>187.82599999999999</v>
      </c>
      <c r="J7" s="658">
        <v>256.416</v>
      </c>
      <c r="K7" s="68">
        <v>62.434000000000005</v>
      </c>
      <c r="L7" s="68">
        <v>373.8</v>
      </c>
      <c r="M7" s="68">
        <v>852.1</v>
      </c>
      <c r="N7" s="68">
        <v>1295.9000000000001</v>
      </c>
      <c r="O7" s="657">
        <v>467.9</v>
      </c>
      <c r="P7" s="68">
        <v>861.4</v>
      </c>
      <c r="Q7" s="68">
        <v>1262.5999999999999</v>
      </c>
      <c r="R7" s="658">
        <v>1699.3</v>
      </c>
      <c r="S7" s="68">
        <v>423.7</v>
      </c>
      <c r="T7" s="68">
        <v>951.2</v>
      </c>
      <c r="U7" s="68">
        <v>1459.1</v>
      </c>
      <c r="V7" s="68">
        <v>1971.5</v>
      </c>
      <c r="W7" s="657">
        <v>472.3</v>
      </c>
      <c r="X7" s="68">
        <v>919</v>
      </c>
      <c r="Y7" s="68">
        <v>1348.2</v>
      </c>
      <c r="Z7" s="658">
        <v>1783</v>
      </c>
      <c r="AA7" s="68">
        <v>454.5</v>
      </c>
      <c r="AB7" s="68">
        <v>925.3</v>
      </c>
      <c r="AC7" s="68">
        <v>1448.8</v>
      </c>
      <c r="AD7" s="68">
        <v>1970.7</v>
      </c>
      <c r="AE7" s="657">
        <v>440.1</v>
      </c>
      <c r="AF7" s="68">
        <v>884.7</v>
      </c>
      <c r="AG7" s="68">
        <v>1333.2</v>
      </c>
      <c r="AH7" s="658">
        <v>1786.4</v>
      </c>
      <c r="AI7" s="68">
        <v>547.1</v>
      </c>
      <c r="AJ7" s="68">
        <v>1100.7</v>
      </c>
      <c r="AK7" s="68">
        <v>1662.2</v>
      </c>
      <c r="AL7" s="68">
        <v>2229.6999999999998</v>
      </c>
      <c r="AM7" s="657">
        <v>564.5</v>
      </c>
      <c r="AN7" s="68">
        <v>1130.4000000000001</v>
      </c>
      <c r="AO7" s="68">
        <v>1703.4</v>
      </c>
      <c r="AP7" s="658">
        <v>2305.6999999999998</v>
      </c>
      <c r="AQ7" s="68">
        <v>521.20000000000005</v>
      </c>
      <c r="AR7" s="68">
        <v>978.4</v>
      </c>
      <c r="AS7" s="68">
        <v>1442</v>
      </c>
      <c r="AT7" s="658">
        <v>1903.2</v>
      </c>
      <c r="AU7" s="68">
        <v>446.3</v>
      </c>
      <c r="AV7" s="261">
        <v>913.8</v>
      </c>
      <c r="AW7" s="777">
        <v>1365.9</v>
      </c>
      <c r="AX7" s="658">
        <v>1829</v>
      </c>
      <c r="AY7" s="68">
        <v>462.5</v>
      </c>
      <c r="AZ7" s="261"/>
      <c r="BA7" s="777"/>
      <c r="BB7" s="658"/>
    </row>
    <row r="8" spans="1:481" ht="20.149999999999999" customHeight="1">
      <c r="A8" s="70" t="s">
        <v>322</v>
      </c>
      <c r="B8" s="674" t="s">
        <v>323</v>
      </c>
      <c r="C8" s="68">
        <v>-29.711000000000002</v>
      </c>
      <c r="D8" s="68">
        <v>-88.683000000000007</v>
      </c>
      <c r="E8" s="68">
        <v>-140.589</v>
      </c>
      <c r="F8" s="68">
        <v>-177.86799999999999</v>
      </c>
      <c r="G8" s="657">
        <v>-44.32</v>
      </c>
      <c r="H8" s="68">
        <v>-122.45100000000001</v>
      </c>
      <c r="I8" s="68">
        <v>-189.477</v>
      </c>
      <c r="J8" s="658">
        <v>-222.45600000000002</v>
      </c>
      <c r="K8" s="68">
        <v>-109.42100000000001</v>
      </c>
      <c r="L8" s="68">
        <v>-148.9</v>
      </c>
      <c r="M8" s="68">
        <v>-224.7</v>
      </c>
      <c r="N8" s="68">
        <v>-306.8</v>
      </c>
      <c r="O8" s="657">
        <v>-41.5</v>
      </c>
      <c r="P8" s="68">
        <v>-115.2</v>
      </c>
      <c r="Q8" s="68">
        <v>-195.4</v>
      </c>
      <c r="R8" s="658">
        <v>-238.1</v>
      </c>
      <c r="S8" s="68">
        <v>-58.1</v>
      </c>
      <c r="T8" s="68">
        <v>-119</v>
      </c>
      <c r="U8" s="68">
        <v>-189.6</v>
      </c>
      <c r="V8" s="68">
        <v>-246.5</v>
      </c>
      <c r="W8" s="657">
        <v>-33.299999999999997</v>
      </c>
      <c r="X8" s="68">
        <v>-94.2</v>
      </c>
      <c r="Y8" s="68">
        <v>-246.2</v>
      </c>
      <c r="Z8" s="658">
        <v>-305.10000000000002</v>
      </c>
      <c r="AA8" s="68">
        <v>-62.4</v>
      </c>
      <c r="AB8" s="68">
        <v>-124.7</v>
      </c>
      <c r="AC8" s="68">
        <v>-411.2</v>
      </c>
      <c r="AD8" s="68">
        <v>-363.5</v>
      </c>
      <c r="AE8" s="657">
        <v>-156.30000000000001</v>
      </c>
      <c r="AF8" s="68">
        <v>-343.1</v>
      </c>
      <c r="AG8" s="68">
        <v>-534</v>
      </c>
      <c r="AH8" s="658">
        <v>-617.29999999999995</v>
      </c>
      <c r="AI8" s="68">
        <v>-156.30000000000001</v>
      </c>
      <c r="AJ8" s="68">
        <v>-343.1</v>
      </c>
      <c r="AK8" s="68">
        <v>-534</v>
      </c>
      <c r="AL8" s="68">
        <v>-617.29999999999995</v>
      </c>
      <c r="AM8" s="657">
        <v>-160.5</v>
      </c>
      <c r="AN8" s="68">
        <v>-223.3</v>
      </c>
      <c r="AO8" s="68">
        <v>-311.39999999999998</v>
      </c>
      <c r="AP8" s="658">
        <v>-511.9</v>
      </c>
      <c r="AQ8" s="68">
        <v>-175.1</v>
      </c>
      <c r="AR8" s="68">
        <v>-411.4</v>
      </c>
      <c r="AS8" s="68">
        <v>-557.1</v>
      </c>
      <c r="AT8" s="658">
        <v>-645</v>
      </c>
      <c r="AU8" s="68">
        <v>-178</v>
      </c>
      <c r="AV8" s="261">
        <v>-268.5</v>
      </c>
      <c r="AW8" s="261">
        <v>-492.8</v>
      </c>
      <c r="AX8" s="658">
        <v>-587.1</v>
      </c>
      <c r="AY8" s="68">
        <v>-187.2</v>
      </c>
      <c r="AZ8" s="261"/>
      <c r="BA8" s="261"/>
      <c r="BB8" s="658"/>
    </row>
    <row r="9" spans="1:481" ht="20.149999999999999" customHeight="1">
      <c r="A9" s="70" t="s">
        <v>324</v>
      </c>
      <c r="B9" s="674" t="s">
        <v>325</v>
      </c>
      <c r="C9" s="68">
        <v>46.908999999999999</v>
      </c>
      <c r="D9" s="68">
        <v>99.832000000000008</v>
      </c>
      <c r="E9" s="68">
        <v>145.40600000000001</v>
      </c>
      <c r="F9" s="68">
        <v>194.52100000000002</v>
      </c>
      <c r="G9" s="657">
        <v>46.048999999999999</v>
      </c>
      <c r="H9" s="68">
        <v>102.423</v>
      </c>
      <c r="I9" s="68">
        <v>162.63200000000001</v>
      </c>
      <c r="J9" s="658">
        <v>220.37100000000001</v>
      </c>
      <c r="K9" s="68">
        <v>40.084000000000003</v>
      </c>
      <c r="L9" s="68">
        <v>85.1</v>
      </c>
      <c r="M9" s="68">
        <v>162.19999999999999</v>
      </c>
      <c r="N9" s="68">
        <v>224.4</v>
      </c>
      <c r="O9" s="657">
        <v>43.7</v>
      </c>
      <c r="P9" s="68">
        <v>90.5</v>
      </c>
      <c r="Q9" s="68">
        <v>149.9</v>
      </c>
      <c r="R9" s="658">
        <v>212.6</v>
      </c>
      <c r="S9" s="68">
        <v>49.1</v>
      </c>
      <c r="T9" s="68">
        <v>125.3</v>
      </c>
      <c r="U9" s="68">
        <v>173.5</v>
      </c>
      <c r="V9" s="68">
        <v>230.7</v>
      </c>
      <c r="W9" s="657">
        <v>48.5</v>
      </c>
      <c r="X9" s="68">
        <v>102.7</v>
      </c>
      <c r="Y9" s="68">
        <v>166.1</v>
      </c>
      <c r="Z9" s="658">
        <v>228.6</v>
      </c>
      <c r="AA9" s="68">
        <v>45.7</v>
      </c>
      <c r="AB9" s="68">
        <v>103.8</v>
      </c>
      <c r="AC9" s="68">
        <v>100.5</v>
      </c>
      <c r="AD9" s="68">
        <v>337</v>
      </c>
      <c r="AE9" s="657">
        <v>123.3</v>
      </c>
      <c r="AF9" s="68">
        <v>262.39999999999998</v>
      </c>
      <c r="AG9" s="68">
        <v>411</v>
      </c>
      <c r="AH9" s="658">
        <v>543.6</v>
      </c>
      <c r="AI9" s="68">
        <v>123.3</v>
      </c>
      <c r="AJ9" s="68">
        <v>262.39999999999998</v>
      </c>
      <c r="AK9" s="68">
        <v>411</v>
      </c>
      <c r="AL9" s="68">
        <v>543.6</v>
      </c>
      <c r="AM9" s="657">
        <v>125.1</v>
      </c>
      <c r="AN9" s="68">
        <v>246.4</v>
      </c>
      <c r="AO9" s="68">
        <v>372.4</v>
      </c>
      <c r="AP9" s="658">
        <v>519.6</v>
      </c>
      <c r="AQ9" s="68">
        <v>136.80000000000001</v>
      </c>
      <c r="AR9" s="68">
        <v>267.39999999999998</v>
      </c>
      <c r="AS9" s="68">
        <v>394.1</v>
      </c>
      <c r="AT9" s="658">
        <v>558.79999999999995</v>
      </c>
      <c r="AU9" s="68">
        <v>149.80000000000001</v>
      </c>
      <c r="AV9" s="261">
        <v>323</v>
      </c>
      <c r="AW9" s="542">
        <v>502.9</v>
      </c>
      <c r="AX9" s="658">
        <v>668.6</v>
      </c>
      <c r="AY9" s="68">
        <v>151.30000000000001</v>
      </c>
      <c r="AZ9" s="261"/>
      <c r="BA9" s="542"/>
      <c r="BB9" s="658"/>
    </row>
    <row r="10" spans="1:481" ht="25.75">
      <c r="A10" s="70" t="s">
        <v>326</v>
      </c>
      <c r="B10" s="674" t="s">
        <v>327</v>
      </c>
      <c r="C10" s="68">
        <v>-1.0999999999999999E-2</v>
      </c>
      <c r="D10" s="68">
        <v>-0.25700000000000001</v>
      </c>
      <c r="E10" s="68">
        <v>-0.48299999999999998</v>
      </c>
      <c r="F10" s="68">
        <v>-0.111</v>
      </c>
      <c r="G10" s="657">
        <v>5.8000000000000003E-2</v>
      </c>
      <c r="H10" s="68">
        <v>7.2999999999999995E-2</v>
      </c>
      <c r="I10" s="68">
        <v>-38.896000000000001</v>
      </c>
      <c r="J10" s="658">
        <v>-35.765000000000001</v>
      </c>
      <c r="K10" s="68">
        <v>-5.2999999999999999E-2</v>
      </c>
      <c r="L10" s="68">
        <v>-0.7</v>
      </c>
      <c r="M10" s="68">
        <v>-2.4</v>
      </c>
      <c r="N10" s="68">
        <v>-2.9</v>
      </c>
      <c r="O10" s="657">
        <v>-0.4</v>
      </c>
      <c r="P10" s="68">
        <v>-4.8</v>
      </c>
      <c r="Q10" s="68">
        <v>-5.7</v>
      </c>
      <c r="R10" s="658">
        <v>-6.9</v>
      </c>
      <c r="S10" s="92" t="s">
        <v>283</v>
      </c>
      <c r="T10" s="92" t="s">
        <v>283</v>
      </c>
      <c r="U10" s="92" t="s">
        <v>283</v>
      </c>
      <c r="V10" s="92" t="s">
        <v>283</v>
      </c>
      <c r="W10" s="659" t="s">
        <v>283</v>
      </c>
      <c r="X10" s="92" t="s">
        <v>283</v>
      </c>
      <c r="Y10" s="92" t="s">
        <v>283</v>
      </c>
      <c r="Z10" s="660" t="s">
        <v>283</v>
      </c>
      <c r="AA10" s="92" t="s">
        <v>283</v>
      </c>
      <c r="AB10" s="92" t="s">
        <v>283</v>
      </c>
      <c r="AC10" s="92" t="s">
        <v>283</v>
      </c>
      <c r="AD10" s="92" t="s">
        <v>283</v>
      </c>
      <c r="AE10" s="659" t="s">
        <v>283</v>
      </c>
      <c r="AF10" s="92" t="s">
        <v>283</v>
      </c>
      <c r="AG10" s="92" t="s">
        <v>283</v>
      </c>
      <c r="AH10" s="660" t="s">
        <v>283</v>
      </c>
      <c r="AI10" s="92" t="s">
        <v>283</v>
      </c>
      <c r="AJ10" s="92" t="s">
        <v>283</v>
      </c>
      <c r="AK10" s="92" t="s">
        <v>283</v>
      </c>
      <c r="AL10" s="92" t="s">
        <v>283</v>
      </c>
      <c r="AM10" s="659" t="s">
        <v>283</v>
      </c>
      <c r="AN10" s="92" t="s">
        <v>283</v>
      </c>
      <c r="AO10" s="92" t="s">
        <v>283</v>
      </c>
      <c r="AP10" s="660" t="s">
        <v>283</v>
      </c>
      <c r="AQ10" s="92" t="s">
        <v>283</v>
      </c>
      <c r="AR10" s="92" t="s">
        <v>283</v>
      </c>
      <c r="AS10" s="92" t="s">
        <v>283</v>
      </c>
      <c r="AT10" s="660" t="s">
        <v>283</v>
      </c>
      <c r="AU10" s="92" t="s">
        <v>283</v>
      </c>
      <c r="AV10" s="263" t="s">
        <v>283</v>
      </c>
      <c r="AW10" s="92" t="s">
        <v>283</v>
      </c>
      <c r="AX10" s="660" t="s">
        <v>283</v>
      </c>
      <c r="AY10" s="92" t="s">
        <v>283</v>
      </c>
      <c r="AZ10" s="263" t="s">
        <v>283</v>
      </c>
      <c r="BA10" s="92" t="s">
        <v>283</v>
      </c>
      <c r="BB10" s="660" t="s">
        <v>283</v>
      </c>
    </row>
    <row r="11" spans="1:481" ht="20.149999999999999" customHeight="1">
      <c r="A11" s="70" t="s">
        <v>328</v>
      </c>
      <c r="B11" s="674" t="s">
        <v>329</v>
      </c>
      <c r="C11" s="68">
        <v>2.3109999999999999</v>
      </c>
      <c r="D11" s="68">
        <v>4.6020000000000003</v>
      </c>
      <c r="E11" s="68">
        <v>6.1379999999999999</v>
      </c>
      <c r="F11" s="68">
        <v>9.2439999999999998</v>
      </c>
      <c r="G11" s="657">
        <v>3.504</v>
      </c>
      <c r="H11" s="68">
        <v>5.843</v>
      </c>
      <c r="I11" s="68">
        <v>6.3049999999999997</v>
      </c>
      <c r="J11" s="658">
        <v>6.407</v>
      </c>
      <c r="K11" s="68">
        <v>4.1000000000000002E-2</v>
      </c>
      <c r="L11" s="68">
        <v>0.1</v>
      </c>
      <c r="M11" s="68">
        <v>30.4</v>
      </c>
      <c r="N11" s="68">
        <v>30.5</v>
      </c>
      <c r="O11" s="657">
        <v>0.1</v>
      </c>
      <c r="P11" s="68">
        <v>0.5</v>
      </c>
      <c r="Q11" s="68">
        <v>0.5</v>
      </c>
      <c r="R11" s="658">
        <v>1.4</v>
      </c>
      <c r="S11" s="92" t="s">
        <v>283</v>
      </c>
      <c r="T11" s="92" t="s">
        <v>283</v>
      </c>
      <c r="U11" s="92" t="s">
        <v>283</v>
      </c>
      <c r="V11" s="92" t="s">
        <v>283</v>
      </c>
      <c r="W11" s="659" t="s">
        <v>283</v>
      </c>
      <c r="X11" s="92" t="s">
        <v>283</v>
      </c>
      <c r="Y11" s="92" t="s">
        <v>283</v>
      </c>
      <c r="Z11" s="660" t="s">
        <v>283</v>
      </c>
      <c r="AA11" s="92" t="s">
        <v>283</v>
      </c>
      <c r="AB11" s="92" t="s">
        <v>283</v>
      </c>
      <c r="AC11" s="92" t="s">
        <v>283</v>
      </c>
      <c r="AD11" s="92" t="s">
        <v>283</v>
      </c>
      <c r="AE11" s="659" t="s">
        <v>283</v>
      </c>
      <c r="AF11" s="92" t="s">
        <v>283</v>
      </c>
      <c r="AG11" s="92" t="s">
        <v>283</v>
      </c>
      <c r="AH11" s="660" t="s">
        <v>283</v>
      </c>
      <c r="AI11" s="92" t="s">
        <v>283</v>
      </c>
      <c r="AJ11" s="92" t="s">
        <v>283</v>
      </c>
      <c r="AK11" s="92" t="s">
        <v>283</v>
      </c>
      <c r="AL11" s="92" t="s">
        <v>283</v>
      </c>
      <c r="AM11" s="659" t="s">
        <v>283</v>
      </c>
      <c r="AN11" s="92" t="s">
        <v>283</v>
      </c>
      <c r="AO11" s="92" t="s">
        <v>283</v>
      </c>
      <c r="AP11" s="660" t="s">
        <v>283</v>
      </c>
      <c r="AQ11" s="92" t="s">
        <v>283</v>
      </c>
      <c r="AR11" s="92" t="s">
        <v>283</v>
      </c>
      <c r="AS11" s="92" t="s">
        <v>283</v>
      </c>
      <c r="AT11" s="660" t="s">
        <v>283</v>
      </c>
      <c r="AU11" s="92" t="s">
        <v>283</v>
      </c>
      <c r="AV11" s="263" t="s">
        <v>283</v>
      </c>
      <c r="AW11" s="92" t="s">
        <v>283</v>
      </c>
      <c r="AX11" s="660" t="s">
        <v>283</v>
      </c>
      <c r="AY11" s="92" t="s">
        <v>283</v>
      </c>
      <c r="AZ11" s="263" t="s">
        <v>283</v>
      </c>
      <c r="BA11" s="92" t="s">
        <v>283</v>
      </c>
      <c r="BB11" s="660" t="s">
        <v>283</v>
      </c>
    </row>
    <row r="12" spans="1:481" ht="20.149999999999999" customHeight="1">
      <c r="A12" s="70" t="s">
        <v>330</v>
      </c>
      <c r="B12" s="674" t="s">
        <v>331</v>
      </c>
      <c r="C12" s="68">
        <v>52.017000000000003</v>
      </c>
      <c r="D12" s="68">
        <v>105.822</v>
      </c>
      <c r="E12" s="68">
        <v>156.893</v>
      </c>
      <c r="F12" s="68">
        <v>205.185</v>
      </c>
      <c r="G12" s="657">
        <v>46.368000000000002</v>
      </c>
      <c r="H12" s="68">
        <v>93.388999999999996</v>
      </c>
      <c r="I12" s="68">
        <v>140.42699999999999</v>
      </c>
      <c r="J12" s="658">
        <v>183.81100000000001</v>
      </c>
      <c r="K12" s="68">
        <v>90.381</v>
      </c>
      <c r="L12" s="68">
        <v>248.5</v>
      </c>
      <c r="M12" s="68">
        <v>421.4</v>
      </c>
      <c r="N12" s="68">
        <v>603.70000000000005</v>
      </c>
      <c r="O12" s="657">
        <v>177.4</v>
      </c>
      <c r="P12" s="68">
        <v>348.5</v>
      </c>
      <c r="Q12" s="68">
        <v>581.29999999999995</v>
      </c>
      <c r="R12" s="658">
        <v>763.6</v>
      </c>
      <c r="S12" s="68">
        <v>144.69999999999999</v>
      </c>
      <c r="T12" s="68">
        <v>285.89999999999998</v>
      </c>
      <c r="U12" s="68">
        <v>417.4</v>
      </c>
      <c r="V12" s="68">
        <v>541.9</v>
      </c>
      <c r="W12" s="657">
        <v>114.5</v>
      </c>
      <c r="X12" s="68">
        <v>228.7</v>
      </c>
      <c r="Y12" s="68">
        <v>331.1</v>
      </c>
      <c r="Z12" s="658">
        <v>432.3</v>
      </c>
      <c r="AA12" s="68">
        <v>68.5</v>
      </c>
      <c r="AB12" s="68">
        <v>166.7</v>
      </c>
      <c r="AC12" s="68">
        <v>269</v>
      </c>
      <c r="AD12" s="68">
        <v>401.6</v>
      </c>
      <c r="AE12" s="657">
        <v>94.5</v>
      </c>
      <c r="AF12" s="68">
        <v>189.2</v>
      </c>
      <c r="AG12" s="68">
        <v>291</v>
      </c>
      <c r="AH12" s="658">
        <v>388.2</v>
      </c>
      <c r="AI12" s="68">
        <v>107.2</v>
      </c>
      <c r="AJ12" s="68">
        <v>214.3</v>
      </c>
      <c r="AK12" s="68">
        <v>327.5</v>
      </c>
      <c r="AL12" s="68">
        <v>437.8</v>
      </c>
      <c r="AM12" s="657">
        <v>111.9</v>
      </c>
      <c r="AN12" s="68">
        <v>206.1</v>
      </c>
      <c r="AO12" s="68">
        <v>285.7</v>
      </c>
      <c r="AP12" s="658">
        <v>364.8</v>
      </c>
      <c r="AQ12" s="68">
        <v>78</v>
      </c>
      <c r="AR12" s="68">
        <v>154.9</v>
      </c>
      <c r="AS12" s="68">
        <v>223</v>
      </c>
      <c r="AT12" s="658">
        <v>299.39999999999998</v>
      </c>
      <c r="AU12" s="68">
        <v>112.3</v>
      </c>
      <c r="AV12" s="261">
        <v>271.2</v>
      </c>
      <c r="AW12" s="261">
        <v>466.2</v>
      </c>
      <c r="AX12" s="658">
        <v>660.6</v>
      </c>
      <c r="AY12" s="68">
        <v>236.9</v>
      </c>
      <c r="AZ12" s="261"/>
      <c r="BA12" s="261"/>
      <c r="BB12" s="658"/>
    </row>
    <row r="13" spans="1:481" ht="20.149999999999999" customHeight="1">
      <c r="A13" s="70" t="s">
        <v>332</v>
      </c>
      <c r="B13" s="674" t="s">
        <v>333</v>
      </c>
      <c r="C13" s="68">
        <v>-7.2490000000000006</v>
      </c>
      <c r="D13" s="68">
        <v>-7.3810000000000002</v>
      </c>
      <c r="E13" s="68">
        <v>1.093</v>
      </c>
      <c r="F13" s="68">
        <v>16.173000000000002</v>
      </c>
      <c r="G13" s="657">
        <v>11.273</v>
      </c>
      <c r="H13" s="68">
        <v>4.4740000000000002</v>
      </c>
      <c r="I13" s="68">
        <v>5.9119999999999999</v>
      </c>
      <c r="J13" s="658">
        <v>14.839</v>
      </c>
      <c r="K13" s="68">
        <v>-16.302</v>
      </c>
      <c r="L13" s="68">
        <v>-41.8</v>
      </c>
      <c r="M13" s="68">
        <v>-14.7</v>
      </c>
      <c r="N13" s="68">
        <v>0.5</v>
      </c>
      <c r="O13" s="657">
        <v>48.6</v>
      </c>
      <c r="P13" s="68">
        <v>45.6</v>
      </c>
      <c r="Q13" s="68">
        <v>43.3</v>
      </c>
      <c r="R13" s="658">
        <v>26.4</v>
      </c>
      <c r="S13" s="68">
        <v>21.5</v>
      </c>
      <c r="T13" s="68">
        <v>11.7</v>
      </c>
      <c r="U13" s="68">
        <v>0.7</v>
      </c>
      <c r="V13" s="68">
        <v>3</v>
      </c>
      <c r="W13" s="657">
        <v>41.5</v>
      </c>
      <c r="X13" s="68">
        <v>-0.3</v>
      </c>
      <c r="Y13" s="68">
        <v>-16.899999999999999</v>
      </c>
      <c r="Z13" s="658">
        <v>-5</v>
      </c>
      <c r="AA13" s="68">
        <v>7.7</v>
      </c>
      <c r="AB13" s="68">
        <v>-45.1</v>
      </c>
      <c r="AC13" s="68">
        <v>-70.8</v>
      </c>
      <c r="AD13" s="68">
        <v>-77.2</v>
      </c>
      <c r="AE13" s="657">
        <v>60.3</v>
      </c>
      <c r="AF13" s="68">
        <v>51.4</v>
      </c>
      <c r="AG13" s="68">
        <v>36.299999999999997</v>
      </c>
      <c r="AH13" s="658">
        <v>89.1</v>
      </c>
      <c r="AI13" s="68">
        <v>60.3</v>
      </c>
      <c r="AJ13" s="68">
        <v>51.4</v>
      </c>
      <c r="AK13" s="68">
        <v>36.299999999999997</v>
      </c>
      <c r="AL13" s="68">
        <v>89.1</v>
      </c>
      <c r="AM13" s="657">
        <v>-85.7</v>
      </c>
      <c r="AN13" s="68">
        <v>-190.2</v>
      </c>
      <c r="AO13" s="68">
        <v>-96.4</v>
      </c>
      <c r="AP13" s="658">
        <v>13.2</v>
      </c>
      <c r="AQ13" s="68">
        <v>-5.4</v>
      </c>
      <c r="AR13" s="68">
        <v>-139.6</v>
      </c>
      <c r="AS13" s="68">
        <v>-215.3</v>
      </c>
      <c r="AT13" s="658">
        <v>-295.39999999999998</v>
      </c>
      <c r="AU13" s="68">
        <v>-1.8</v>
      </c>
      <c r="AV13" s="261">
        <v>-113.6</v>
      </c>
      <c r="AW13" s="261">
        <v>-66.900000000000006</v>
      </c>
      <c r="AX13" s="658">
        <v>-82.5</v>
      </c>
      <c r="AY13" s="68">
        <v>-109.8</v>
      </c>
      <c r="AZ13" s="261"/>
      <c r="BA13" s="261"/>
      <c r="BB13" s="658"/>
    </row>
    <row r="14" spans="1:481" ht="20.149999999999999" customHeight="1">
      <c r="A14" s="70" t="s">
        <v>334</v>
      </c>
      <c r="B14" s="674" t="s">
        <v>335</v>
      </c>
      <c r="C14" s="68">
        <v>-48.496000000000002</v>
      </c>
      <c r="D14" s="68">
        <v>-85.073000000000008</v>
      </c>
      <c r="E14" s="68">
        <v>-90.59</v>
      </c>
      <c r="F14" s="68">
        <v>-106.816</v>
      </c>
      <c r="G14" s="657">
        <v>-18.654</v>
      </c>
      <c r="H14" s="68">
        <v>-16.358000000000001</v>
      </c>
      <c r="I14" s="68">
        <v>16.681000000000001</v>
      </c>
      <c r="J14" s="658">
        <v>60.908000000000001</v>
      </c>
      <c r="K14" s="68">
        <v>-5.1610000000000005</v>
      </c>
      <c r="L14" s="68">
        <v>-29.2</v>
      </c>
      <c r="M14" s="68">
        <v>-87.6</v>
      </c>
      <c r="N14" s="68">
        <v>-191.9</v>
      </c>
      <c r="O14" s="657">
        <v>-211.8</v>
      </c>
      <c r="P14" s="68">
        <v>-581.20000000000005</v>
      </c>
      <c r="Q14" s="68">
        <v>-349.3</v>
      </c>
      <c r="R14" s="658">
        <v>-478.2</v>
      </c>
      <c r="S14" s="68">
        <v>-33.9</v>
      </c>
      <c r="T14" s="68">
        <v>-105.3</v>
      </c>
      <c r="U14" s="68">
        <v>-164.6</v>
      </c>
      <c r="V14" s="68">
        <v>-329.9</v>
      </c>
      <c r="W14" s="657">
        <v>21.5</v>
      </c>
      <c r="X14" s="68">
        <v>-112.7</v>
      </c>
      <c r="Y14" s="68">
        <v>-224.5</v>
      </c>
      <c r="Z14" s="658">
        <v>-470.8</v>
      </c>
      <c r="AA14" s="68">
        <v>38.1</v>
      </c>
      <c r="AB14" s="68">
        <v>-516.5</v>
      </c>
      <c r="AC14" s="68">
        <v>-266.89999999999998</v>
      </c>
      <c r="AD14" s="68">
        <v>-289.10000000000002</v>
      </c>
      <c r="AE14" s="657">
        <v>155.9</v>
      </c>
      <c r="AF14" s="68">
        <v>8.1</v>
      </c>
      <c r="AG14" s="68">
        <v>-51.3</v>
      </c>
      <c r="AH14" s="658">
        <v>-312.5</v>
      </c>
      <c r="AI14" s="68">
        <v>158.4</v>
      </c>
      <c r="AJ14" s="68">
        <v>12.4</v>
      </c>
      <c r="AK14" s="68">
        <v>-48.3</v>
      </c>
      <c r="AL14" s="68">
        <v>-311.8</v>
      </c>
      <c r="AM14" s="657">
        <v>185.1</v>
      </c>
      <c r="AN14" s="68">
        <v>293.7</v>
      </c>
      <c r="AO14" s="68">
        <v>194.2</v>
      </c>
      <c r="AP14" s="658">
        <v>119.3</v>
      </c>
      <c r="AQ14" s="68">
        <v>-48.2</v>
      </c>
      <c r="AR14" s="68">
        <v>3.7</v>
      </c>
      <c r="AS14" s="68">
        <v>76.099999999999994</v>
      </c>
      <c r="AT14" s="658">
        <v>-25.7</v>
      </c>
      <c r="AU14" s="68">
        <v>41.7</v>
      </c>
      <c r="AV14" s="261">
        <v>-113.2</v>
      </c>
      <c r="AW14" s="261">
        <v>174.4</v>
      </c>
      <c r="AX14" s="658">
        <v>-0.9</v>
      </c>
      <c r="AY14" s="68">
        <v>132.5</v>
      </c>
      <c r="AZ14" s="261"/>
      <c r="BA14" s="261"/>
      <c r="BB14" s="658"/>
    </row>
    <row r="15" spans="1:481" ht="20.149999999999999" customHeight="1">
      <c r="A15" s="196" t="s">
        <v>336</v>
      </c>
      <c r="B15" s="675" t="s">
        <v>337</v>
      </c>
      <c r="C15" s="68">
        <v>53.564</v>
      </c>
      <c r="D15" s="68">
        <v>51.881</v>
      </c>
      <c r="E15" s="68">
        <v>66.406999999999996</v>
      </c>
      <c r="F15" s="68">
        <v>67.872</v>
      </c>
      <c r="G15" s="657">
        <v>-36.840000000000003</v>
      </c>
      <c r="H15" s="68">
        <v>-56.231999999999999</v>
      </c>
      <c r="I15" s="68">
        <v>-85.896000000000001</v>
      </c>
      <c r="J15" s="658">
        <v>-104.93900000000001</v>
      </c>
      <c r="K15" s="68">
        <v>31.469000000000001</v>
      </c>
      <c r="L15" s="68">
        <v>-73.8</v>
      </c>
      <c r="M15" s="68">
        <v>-175.9</v>
      </c>
      <c r="N15" s="68">
        <v>-277.7</v>
      </c>
      <c r="O15" s="657">
        <v>-216.1</v>
      </c>
      <c r="P15" s="68">
        <v>69.3</v>
      </c>
      <c r="Q15" s="68">
        <v>-184.3</v>
      </c>
      <c r="R15" s="658">
        <v>-118</v>
      </c>
      <c r="S15" s="68">
        <v>-205.9</v>
      </c>
      <c r="T15" s="68">
        <v>-106.7</v>
      </c>
      <c r="U15" s="68">
        <v>-141.30000000000001</v>
      </c>
      <c r="V15" s="68">
        <v>-33.299999999999997</v>
      </c>
      <c r="W15" s="657">
        <v>-181.5</v>
      </c>
      <c r="X15" s="68">
        <v>-112.9</v>
      </c>
      <c r="Y15" s="68">
        <v>-90.1</v>
      </c>
      <c r="Z15" s="658">
        <v>183.1</v>
      </c>
      <c r="AA15" s="68">
        <v>-259.2</v>
      </c>
      <c r="AB15" s="68">
        <v>125.8</v>
      </c>
      <c r="AC15" s="68">
        <v>88</v>
      </c>
      <c r="AD15" s="68">
        <v>-44.2</v>
      </c>
      <c r="AE15" s="657">
        <v>-379.7</v>
      </c>
      <c r="AF15" s="68">
        <v>-183.1</v>
      </c>
      <c r="AG15" s="68">
        <v>-163.69999999999999</v>
      </c>
      <c r="AH15" s="658">
        <v>64.8</v>
      </c>
      <c r="AI15" s="68">
        <v>-439.5</v>
      </c>
      <c r="AJ15" s="68">
        <v>-264.7</v>
      </c>
      <c r="AK15" s="68">
        <v>-266.8</v>
      </c>
      <c r="AL15" s="68">
        <v>-25.7</v>
      </c>
      <c r="AM15" s="657">
        <v>-138.9</v>
      </c>
      <c r="AN15" s="68">
        <v>-265.5</v>
      </c>
      <c r="AO15" s="68">
        <v>-408.2</v>
      </c>
      <c r="AP15" s="658">
        <v>-401.3</v>
      </c>
      <c r="AQ15" s="68">
        <v>-2.1</v>
      </c>
      <c r="AR15" s="68">
        <v>-78.3</v>
      </c>
      <c r="AS15" s="68">
        <v>-92</v>
      </c>
      <c r="AT15" s="658">
        <v>-55</v>
      </c>
      <c r="AU15" s="68">
        <v>-143.80000000000001</v>
      </c>
      <c r="AV15" s="261">
        <v>-49.7</v>
      </c>
      <c r="AW15" s="261">
        <v>-391.4</v>
      </c>
      <c r="AX15" s="658">
        <v>-218.6</v>
      </c>
      <c r="AY15" s="68">
        <v>-330.2</v>
      </c>
      <c r="AZ15" s="261"/>
      <c r="BA15" s="261"/>
      <c r="BB15" s="658"/>
    </row>
    <row r="16" spans="1:481" ht="20.149999999999999" customHeight="1">
      <c r="A16" s="70" t="s">
        <v>338</v>
      </c>
      <c r="B16" s="674" t="s">
        <v>339</v>
      </c>
      <c r="C16" s="68"/>
      <c r="D16" s="68"/>
      <c r="E16" s="68"/>
      <c r="F16" s="68"/>
      <c r="G16" s="657"/>
      <c r="H16" s="68"/>
      <c r="I16" s="68"/>
      <c r="J16" s="658"/>
      <c r="K16" s="68"/>
      <c r="L16" s="68"/>
      <c r="M16" s="68"/>
      <c r="N16" s="68"/>
      <c r="O16" s="657"/>
      <c r="P16" s="68"/>
      <c r="Q16" s="68"/>
      <c r="R16" s="658"/>
      <c r="S16" s="68"/>
      <c r="T16" s="68"/>
      <c r="U16" s="68"/>
      <c r="V16" s="68"/>
      <c r="W16" s="657"/>
      <c r="X16" s="68"/>
      <c r="Y16" s="68"/>
      <c r="Z16" s="658"/>
      <c r="AA16" s="68">
        <v>29.6</v>
      </c>
      <c r="AB16" s="68">
        <v>48.1</v>
      </c>
      <c r="AC16" s="68">
        <v>55.2</v>
      </c>
      <c r="AD16" s="68">
        <v>47.8</v>
      </c>
      <c r="AE16" s="657">
        <v>-9.1999999999999993</v>
      </c>
      <c r="AF16" s="68">
        <v>-3.3</v>
      </c>
      <c r="AG16" s="68">
        <v>9.1999999999999993</v>
      </c>
      <c r="AH16" s="658">
        <v>9.6999999999999993</v>
      </c>
      <c r="AI16" s="68">
        <v>-9.1999999999999993</v>
      </c>
      <c r="AJ16" s="68">
        <v>-3.3</v>
      </c>
      <c r="AK16" s="68">
        <v>9.1999999999999993</v>
      </c>
      <c r="AL16" s="68">
        <v>9.6999999999999993</v>
      </c>
      <c r="AM16" s="657">
        <v>10.6</v>
      </c>
      <c r="AN16" s="68">
        <v>46.2</v>
      </c>
      <c r="AO16" s="68">
        <v>71.2</v>
      </c>
      <c r="AP16" s="658">
        <v>101</v>
      </c>
      <c r="AQ16" s="68">
        <v>32.1</v>
      </c>
      <c r="AR16" s="68">
        <v>61.5</v>
      </c>
      <c r="AS16" s="68">
        <v>99</v>
      </c>
      <c r="AT16" s="658">
        <v>119.7</v>
      </c>
      <c r="AU16" s="68">
        <v>24.2</v>
      </c>
      <c r="AV16" s="68">
        <v>43.9</v>
      </c>
      <c r="AW16" s="68">
        <v>56.5</v>
      </c>
      <c r="AX16" s="658">
        <v>55.1</v>
      </c>
      <c r="AY16" s="68">
        <v>-14.6</v>
      </c>
      <c r="AZ16" s="68"/>
      <c r="BA16" s="68"/>
      <c r="BB16" s="658"/>
    </row>
    <row r="17" spans="1:54" ht="20.149999999999999" customHeight="1">
      <c r="A17" s="70" t="s">
        <v>340</v>
      </c>
      <c r="B17" s="674" t="s">
        <v>341</v>
      </c>
      <c r="C17" s="68"/>
      <c r="D17" s="68"/>
      <c r="E17" s="68"/>
      <c r="F17" s="68"/>
      <c r="G17" s="657"/>
      <c r="H17" s="68"/>
      <c r="I17" s="68"/>
      <c r="J17" s="658"/>
      <c r="K17" s="68"/>
      <c r="L17" s="68"/>
      <c r="M17" s="68"/>
      <c r="N17" s="68"/>
      <c r="O17" s="657"/>
      <c r="P17" s="68"/>
      <c r="Q17" s="68"/>
      <c r="R17" s="658"/>
      <c r="S17" s="68"/>
      <c r="T17" s="68"/>
      <c r="U17" s="68"/>
      <c r="V17" s="68"/>
      <c r="W17" s="657"/>
      <c r="X17" s="68"/>
      <c r="Y17" s="68"/>
      <c r="Z17" s="658"/>
      <c r="AA17" s="68">
        <v>-9.6</v>
      </c>
      <c r="AB17" s="68">
        <v>39.5</v>
      </c>
      <c r="AC17" s="68">
        <v>43.2</v>
      </c>
      <c r="AD17" s="68">
        <v>107.6</v>
      </c>
      <c r="AE17" s="657">
        <v>17.399999999999999</v>
      </c>
      <c r="AF17" s="68">
        <v>7</v>
      </c>
      <c r="AG17" s="68">
        <v>24.4</v>
      </c>
      <c r="AH17" s="658">
        <v>7.9</v>
      </c>
      <c r="AI17" s="68">
        <v>17.399999999999999</v>
      </c>
      <c r="AJ17" s="68">
        <v>7</v>
      </c>
      <c r="AK17" s="68">
        <v>24.4</v>
      </c>
      <c r="AL17" s="68">
        <v>7.9</v>
      </c>
      <c r="AM17" s="657">
        <v>12</v>
      </c>
      <c r="AN17" s="68">
        <v>-26.7</v>
      </c>
      <c r="AO17" s="68">
        <v>-41.4</v>
      </c>
      <c r="AP17" s="658">
        <v>-37.5</v>
      </c>
      <c r="AQ17" s="68">
        <v>-12.5</v>
      </c>
      <c r="AR17" s="68">
        <v>-28.9</v>
      </c>
      <c r="AS17" s="68">
        <v>-7.3</v>
      </c>
      <c r="AT17" s="658">
        <v>-30.6</v>
      </c>
      <c r="AU17" s="68">
        <v>-13.3</v>
      </c>
      <c r="AV17" s="68">
        <v>-28.1</v>
      </c>
      <c r="AW17" s="261">
        <v>-27.1</v>
      </c>
      <c r="AX17" s="658">
        <v>-48.1</v>
      </c>
      <c r="AY17" s="68">
        <v>22.1</v>
      </c>
      <c r="AZ17" s="68"/>
      <c r="BA17" s="261"/>
      <c r="BB17" s="658"/>
    </row>
    <row r="18" spans="1:54" ht="14.15">
      <c r="A18" s="70" t="s">
        <v>342</v>
      </c>
      <c r="B18" s="674" t="s">
        <v>343</v>
      </c>
      <c r="C18" s="68">
        <v>-0.186</v>
      </c>
      <c r="D18" s="68">
        <v>4.0730000000000004</v>
      </c>
      <c r="E18" s="68">
        <v>0.502</v>
      </c>
      <c r="F18" s="68">
        <v>2.093</v>
      </c>
      <c r="G18" s="657">
        <v>-1.048</v>
      </c>
      <c r="H18" s="68">
        <v>2.4170000000000003</v>
      </c>
      <c r="I18" s="68">
        <v>-3.5390000000000001</v>
      </c>
      <c r="J18" s="658">
        <v>6.4770000000000003</v>
      </c>
      <c r="K18" s="68">
        <v>-13.309000000000001</v>
      </c>
      <c r="L18" s="68">
        <v>-1.5</v>
      </c>
      <c r="M18" s="68">
        <v>-17.399999999999999</v>
      </c>
      <c r="N18" s="68">
        <v>-4.9000000000000004</v>
      </c>
      <c r="O18" s="657">
        <v>-11.7</v>
      </c>
      <c r="P18" s="68">
        <v>-7.6</v>
      </c>
      <c r="Q18" s="68">
        <v>-17.7</v>
      </c>
      <c r="R18" s="658">
        <v>-3.9</v>
      </c>
      <c r="S18" s="68">
        <v>-11.1</v>
      </c>
      <c r="T18" s="68">
        <v>1</v>
      </c>
      <c r="U18" s="68">
        <v>-5.6</v>
      </c>
      <c r="V18" s="68">
        <v>-6.1</v>
      </c>
      <c r="W18" s="659" t="s">
        <v>283</v>
      </c>
      <c r="X18" s="68">
        <v>9.4</v>
      </c>
      <c r="Y18" s="68">
        <v>1.4</v>
      </c>
      <c r="Z18" s="658">
        <v>3.9</v>
      </c>
      <c r="AA18" s="92" t="s">
        <v>283</v>
      </c>
      <c r="AB18" s="92" t="s">
        <v>283</v>
      </c>
      <c r="AC18" s="92" t="s">
        <v>283</v>
      </c>
      <c r="AD18" s="92" t="s">
        <v>283</v>
      </c>
      <c r="AE18" s="659" t="s">
        <v>283</v>
      </c>
      <c r="AF18" s="92" t="s">
        <v>283</v>
      </c>
      <c r="AG18" s="92" t="s">
        <v>283</v>
      </c>
      <c r="AH18" s="660" t="s">
        <v>283</v>
      </c>
      <c r="AI18" s="92" t="s">
        <v>283</v>
      </c>
      <c r="AJ18" s="92" t="s">
        <v>283</v>
      </c>
      <c r="AK18" s="92" t="s">
        <v>283</v>
      </c>
      <c r="AL18" s="92" t="s">
        <v>283</v>
      </c>
      <c r="AM18" s="659" t="s">
        <v>283</v>
      </c>
      <c r="AN18" s="92" t="s">
        <v>283</v>
      </c>
      <c r="AO18" s="92" t="s">
        <v>283</v>
      </c>
      <c r="AP18" s="660" t="s">
        <v>283</v>
      </c>
      <c r="AQ18" s="92" t="s">
        <v>283</v>
      </c>
      <c r="AR18" s="92" t="s">
        <v>283</v>
      </c>
      <c r="AS18" s="92" t="s">
        <v>283</v>
      </c>
      <c r="AT18" s="660" t="s">
        <v>283</v>
      </c>
      <c r="AU18" s="92" t="s">
        <v>283</v>
      </c>
      <c r="AV18" s="92" t="s">
        <v>283</v>
      </c>
      <c r="AW18" s="92" t="s">
        <v>283</v>
      </c>
      <c r="AX18" s="660" t="s">
        <v>283</v>
      </c>
      <c r="AY18" s="92" t="s">
        <v>283</v>
      </c>
      <c r="AZ18" s="92" t="s">
        <v>283</v>
      </c>
      <c r="BA18" s="92" t="s">
        <v>283</v>
      </c>
      <c r="BB18" s="660" t="s">
        <v>283</v>
      </c>
    </row>
    <row r="19" spans="1:54" ht="20.149999999999999" customHeight="1">
      <c r="A19" s="70" t="s">
        <v>344</v>
      </c>
      <c r="B19" s="674" t="s">
        <v>345</v>
      </c>
      <c r="C19" s="68">
        <v>-9.7880000000000003</v>
      </c>
      <c r="D19" s="68">
        <v>-10.354000000000001</v>
      </c>
      <c r="E19" s="68">
        <v>-21.978000000000002</v>
      </c>
      <c r="F19" s="68">
        <v>-31.345000000000002</v>
      </c>
      <c r="G19" s="657">
        <v>3.66</v>
      </c>
      <c r="H19" s="68">
        <v>9.0690000000000008</v>
      </c>
      <c r="I19" s="68">
        <v>11.329000000000001</v>
      </c>
      <c r="J19" s="658">
        <v>14.404</v>
      </c>
      <c r="K19" s="68">
        <v>11.066000000000001</v>
      </c>
      <c r="L19" s="68">
        <v>11.1</v>
      </c>
      <c r="M19" s="68">
        <v>-0.2</v>
      </c>
      <c r="N19" s="68">
        <v>-3.9</v>
      </c>
      <c r="O19" s="657">
        <v>-0.6</v>
      </c>
      <c r="P19" s="68">
        <v>5.3</v>
      </c>
      <c r="Q19" s="68">
        <v>4.8</v>
      </c>
      <c r="R19" s="658">
        <v>6.6</v>
      </c>
      <c r="S19" s="68">
        <v>2.5</v>
      </c>
      <c r="T19" s="68">
        <v>4.7</v>
      </c>
      <c r="U19" s="68">
        <v>7.3</v>
      </c>
      <c r="V19" s="68">
        <v>9.8000000000000007</v>
      </c>
      <c r="W19" s="659" t="s">
        <v>283</v>
      </c>
      <c r="X19" s="92" t="s">
        <v>283</v>
      </c>
      <c r="Y19" s="92" t="s">
        <v>283</v>
      </c>
      <c r="Z19" s="660" t="s">
        <v>283</v>
      </c>
      <c r="AA19" s="92" t="s">
        <v>283</v>
      </c>
      <c r="AB19" s="92" t="s">
        <v>283</v>
      </c>
      <c r="AC19" s="92" t="s">
        <v>283</v>
      </c>
      <c r="AD19" s="92" t="s">
        <v>283</v>
      </c>
      <c r="AE19" s="659" t="s">
        <v>283</v>
      </c>
      <c r="AF19" s="92" t="s">
        <v>283</v>
      </c>
      <c r="AG19" s="92" t="s">
        <v>283</v>
      </c>
      <c r="AH19" s="660" t="s">
        <v>283</v>
      </c>
      <c r="AI19" s="92" t="s">
        <v>283</v>
      </c>
      <c r="AJ19" s="92" t="s">
        <v>283</v>
      </c>
      <c r="AK19" s="92" t="s">
        <v>283</v>
      </c>
      <c r="AL19" s="92" t="s">
        <v>283</v>
      </c>
      <c r="AM19" s="659" t="s">
        <v>283</v>
      </c>
      <c r="AN19" s="92" t="s">
        <v>283</v>
      </c>
      <c r="AO19" s="92" t="s">
        <v>283</v>
      </c>
      <c r="AP19" s="660" t="s">
        <v>283</v>
      </c>
      <c r="AQ19" s="92" t="s">
        <v>283</v>
      </c>
      <c r="AR19" s="92" t="s">
        <v>283</v>
      </c>
      <c r="AS19" s="92" t="s">
        <v>283</v>
      </c>
      <c r="AT19" s="660" t="s">
        <v>283</v>
      </c>
      <c r="AU19" s="92" t="s">
        <v>283</v>
      </c>
      <c r="AV19" s="92" t="s">
        <v>283</v>
      </c>
      <c r="AW19" s="92" t="s">
        <v>283</v>
      </c>
      <c r="AX19" s="660" t="s">
        <v>283</v>
      </c>
      <c r="AY19" s="92" t="s">
        <v>283</v>
      </c>
      <c r="AZ19" s="92" t="s">
        <v>283</v>
      </c>
      <c r="BA19" s="92" t="s">
        <v>283</v>
      </c>
      <c r="BB19" s="660" t="s">
        <v>283</v>
      </c>
    </row>
    <row r="20" spans="1:54" ht="25.75">
      <c r="A20" s="70" t="s">
        <v>346</v>
      </c>
      <c r="B20" s="674" t="s">
        <v>347</v>
      </c>
      <c r="C20" s="68">
        <v>-0.73</v>
      </c>
      <c r="D20" s="68">
        <v>-1.5010000000000001</v>
      </c>
      <c r="E20" s="68">
        <v>-2.044</v>
      </c>
      <c r="F20" s="68">
        <v>-2.8970000000000002</v>
      </c>
      <c r="G20" s="657">
        <v>-0.76200000000000001</v>
      </c>
      <c r="H20" s="68">
        <v>-1.58</v>
      </c>
      <c r="I20" s="68">
        <v>-2.3290000000000002</v>
      </c>
      <c r="J20" s="658">
        <v>-2.9239999999999999</v>
      </c>
      <c r="K20" s="68">
        <v>-0.63300000000000001</v>
      </c>
      <c r="L20" s="68">
        <v>-1.3</v>
      </c>
      <c r="M20" s="68">
        <v>-2</v>
      </c>
      <c r="N20" s="68">
        <v>-2.6</v>
      </c>
      <c r="O20" s="657">
        <v>-0.5</v>
      </c>
      <c r="P20" s="68">
        <v>-1.4</v>
      </c>
      <c r="Q20" s="68">
        <v>-1.9</v>
      </c>
      <c r="R20" s="658">
        <v>-2.6</v>
      </c>
      <c r="S20" s="68">
        <v>-0.8</v>
      </c>
      <c r="T20" s="68">
        <v>0</v>
      </c>
      <c r="U20" s="68">
        <v>0</v>
      </c>
      <c r="V20" s="68">
        <v>0</v>
      </c>
      <c r="W20" s="659" t="s">
        <v>283</v>
      </c>
      <c r="X20" s="92" t="s">
        <v>283</v>
      </c>
      <c r="Y20" s="92" t="s">
        <v>283</v>
      </c>
      <c r="Z20" s="660" t="s">
        <v>283</v>
      </c>
      <c r="AA20" s="92" t="s">
        <v>283</v>
      </c>
      <c r="AB20" s="92" t="s">
        <v>283</v>
      </c>
      <c r="AC20" s="92" t="s">
        <v>283</v>
      </c>
      <c r="AD20" s="92" t="s">
        <v>283</v>
      </c>
      <c r="AE20" s="659" t="s">
        <v>283</v>
      </c>
      <c r="AF20" s="92" t="s">
        <v>283</v>
      </c>
      <c r="AG20" s="92" t="s">
        <v>283</v>
      </c>
      <c r="AH20" s="660" t="s">
        <v>283</v>
      </c>
      <c r="AI20" s="92" t="s">
        <v>283</v>
      </c>
      <c r="AJ20" s="92" t="s">
        <v>283</v>
      </c>
      <c r="AK20" s="92" t="s">
        <v>283</v>
      </c>
      <c r="AL20" s="92" t="s">
        <v>283</v>
      </c>
      <c r="AM20" s="659" t="s">
        <v>283</v>
      </c>
      <c r="AN20" s="92" t="s">
        <v>283</v>
      </c>
      <c r="AO20" s="92" t="s">
        <v>283</v>
      </c>
      <c r="AP20" s="660" t="s">
        <v>283</v>
      </c>
      <c r="AQ20" s="92" t="s">
        <v>283</v>
      </c>
      <c r="AR20" s="92" t="s">
        <v>283</v>
      </c>
      <c r="AS20" s="92" t="s">
        <v>283</v>
      </c>
      <c r="AT20" s="660" t="s">
        <v>283</v>
      </c>
      <c r="AU20" s="92" t="s">
        <v>283</v>
      </c>
      <c r="AV20" s="92" t="s">
        <v>283</v>
      </c>
      <c r="AW20" s="92" t="s">
        <v>283</v>
      </c>
      <c r="AX20" s="660" t="s">
        <v>283</v>
      </c>
      <c r="AY20" s="92" t="s">
        <v>283</v>
      </c>
      <c r="AZ20" s="92" t="s">
        <v>283</v>
      </c>
      <c r="BA20" s="92" t="s">
        <v>283</v>
      </c>
      <c r="BB20" s="660" t="s">
        <v>283</v>
      </c>
    </row>
    <row r="21" spans="1:54" ht="25.75">
      <c r="A21" s="196" t="s">
        <v>348</v>
      </c>
      <c r="B21" s="675" t="s">
        <v>349</v>
      </c>
      <c r="C21" s="68">
        <v>-0.73</v>
      </c>
      <c r="D21" s="68"/>
      <c r="E21" s="68"/>
      <c r="F21" s="68"/>
      <c r="G21" s="657"/>
      <c r="H21" s="68"/>
      <c r="I21" s="68"/>
      <c r="J21" s="658"/>
      <c r="K21" s="68"/>
      <c r="L21" s="68"/>
      <c r="M21" s="68"/>
      <c r="N21" s="68"/>
      <c r="O21" s="657"/>
      <c r="P21" s="68"/>
      <c r="Q21" s="68"/>
      <c r="R21" s="658"/>
      <c r="S21" s="68"/>
      <c r="T21" s="68"/>
      <c r="U21" s="68"/>
      <c r="V21" s="68">
        <v>0</v>
      </c>
      <c r="W21" s="659"/>
      <c r="X21" s="92"/>
      <c r="Y21" s="92"/>
      <c r="Z21" s="658">
        <v>-2.8</v>
      </c>
      <c r="AA21" s="68">
        <v>-5.2</v>
      </c>
      <c r="AB21" s="68">
        <v>-5.0999999999999996</v>
      </c>
      <c r="AC21" s="68">
        <v>-1.6</v>
      </c>
      <c r="AD21" s="68">
        <v>1.2</v>
      </c>
      <c r="AE21" s="657">
        <v>1.7</v>
      </c>
      <c r="AF21" s="68">
        <v>3.6</v>
      </c>
      <c r="AG21" s="68">
        <v>4.9000000000000004</v>
      </c>
      <c r="AH21" s="658">
        <v>6.5</v>
      </c>
      <c r="AI21" s="68">
        <v>1.7</v>
      </c>
      <c r="AJ21" s="68">
        <v>3.6</v>
      </c>
      <c r="AK21" s="68">
        <v>4.9000000000000004</v>
      </c>
      <c r="AL21" s="68">
        <v>6.5</v>
      </c>
      <c r="AM21" s="657">
        <v>-16.3</v>
      </c>
      <c r="AN21" s="68">
        <v>-34.1</v>
      </c>
      <c r="AO21" s="68">
        <v>-47.6</v>
      </c>
      <c r="AP21" s="658">
        <v>-2</v>
      </c>
      <c r="AQ21" s="68">
        <v>-16.5</v>
      </c>
      <c r="AR21" s="68">
        <v>-41.5</v>
      </c>
      <c r="AS21" s="68">
        <v>-64</v>
      </c>
      <c r="AT21" s="658">
        <v>-75.400000000000006</v>
      </c>
      <c r="AU21" s="68">
        <v>-14.7</v>
      </c>
      <c r="AV21" s="68">
        <v>-38.9</v>
      </c>
      <c r="AW21" s="68">
        <v>-62.7</v>
      </c>
      <c r="AX21" s="665">
        <v>-94.5</v>
      </c>
      <c r="AY21" s="68">
        <v>-20.3</v>
      </c>
      <c r="AZ21" s="68"/>
      <c r="BA21" s="68"/>
      <c r="BB21" s="665"/>
    </row>
    <row r="22" spans="1:54" ht="20.149999999999999" customHeight="1">
      <c r="A22" s="70" t="s">
        <v>350</v>
      </c>
      <c r="B22" s="674" t="s">
        <v>351</v>
      </c>
      <c r="C22" s="68">
        <v>-87.786000000000001</v>
      </c>
      <c r="D22" s="68">
        <v>-51.798000000000002</v>
      </c>
      <c r="E22" s="68">
        <v>-102.06700000000001</v>
      </c>
      <c r="F22" s="68">
        <v>-111.07600000000001</v>
      </c>
      <c r="G22" s="657">
        <v>25.975999999999999</v>
      </c>
      <c r="H22" s="68">
        <v>77.412999999999997</v>
      </c>
      <c r="I22" s="68">
        <v>39.252000000000002</v>
      </c>
      <c r="J22" s="658">
        <v>16.294</v>
      </c>
      <c r="K22" s="68">
        <v>10.337</v>
      </c>
      <c r="L22" s="68">
        <v>8.8000000000000007</v>
      </c>
      <c r="M22" s="68">
        <v>164.9</v>
      </c>
      <c r="N22" s="68">
        <v>369.9</v>
      </c>
      <c r="O22" s="657">
        <v>37.1</v>
      </c>
      <c r="P22" s="68">
        <v>99.2</v>
      </c>
      <c r="Q22" s="68">
        <v>135.80000000000001</v>
      </c>
      <c r="R22" s="658">
        <v>222</v>
      </c>
      <c r="S22" s="68">
        <v>250.2</v>
      </c>
      <c r="T22" s="68">
        <v>276.10000000000002</v>
      </c>
      <c r="U22" s="68">
        <v>258.3</v>
      </c>
      <c r="V22" s="68">
        <v>270.89999999999998</v>
      </c>
      <c r="W22" s="657">
        <v>-28.4</v>
      </c>
      <c r="X22" s="68">
        <v>-27.4</v>
      </c>
      <c r="Y22" s="68">
        <v>-15.1</v>
      </c>
      <c r="Z22" s="658">
        <v>-31.1</v>
      </c>
      <c r="AA22" s="68">
        <v>4.5999999999999996</v>
      </c>
      <c r="AB22" s="68">
        <v>24.1</v>
      </c>
      <c r="AC22" s="68">
        <v>11.1</v>
      </c>
      <c r="AD22" s="68">
        <v>15.8</v>
      </c>
      <c r="AE22" s="657">
        <v>1.1000000000000001</v>
      </c>
      <c r="AF22" s="68">
        <v>-3.3</v>
      </c>
      <c r="AG22" s="68">
        <v>5.7</v>
      </c>
      <c r="AH22" s="658">
        <v>-2.2999999999999998</v>
      </c>
      <c r="AI22" s="68">
        <v>1.9</v>
      </c>
      <c r="AJ22" s="68">
        <v>-6.3</v>
      </c>
      <c r="AK22" s="68">
        <v>12.2</v>
      </c>
      <c r="AL22" s="68">
        <v>-4.8</v>
      </c>
      <c r="AM22" s="657">
        <v>41.2</v>
      </c>
      <c r="AN22" s="68">
        <v>29.4</v>
      </c>
      <c r="AO22" s="68">
        <v>35.9</v>
      </c>
      <c r="AP22" s="658">
        <v>45.8</v>
      </c>
      <c r="AQ22" s="68">
        <v>8.3000000000000007</v>
      </c>
      <c r="AR22" s="68">
        <v>-9.1</v>
      </c>
      <c r="AS22" s="68">
        <v>0.2</v>
      </c>
      <c r="AT22" s="658">
        <v>-1.9</v>
      </c>
      <c r="AU22" s="68">
        <v>2.6</v>
      </c>
      <c r="AV22" s="68">
        <v>6.9</v>
      </c>
      <c r="AW22" s="68">
        <v>18.600000000000001</v>
      </c>
      <c r="AX22" s="658">
        <v>14.6</v>
      </c>
      <c r="AY22" s="68">
        <v>0.1</v>
      </c>
      <c r="AZ22" s="68"/>
      <c r="BA22" s="68"/>
      <c r="BB22" s="658"/>
    </row>
    <row r="23" spans="1:54" ht="20.149999999999999" customHeight="1">
      <c r="A23" s="70" t="s">
        <v>352</v>
      </c>
      <c r="B23" s="674" t="s">
        <v>75</v>
      </c>
      <c r="C23" s="68">
        <v>41.158999999999999</v>
      </c>
      <c r="D23" s="68">
        <v>54.56</v>
      </c>
      <c r="E23" s="68">
        <v>80.768000000000001</v>
      </c>
      <c r="F23" s="68">
        <v>97.349000000000004</v>
      </c>
      <c r="G23" s="657">
        <v>14.031000000000001</v>
      </c>
      <c r="H23" s="68">
        <v>27.457000000000001</v>
      </c>
      <c r="I23" s="68">
        <v>51.835000000000001</v>
      </c>
      <c r="J23" s="658">
        <v>67.376000000000005</v>
      </c>
      <c r="K23" s="68">
        <v>14.384</v>
      </c>
      <c r="L23" s="68">
        <v>31.1</v>
      </c>
      <c r="M23" s="68">
        <v>32.200000000000003</v>
      </c>
      <c r="N23" s="68">
        <v>21.7</v>
      </c>
      <c r="O23" s="657">
        <v>26</v>
      </c>
      <c r="P23" s="68">
        <v>71.900000000000006</v>
      </c>
      <c r="Q23" s="68">
        <v>182.7</v>
      </c>
      <c r="R23" s="658">
        <v>169</v>
      </c>
      <c r="S23" s="68">
        <v>27.2</v>
      </c>
      <c r="T23" s="68">
        <v>48.4</v>
      </c>
      <c r="U23" s="68">
        <v>113.5</v>
      </c>
      <c r="V23" s="68">
        <v>12.4</v>
      </c>
      <c r="W23" s="657">
        <v>30.8</v>
      </c>
      <c r="X23" s="68">
        <v>138.4</v>
      </c>
      <c r="Y23" s="68">
        <v>192.6</v>
      </c>
      <c r="Z23" s="658">
        <v>389.8</v>
      </c>
      <c r="AA23" s="68">
        <v>72.5</v>
      </c>
      <c r="AB23" s="68">
        <v>171.8</v>
      </c>
      <c r="AC23" s="68">
        <v>247.8</v>
      </c>
      <c r="AD23" s="68">
        <v>490</v>
      </c>
      <c r="AE23" s="657">
        <v>78</v>
      </c>
      <c r="AF23" s="68">
        <v>164.9</v>
      </c>
      <c r="AG23" s="68">
        <v>236.9</v>
      </c>
      <c r="AH23" s="658">
        <v>355.8</v>
      </c>
      <c r="AI23" s="68">
        <v>77.3</v>
      </c>
      <c r="AJ23" s="68">
        <v>163.80000000000001</v>
      </c>
      <c r="AK23" s="68">
        <v>233.3</v>
      </c>
      <c r="AL23" s="68">
        <v>353</v>
      </c>
      <c r="AM23" s="657">
        <v>66.7</v>
      </c>
      <c r="AN23" s="68">
        <v>139</v>
      </c>
      <c r="AO23" s="68">
        <v>220.6</v>
      </c>
      <c r="AP23" s="658">
        <v>295.89999999999998</v>
      </c>
      <c r="AQ23" s="68">
        <v>108.1</v>
      </c>
      <c r="AR23" s="68">
        <v>222.4</v>
      </c>
      <c r="AS23" s="68">
        <v>1156.4000000000001</v>
      </c>
      <c r="AT23" s="658">
        <v>1251.5999999999999</v>
      </c>
      <c r="AU23" s="68">
        <v>52.3</v>
      </c>
      <c r="AV23" s="68">
        <v>94.6</v>
      </c>
      <c r="AW23" s="68">
        <v>160.80000000000001</v>
      </c>
      <c r="AX23" s="658">
        <v>209.2</v>
      </c>
      <c r="AY23" s="68">
        <v>13.1</v>
      </c>
      <c r="AZ23" s="68"/>
      <c r="BA23" s="68"/>
      <c r="BB23" s="658"/>
    </row>
    <row r="24" spans="1:54" ht="20.149999999999999" customHeight="1">
      <c r="A24" s="70" t="s">
        <v>353</v>
      </c>
      <c r="B24" s="675" t="s">
        <v>354</v>
      </c>
      <c r="C24" s="68">
        <v>-38.363</v>
      </c>
      <c r="D24" s="68">
        <v>-76.626000000000005</v>
      </c>
      <c r="E24" s="68">
        <v>-120.02500000000001</v>
      </c>
      <c r="F24" s="68">
        <v>-164.00800000000001</v>
      </c>
      <c r="G24" s="657">
        <v>-40.92</v>
      </c>
      <c r="H24" s="68">
        <v>-81.858999999999995</v>
      </c>
      <c r="I24" s="68">
        <v>-116.813</v>
      </c>
      <c r="J24" s="658">
        <v>-158.85900000000001</v>
      </c>
      <c r="K24" s="68">
        <v>-30.564</v>
      </c>
      <c r="L24" s="68">
        <v>-65.3</v>
      </c>
      <c r="M24" s="68">
        <v>-142.1</v>
      </c>
      <c r="N24" s="68">
        <v>-193.1</v>
      </c>
      <c r="O24" s="657">
        <v>-43.6</v>
      </c>
      <c r="P24" s="68">
        <v>-72.2</v>
      </c>
      <c r="Q24" s="68">
        <v>-96.7</v>
      </c>
      <c r="R24" s="658">
        <v>-134.69999999999999</v>
      </c>
      <c r="S24" s="68">
        <v>-31.1</v>
      </c>
      <c r="T24" s="68">
        <v>-71.2</v>
      </c>
      <c r="U24" s="68">
        <v>-111</v>
      </c>
      <c r="V24" s="68">
        <v>-153</v>
      </c>
      <c r="W24" s="657">
        <v>-33.1</v>
      </c>
      <c r="X24" s="68">
        <v>-65.599999999999994</v>
      </c>
      <c r="Y24" s="68">
        <v>-97.4</v>
      </c>
      <c r="Z24" s="658">
        <v>-137.5</v>
      </c>
      <c r="AA24" s="68">
        <v>-25.7</v>
      </c>
      <c r="AB24" s="68">
        <v>-42.9</v>
      </c>
      <c r="AC24" s="68">
        <v>-61.2</v>
      </c>
      <c r="AD24" s="68">
        <v>-83.9</v>
      </c>
      <c r="AE24" s="657">
        <v>-25.8</v>
      </c>
      <c r="AF24" s="68">
        <v>-48.8</v>
      </c>
      <c r="AG24" s="68">
        <v>-79.5</v>
      </c>
      <c r="AH24" s="658">
        <v>-122.8</v>
      </c>
      <c r="AI24" s="68">
        <v>-25.8</v>
      </c>
      <c r="AJ24" s="68">
        <v>-48.8</v>
      </c>
      <c r="AK24" s="68">
        <v>-79.5</v>
      </c>
      <c r="AL24" s="68">
        <v>-122.8</v>
      </c>
      <c r="AM24" s="657">
        <v>-33.1</v>
      </c>
      <c r="AN24" s="68">
        <v>-71</v>
      </c>
      <c r="AO24" s="68">
        <v>-112.2</v>
      </c>
      <c r="AP24" s="658">
        <v>-147.1</v>
      </c>
      <c r="AQ24" s="68">
        <v>-33.9</v>
      </c>
      <c r="AR24" s="68">
        <v>-55.5</v>
      </c>
      <c r="AS24" s="68">
        <v>-78.099999999999994</v>
      </c>
      <c r="AT24" s="658">
        <v>-110</v>
      </c>
      <c r="AU24" s="68">
        <v>-37.700000000000003</v>
      </c>
      <c r="AV24" s="68">
        <v>-66.400000000000006</v>
      </c>
      <c r="AW24" s="68">
        <v>-84.5</v>
      </c>
      <c r="AX24" s="658">
        <v>-113.1</v>
      </c>
      <c r="AY24" s="68">
        <v>-24.8</v>
      </c>
      <c r="AZ24" s="68"/>
      <c r="BA24" s="68"/>
      <c r="BB24" s="658"/>
    </row>
    <row r="25" spans="1:54" ht="38.6">
      <c r="A25" s="70" t="s">
        <v>355</v>
      </c>
      <c r="B25" s="674" t="s">
        <v>356</v>
      </c>
      <c r="C25" s="69">
        <v>0</v>
      </c>
      <c r="D25" s="69">
        <v>0</v>
      </c>
      <c r="E25" s="69">
        <v>0</v>
      </c>
      <c r="F25" s="69">
        <v>0</v>
      </c>
      <c r="G25" s="678">
        <v>0</v>
      </c>
      <c r="H25" s="69">
        <v>0</v>
      </c>
      <c r="I25" s="69">
        <v>0</v>
      </c>
      <c r="J25" s="679">
        <v>0</v>
      </c>
      <c r="K25" s="69">
        <v>0</v>
      </c>
      <c r="L25" s="68">
        <v>82.1</v>
      </c>
      <c r="M25" s="68">
        <v>82.1</v>
      </c>
      <c r="N25" s="68">
        <v>82.1</v>
      </c>
      <c r="O25" s="657">
        <v>0</v>
      </c>
      <c r="P25" s="68">
        <v>0</v>
      </c>
      <c r="Q25" s="68">
        <v>-371.4</v>
      </c>
      <c r="R25" s="658">
        <v>-371.4</v>
      </c>
      <c r="S25" s="68">
        <v>0</v>
      </c>
      <c r="T25" s="68">
        <v>0</v>
      </c>
      <c r="U25" s="68">
        <v>0</v>
      </c>
      <c r="V25" s="68">
        <v>0</v>
      </c>
      <c r="W25" s="657">
        <v>0</v>
      </c>
      <c r="X25" s="68">
        <v>0</v>
      </c>
      <c r="Y25" s="68">
        <v>0</v>
      </c>
      <c r="Z25" s="658">
        <v>0</v>
      </c>
      <c r="AA25" s="68">
        <v>0</v>
      </c>
      <c r="AB25" s="68">
        <v>0</v>
      </c>
      <c r="AC25" s="68">
        <v>0</v>
      </c>
      <c r="AD25" s="68">
        <v>0</v>
      </c>
      <c r="AE25" s="657">
        <v>0</v>
      </c>
      <c r="AF25" s="68">
        <v>0</v>
      </c>
      <c r="AG25" s="68">
        <v>0</v>
      </c>
      <c r="AH25" s="658">
        <v>0</v>
      </c>
      <c r="AI25" s="68">
        <v>0</v>
      </c>
      <c r="AJ25" s="68">
        <v>0</v>
      </c>
      <c r="AK25" s="68">
        <v>0</v>
      </c>
      <c r="AL25" s="68">
        <v>0</v>
      </c>
      <c r="AM25" s="657">
        <v>0</v>
      </c>
      <c r="AN25" s="68">
        <v>0</v>
      </c>
      <c r="AO25" s="68">
        <v>0</v>
      </c>
      <c r="AP25" s="658">
        <v>0</v>
      </c>
      <c r="AQ25" s="68">
        <v>0</v>
      </c>
      <c r="AR25" s="68">
        <v>0</v>
      </c>
      <c r="AS25" s="68">
        <v>0</v>
      </c>
      <c r="AT25" s="658">
        <v>0</v>
      </c>
      <c r="AU25" s="68">
        <v>0</v>
      </c>
      <c r="AV25" s="68">
        <v>0</v>
      </c>
      <c r="AW25" s="68">
        <v>0</v>
      </c>
      <c r="AX25" s="658">
        <v>0</v>
      </c>
      <c r="AY25" s="68">
        <v>0</v>
      </c>
      <c r="AZ25" s="68"/>
      <c r="BA25" s="68"/>
      <c r="BB25" s="658"/>
    </row>
    <row r="26" spans="1:54" ht="20.149999999999999" customHeight="1">
      <c r="A26" s="70" t="s">
        <v>357</v>
      </c>
      <c r="B26" s="674" t="s">
        <v>742</v>
      </c>
      <c r="C26" s="69"/>
      <c r="D26" s="69"/>
      <c r="E26" s="69"/>
      <c r="F26" s="69"/>
      <c r="G26" s="678"/>
      <c r="H26" s="69"/>
      <c r="I26" s="69"/>
      <c r="J26" s="679"/>
      <c r="K26" s="69"/>
      <c r="L26" s="68"/>
      <c r="M26" s="68"/>
      <c r="N26" s="68"/>
      <c r="O26" s="657"/>
      <c r="P26" s="68"/>
      <c r="Q26" s="68"/>
      <c r="R26" s="658"/>
      <c r="S26" s="68"/>
      <c r="T26" s="68"/>
      <c r="U26" s="68"/>
      <c r="V26" s="68">
        <v>0</v>
      </c>
      <c r="W26" s="657">
        <v>58.7</v>
      </c>
      <c r="X26" s="68">
        <v>58.7</v>
      </c>
      <c r="Y26" s="68">
        <v>58.7</v>
      </c>
      <c r="Z26" s="658">
        <v>58.7</v>
      </c>
      <c r="AA26" s="68">
        <v>0</v>
      </c>
      <c r="AB26" s="68">
        <v>0</v>
      </c>
      <c r="AC26" s="260">
        <v>0</v>
      </c>
      <c r="AD26" s="68">
        <v>0</v>
      </c>
      <c r="AE26" s="657">
        <v>0</v>
      </c>
      <c r="AF26" s="68">
        <v>0</v>
      </c>
      <c r="AG26" s="260">
        <v>0</v>
      </c>
      <c r="AH26" s="658">
        <v>0</v>
      </c>
      <c r="AI26" s="68">
        <v>0</v>
      </c>
      <c r="AJ26" s="68">
        <v>0</v>
      </c>
      <c r="AK26" s="260">
        <v>0</v>
      </c>
      <c r="AL26" s="68">
        <v>0</v>
      </c>
      <c r="AM26" s="657">
        <v>0</v>
      </c>
      <c r="AN26" s="68">
        <v>0</v>
      </c>
      <c r="AO26" s="260">
        <v>0</v>
      </c>
      <c r="AP26" s="658">
        <v>0</v>
      </c>
      <c r="AQ26" s="68">
        <v>0</v>
      </c>
      <c r="AR26" s="68">
        <v>0</v>
      </c>
      <c r="AS26" s="260">
        <v>0</v>
      </c>
      <c r="AT26" s="658">
        <v>0</v>
      </c>
      <c r="AU26" s="68">
        <v>0</v>
      </c>
      <c r="AV26" s="68">
        <v>0</v>
      </c>
      <c r="AW26" s="260">
        <v>0</v>
      </c>
      <c r="AX26" s="658">
        <v>0</v>
      </c>
      <c r="AY26" s="68">
        <v>9.6999999999999993</v>
      </c>
      <c r="AZ26" s="68"/>
      <c r="BA26" s="260"/>
      <c r="BB26" s="658"/>
    </row>
    <row r="27" spans="1:54" ht="25.75">
      <c r="A27" s="70" t="s">
        <v>358</v>
      </c>
      <c r="B27" s="674" t="s">
        <v>741</v>
      </c>
      <c r="C27" s="69"/>
      <c r="D27" s="69"/>
      <c r="E27" s="69"/>
      <c r="F27" s="69"/>
      <c r="G27" s="678"/>
      <c r="H27" s="69"/>
      <c r="I27" s="69"/>
      <c r="J27" s="679"/>
      <c r="K27" s="69"/>
      <c r="L27" s="68"/>
      <c r="M27" s="68"/>
      <c r="N27" s="68"/>
      <c r="O27" s="657"/>
      <c r="P27" s="68"/>
      <c r="Q27" s="68"/>
      <c r="R27" s="658"/>
      <c r="S27" s="68"/>
      <c r="T27" s="68"/>
      <c r="U27" s="68"/>
      <c r="V27" s="68"/>
      <c r="W27" s="657"/>
      <c r="X27" s="68"/>
      <c r="Y27" s="68"/>
      <c r="Z27" s="658"/>
      <c r="AA27" s="68"/>
      <c r="AB27" s="68"/>
      <c r="AC27" s="260"/>
      <c r="AD27" s="68"/>
      <c r="AE27" s="657"/>
      <c r="AF27" s="68"/>
      <c r="AG27" s="260"/>
      <c r="AH27" s="658"/>
      <c r="AI27" s="68"/>
      <c r="AJ27" s="68"/>
      <c r="AK27" s="260"/>
      <c r="AL27" s="68"/>
      <c r="AM27" s="657"/>
      <c r="AN27" s="68"/>
      <c r="AO27" s="260"/>
      <c r="AP27" s="658"/>
      <c r="AQ27" s="68"/>
      <c r="AR27" s="68"/>
      <c r="AS27" s="260"/>
      <c r="AT27" s="658"/>
      <c r="AU27" s="68"/>
      <c r="AV27" s="68"/>
      <c r="AW27" s="260"/>
      <c r="AX27" s="658"/>
      <c r="AY27" s="68">
        <v>-19.2</v>
      </c>
      <c r="AZ27" s="68"/>
      <c r="BA27" s="260"/>
      <c r="BB27" s="658"/>
    </row>
    <row r="28" spans="1:54" ht="20.149999999999999" customHeight="1">
      <c r="A28" s="70" t="s">
        <v>359</v>
      </c>
      <c r="B28" s="674" t="s">
        <v>360</v>
      </c>
      <c r="C28" s="69">
        <v>0</v>
      </c>
      <c r="D28" s="69">
        <v>0</v>
      </c>
      <c r="E28" s="69">
        <v>0</v>
      </c>
      <c r="F28" s="69">
        <v>0</v>
      </c>
      <c r="G28" s="678">
        <v>0</v>
      </c>
      <c r="H28" s="69">
        <v>0</v>
      </c>
      <c r="I28" s="69">
        <v>0</v>
      </c>
      <c r="J28" s="679">
        <v>0</v>
      </c>
      <c r="K28" s="69">
        <v>0</v>
      </c>
      <c r="L28" s="68">
        <v>16.5</v>
      </c>
      <c r="M28" s="68">
        <v>55.4</v>
      </c>
      <c r="N28" s="68">
        <v>84.3</v>
      </c>
      <c r="O28" s="657">
        <v>10.6</v>
      </c>
      <c r="P28" s="68">
        <v>33.9</v>
      </c>
      <c r="Q28" s="68">
        <v>37.6</v>
      </c>
      <c r="R28" s="658">
        <v>53</v>
      </c>
      <c r="S28" s="68">
        <v>-174.6</v>
      </c>
      <c r="T28" s="68">
        <v>-160.19999999999999</v>
      </c>
      <c r="U28" s="68">
        <v>-161.9</v>
      </c>
      <c r="V28" s="68">
        <v>-164.9</v>
      </c>
      <c r="W28" s="657">
        <v>-0.1</v>
      </c>
      <c r="X28" s="68">
        <v>0.9</v>
      </c>
      <c r="Y28" s="68">
        <v>-1.3</v>
      </c>
      <c r="Z28" s="658">
        <v>-1.5</v>
      </c>
      <c r="AA28" s="92" t="s">
        <v>283</v>
      </c>
      <c r="AB28" s="92" t="s">
        <v>283</v>
      </c>
      <c r="AC28" s="92" t="s">
        <v>283</v>
      </c>
      <c r="AD28" s="92" t="s">
        <v>283</v>
      </c>
      <c r="AE28" s="659" t="s">
        <v>283</v>
      </c>
      <c r="AF28" s="92" t="s">
        <v>283</v>
      </c>
      <c r="AG28" s="92" t="s">
        <v>283</v>
      </c>
      <c r="AH28" s="660" t="s">
        <v>283</v>
      </c>
      <c r="AI28" s="92" t="s">
        <v>283</v>
      </c>
      <c r="AJ28" s="92" t="s">
        <v>283</v>
      </c>
      <c r="AK28" s="92" t="s">
        <v>283</v>
      </c>
      <c r="AL28" s="92" t="s">
        <v>283</v>
      </c>
      <c r="AM28" s="659" t="s">
        <v>283</v>
      </c>
      <c r="AN28" s="92" t="s">
        <v>283</v>
      </c>
      <c r="AO28" s="92" t="s">
        <v>283</v>
      </c>
      <c r="AP28" s="660" t="s">
        <v>283</v>
      </c>
      <c r="AQ28" s="92" t="s">
        <v>283</v>
      </c>
      <c r="AR28" s="92" t="s">
        <v>283</v>
      </c>
      <c r="AS28" s="92" t="s">
        <v>283</v>
      </c>
      <c r="AT28" s="660" t="s">
        <v>283</v>
      </c>
      <c r="AU28" s="92" t="s">
        <v>283</v>
      </c>
      <c r="AV28" s="92" t="s">
        <v>283</v>
      </c>
      <c r="AW28" s="92" t="s">
        <v>283</v>
      </c>
      <c r="AX28" s="660" t="s">
        <v>283</v>
      </c>
      <c r="AY28" s="92" t="s">
        <v>283</v>
      </c>
      <c r="AZ28" s="92" t="s">
        <v>283</v>
      </c>
      <c r="BA28" s="92" t="s">
        <v>283</v>
      </c>
      <c r="BB28" s="660" t="s">
        <v>283</v>
      </c>
    </row>
    <row r="29" spans="1:54" ht="25.75">
      <c r="A29" s="70" t="s">
        <v>361</v>
      </c>
      <c r="B29" s="674" t="s">
        <v>59</v>
      </c>
      <c r="C29" s="69"/>
      <c r="D29" s="69"/>
      <c r="E29" s="69"/>
      <c r="F29" s="69"/>
      <c r="G29" s="678"/>
      <c r="H29" s="69"/>
      <c r="I29" s="69"/>
      <c r="J29" s="679"/>
      <c r="K29" s="69"/>
      <c r="L29" s="68"/>
      <c r="M29" s="68"/>
      <c r="N29" s="68"/>
      <c r="O29" s="657"/>
      <c r="P29" s="68"/>
      <c r="Q29" s="68"/>
      <c r="R29" s="658"/>
      <c r="S29" s="68"/>
      <c r="T29" s="68"/>
      <c r="U29" s="68"/>
      <c r="V29" s="68"/>
      <c r="W29" s="657"/>
      <c r="X29" s="68"/>
      <c r="Y29" s="68"/>
      <c r="Z29" s="658"/>
      <c r="AA29" s="92"/>
      <c r="AB29" s="92"/>
      <c r="AC29" s="92"/>
      <c r="AD29" s="92"/>
      <c r="AE29" s="659"/>
      <c r="AF29" s="92"/>
      <c r="AG29" s="92"/>
      <c r="AH29" s="660"/>
      <c r="AI29" s="92"/>
      <c r="AJ29" s="92"/>
      <c r="AK29" s="92"/>
      <c r="AL29" s="92"/>
      <c r="AM29" s="659"/>
      <c r="AN29" s="92"/>
      <c r="AO29" s="92"/>
      <c r="AP29" s="660"/>
      <c r="AQ29" s="92"/>
      <c r="AR29" s="92"/>
      <c r="AS29" s="68">
        <v>-3690.8</v>
      </c>
      <c r="AT29" s="658">
        <v>-3680.6</v>
      </c>
      <c r="AU29" s="92">
        <v>0</v>
      </c>
      <c r="AV29" s="92">
        <v>0</v>
      </c>
      <c r="AW29" s="68">
        <v>-113.4</v>
      </c>
      <c r="AX29" s="658">
        <v>-153.19999999999999</v>
      </c>
      <c r="AY29" s="68">
        <v>0</v>
      </c>
      <c r="AZ29" s="92"/>
      <c r="BA29" s="68"/>
      <c r="BB29" s="658"/>
    </row>
    <row r="30" spans="1:54" ht="25.75">
      <c r="A30" s="70" t="s">
        <v>362</v>
      </c>
      <c r="B30" s="674" t="s">
        <v>363</v>
      </c>
      <c r="C30" s="69"/>
      <c r="D30" s="69"/>
      <c r="E30" s="69"/>
      <c r="F30" s="69"/>
      <c r="G30" s="678"/>
      <c r="H30" s="69"/>
      <c r="I30" s="69"/>
      <c r="J30" s="679"/>
      <c r="K30" s="69"/>
      <c r="L30" s="68"/>
      <c r="M30" s="68"/>
      <c r="N30" s="68"/>
      <c r="O30" s="657"/>
      <c r="P30" s="68"/>
      <c r="Q30" s="68"/>
      <c r="R30" s="658"/>
      <c r="S30" s="68"/>
      <c r="T30" s="68"/>
      <c r="U30" s="68"/>
      <c r="V30" s="68"/>
      <c r="W30" s="657"/>
      <c r="X30" s="68"/>
      <c r="Y30" s="68"/>
      <c r="Z30" s="658"/>
      <c r="AA30" s="92"/>
      <c r="AB30" s="92"/>
      <c r="AC30" s="92"/>
      <c r="AD30" s="92"/>
      <c r="AE30" s="659"/>
      <c r="AF30" s="92"/>
      <c r="AG30" s="92"/>
      <c r="AH30" s="660"/>
      <c r="AI30" s="92"/>
      <c r="AJ30" s="92"/>
      <c r="AK30" s="92"/>
      <c r="AL30" s="92"/>
      <c r="AM30" s="659">
        <v>0</v>
      </c>
      <c r="AN30" s="68">
        <v>-44.8</v>
      </c>
      <c r="AO30" s="68">
        <v>-44.8</v>
      </c>
      <c r="AP30" s="661">
        <v>-44.8</v>
      </c>
      <c r="AQ30" s="92">
        <v>0</v>
      </c>
      <c r="AR30" s="68">
        <v>0</v>
      </c>
      <c r="AS30" s="68">
        <v>0</v>
      </c>
      <c r="AT30" s="661">
        <v>0</v>
      </c>
      <c r="AU30" s="92">
        <v>0</v>
      </c>
      <c r="AV30" s="68">
        <v>0</v>
      </c>
      <c r="AW30" s="68">
        <v>0</v>
      </c>
      <c r="AX30" s="661">
        <v>0</v>
      </c>
      <c r="AY30" s="92">
        <v>0</v>
      </c>
      <c r="AZ30" s="68"/>
      <c r="BA30" s="68"/>
      <c r="BB30" s="661"/>
    </row>
    <row r="31" spans="1:54" ht="20.149999999999999" customHeight="1" thickBot="1">
      <c r="A31" s="70" t="s">
        <v>364</v>
      </c>
      <c r="B31" s="674" t="s">
        <v>365</v>
      </c>
      <c r="C31" s="68">
        <v>0.245</v>
      </c>
      <c r="D31" s="68">
        <v>0.78500000000000003</v>
      </c>
      <c r="E31" s="68">
        <v>1.31</v>
      </c>
      <c r="F31" s="68">
        <v>3.5380000000000003</v>
      </c>
      <c r="G31" s="657">
        <v>1.484</v>
      </c>
      <c r="H31" s="68">
        <f>4.197+4.842</f>
        <v>9.0389999999999997</v>
      </c>
      <c r="I31" s="68">
        <f>5.852+4.842</f>
        <v>10.693999999999999</v>
      </c>
      <c r="J31" s="658">
        <v>11.93</v>
      </c>
      <c r="K31" s="68">
        <v>1.7790000000000001</v>
      </c>
      <c r="L31" s="68">
        <v>10.8</v>
      </c>
      <c r="M31" s="68">
        <v>11.7</v>
      </c>
      <c r="N31" s="68">
        <v>96.1</v>
      </c>
      <c r="O31" s="657">
        <v>-3</v>
      </c>
      <c r="P31" s="68">
        <v>9</v>
      </c>
      <c r="Q31" s="68">
        <v>19.600000000000001</v>
      </c>
      <c r="R31" s="658">
        <v>21.6</v>
      </c>
      <c r="S31" s="68">
        <v>2.5</v>
      </c>
      <c r="T31" s="68">
        <v>-1.9</v>
      </c>
      <c r="U31" s="68">
        <v>22.5</v>
      </c>
      <c r="V31" s="68">
        <v>24</v>
      </c>
      <c r="W31" s="657">
        <v>-2.1</v>
      </c>
      <c r="X31" s="68">
        <v>18.100000000000001</v>
      </c>
      <c r="Y31" s="68">
        <v>51.1</v>
      </c>
      <c r="Z31" s="658">
        <v>55.5</v>
      </c>
      <c r="AA31" s="68">
        <v>-18.2</v>
      </c>
      <c r="AB31" s="68">
        <v>2.5</v>
      </c>
      <c r="AC31" s="68">
        <v>18.2</v>
      </c>
      <c r="AD31" s="68">
        <v>-97.8</v>
      </c>
      <c r="AE31" s="657">
        <v>1.1000000000000001</v>
      </c>
      <c r="AF31" s="68">
        <v>-6.3</v>
      </c>
      <c r="AG31" s="68">
        <v>64.8</v>
      </c>
      <c r="AH31" s="658">
        <v>68.400000000000006</v>
      </c>
      <c r="AI31" s="68">
        <v>1.1000000000000001</v>
      </c>
      <c r="AJ31" s="68">
        <v>-6.3</v>
      </c>
      <c r="AK31" s="68">
        <v>64.8</v>
      </c>
      <c r="AL31" s="68">
        <v>68.400000000000006</v>
      </c>
      <c r="AM31" s="657">
        <v>-5.4</v>
      </c>
      <c r="AN31" s="68">
        <v>-3.3</v>
      </c>
      <c r="AO31" s="68">
        <v>14.4</v>
      </c>
      <c r="AP31" s="658">
        <v>31</v>
      </c>
      <c r="AQ31" s="68">
        <v>13.1</v>
      </c>
      <c r="AR31" s="68">
        <v>29.8</v>
      </c>
      <c r="AS31" s="68">
        <v>28.8</v>
      </c>
      <c r="AT31" s="658">
        <v>62.1</v>
      </c>
      <c r="AU31" s="68">
        <v>14.1</v>
      </c>
      <c r="AV31" s="68">
        <v>22.8</v>
      </c>
      <c r="AW31" s="68">
        <v>-13.7</v>
      </c>
      <c r="AX31" s="665">
        <v>-66.7</v>
      </c>
      <c r="AY31" s="68">
        <v>-37.4</v>
      </c>
      <c r="AZ31" s="68"/>
      <c r="BA31" s="68"/>
      <c r="BB31" s="665"/>
    </row>
    <row r="32" spans="1:54" ht="20.149999999999999" customHeight="1" thickBot="1">
      <c r="A32" s="388" t="s">
        <v>366</v>
      </c>
      <c r="B32" s="673" t="s">
        <v>367</v>
      </c>
      <c r="C32" s="389">
        <f t="shared" ref="C32:AB32" si="5">C5+C6</f>
        <v>232.697</v>
      </c>
      <c r="D32" s="389">
        <f t="shared" si="5"/>
        <v>415.61099999999999</v>
      </c>
      <c r="E32" s="389">
        <f t="shared" si="5"/>
        <v>628.7700000000001</v>
      </c>
      <c r="F32" s="390">
        <f t="shared" si="5"/>
        <v>843.21800000000007</v>
      </c>
      <c r="G32" s="655">
        <f t="shared" si="5"/>
        <v>165.66199999999998</v>
      </c>
      <c r="H32" s="390">
        <f t="shared" si="5"/>
        <v>351.928</v>
      </c>
      <c r="I32" s="390">
        <f t="shared" si="5"/>
        <v>548.24399999999991</v>
      </c>
      <c r="J32" s="656">
        <f t="shared" si="5"/>
        <v>859.7349999999999</v>
      </c>
      <c r="K32" s="390">
        <f t="shared" si="5"/>
        <v>184.70400000000001</v>
      </c>
      <c r="L32" s="390">
        <f t="shared" si="5"/>
        <v>735.69999999999982</v>
      </c>
      <c r="M32" s="390">
        <f t="shared" si="5"/>
        <v>1423.9000000000003</v>
      </c>
      <c r="N32" s="390">
        <f t="shared" si="5"/>
        <v>2117.7999999999997</v>
      </c>
      <c r="O32" s="655">
        <f t="shared" si="5"/>
        <v>453.00000000000011</v>
      </c>
      <c r="P32" s="390">
        <f t="shared" si="5"/>
        <v>1327.9999999999995</v>
      </c>
      <c r="Q32" s="390">
        <f t="shared" si="5"/>
        <v>2173.4999999999991</v>
      </c>
      <c r="R32" s="656">
        <f t="shared" si="5"/>
        <v>2985.0999999999995</v>
      </c>
      <c r="S32" s="390">
        <f t="shared" si="5"/>
        <v>584.40000000000009</v>
      </c>
      <c r="T32" s="390">
        <f t="shared" si="5"/>
        <v>1549.4</v>
      </c>
      <c r="U32" s="390">
        <f t="shared" si="5"/>
        <v>2357.5000000000009</v>
      </c>
      <c r="V32" s="390">
        <f t="shared" si="5"/>
        <v>3151.5</v>
      </c>
      <c r="W32" s="655">
        <f t="shared" si="5"/>
        <v>780.70000000000027</v>
      </c>
      <c r="X32" s="390">
        <f t="shared" si="5"/>
        <v>1615.9</v>
      </c>
      <c r="Y32" s="390">
        <f t="shared" si="5"/>
        <v>2245.6999999999998</v>
      </c>
      <c r="Z32" s="656">
        <f t="shared" si="5"/>
        <v>3126.3</v>
      </c>
      <c r="AA32" s="390">
        <f t="shared" si="5"/>
        <v>633.10000000000014</v>
      </c>
      <c r="AB32" s="390">
        <f t="shared" si="5"/>
        <v>1396.9</v>
      </c>
      <c r="AC32" s="390">
        <v>2220.8000000000002</v>
      </c>
      <c r="AD32" s="390">
        <f t="shared" ref="AD32:AP32" si="6">AD5+AD6</f>
        <v>3232.1</v>
      </c>
      <c r="AE32" s="655">
        <f t="shared" si="6"/>
        <v>703.2</v>
      </c>
      <c r="AF32" s="390">
        <f t="shared" si="6"/>
        <v>1554.3000000000002</v>
      </c>
      <c r="AG32" s="390">
        <f t="shared" si="6"/>
        <v>2406.8000000000002</v>
      </c>
      <c r="AH32" s="656">
        <f t="shared" si="6"/>
        <v>3391.8</v>
      </c>
      <c r="AI32" s="390">
        <f t="shared" si="6"/>
        <v>762.2</v>
      </c>
      <c r="AJ32" s="390">
        <f t="shared" si="6"/>
        <v>1709.3000000000002</v>
      </c>
      <c r="AK32" s="390">
        <f t="shared" si="6"/>
        <v>2659.9000000000005</v>
      </c>
      <c r="AL32" s="390">
        <f t="shared" si="6"/>
        <v>3777.8999999999996</v>
      </c>
      <c r="AM32" s="655">
        <f t="shared" si="6"/>
        <v>860.98882651999998</v>
      </c>
      <c r="AN32" s="390">
        <f t="shared" si="6"/>
        <v>1706.8000000000004</v>
      </c>
      <c r="AO32" s="390">
        <f t="shared" si="6"/>
        <v>2655.2999999999997</v>
      </c>
      <c r="AP32" s="656">
        <f t="shared" si="6"/>
        <v>3797.8999999999996</v>
      </c>
      <c r="AQ32" s="390">
        <f t="shared" ref="AQ32:AS32" si="7">AQ5+AQ6</f>
        <v>994.30000000000007</v>
      </c>
      <c r="AR32" s="390">
        <f t="shared" si="7"/>
        <v>1885.8999999999999</v>
      </c>
      <c r="AS32" s="390">
        <f t="shared" si="7"/>
        <v>2795.8000000000011</v>
      </c>
      <c r="AT32" s="656">
        <f>AT5+AT6</f>
        <v>3689.699999999998</v>
      </c>
      <c r="AU32" s="390">
        <f t="shared" ref="AU32:AW32" si="8">AU5+AU6</f>
        <v>666.80000000000007</v>
      </c>
      <c r="AV32" s="752">
        <f t="shared" si="8"/>
        <v>1493.2999999999997</v>
      </c>
      <c r="AW32" s="390">
        <f t="shared" si="8"/>
        <v>2219.4000000000005</v>
      </c>
      <c r="AX32" s="808">
        <f>AX5+AX6</f>
        <v>2973.5</v>
      </c>
      <c r="AY32" s="390">
        <f>AY5+AY6</f>
        <v>355.70000000000067</v>
      </c>
      <c r="AZ32" s="752">
        <f t="shared" ref="AZ32:BA32" si="9">AZ5+AZ6</f>
        <v>0</v>
      </c>
      <c r="BA32" s="390">
        <f t="shared" si="9"/>
        <v>0</v>
      </c>
      <c r="BB32" s="808">
        <f>BB5+BB6</f>
        <v>0</v>
      </c>
    </row>
    <row r="33" spans="1:58" ht="20.149999999999999" customHeight="1">
      <c r="A33" s="70" t="s">
        <v>368</v>
      </c>
      <c r="B33" s="674" t="s">
        <v>369</v>
      </c>
      <c r="C33" s="68">
        <v>-12.561</v>
      </c>
      <c r="D33" s="68">
        <v>-47.188000000000002</v>
      </c>
      <c r="E33" s="68">
        <v>-59.765999999999998</v>
      </c>
      <c r="F33" s="68">
        <v>-78.733000000000004</v>
      </c>
      <c r="G33" s="657">
        <v>-13.763</v>
      </c>
      <c r="H33" s="68">
        <v>-26.318999999999999</v>
      </c>
      <c r="I33" s="68">
        <v>-37.451999999999998</v>
      </c>
      <c r="J33" s="658">
        <v>-67.486000000000004</v>
      </c>
      <c r="K33" s="68">
        <v>-17.809000000000001</v>
      </c>
      <c r="L33" s="68">
        <v>-99.5</v>
      </c>
      <c r="M33" s="68">
        <v>-135.19999999999999</v>
      </c>
      <c r="N33" s="68">
        <v>-189.1</v>
      </c>
      <c r="O33" s="657">
        <v>-48.5</v>
      </c>
      <c r="P33" s="68">
        <v>-44.2</v>
      </c>
      <c r="Q33" s="68">
        <v>-94.2</v>
      </c>
      <c r="R33" s="658">
        <v>-136.19999999999999</v>
      </c>
      <c r="S33" s="68">
        <v>-145.69999999999999</v>
      </c>
      <c r="T33" s="68">
        <v>-186.5</v>
      </c>
      <c r="U33" s="68">
        <v>-236.1</v>
      </c>
      <c r="V33" s="68">
        <v>-292.7</v>
      </c>
      <c r="W33" s="657">
        <v>-43.5</v>
      </c>
      <c r="X33" s="68">
        <v>-112.5</v>
      </c>
      <c r="Y33" s="68">
        <v>-181.5</v>
      </c>
      <c r="Z33" s="658">
        <v>-216.2</v>
      </c>
      <c r="AA33" s="68">
        <v>-70.599999999999994</v>
      </c>
      <c r="AB33" s="68">
        <v>-191.3</v>
      </c>
      <c r="AC33" s="68">
        <v>-265.10000000000002</v>
      </c>
      <c r="AD33" s="68">
        <v>-343.2</v>
      </c>
      <c r="AE33" s="657">
        <v>-66.099999999999994</v>
      </c>
      <c r="AF33" s="68">
        <v>-163</v>
      </c>
      <c r="AG33" s="68">
        <v>-252.5</v>
      </c>
      <c r="AH33" s="658">
        <v>-328.5</v>
      </c>
      <c r="AI33" s="68">
        <v>-66.099999999999994</v>
      </c>
      <c r="AJ33" s="68">
        <v>-163</v>
      </c>
      <c r="AK33" s="68">
        <v>-252.5</v>
      </c>
      <c r="AL33" s="68">
        <v>-328.5</v>
      </c>
      <c r="AM33" s="657">
        <v>-87.1</v>
      </c>
      <c r="AN33" s="68">
        <v>-360.4</v>
      </c>
      <c r="AO33" s="68">
        <v>-438.9</v>
      </c>
      <c r="AP33" s="658">
        <v>-552.9</v>
      </c>
      <c r="AQ33" s="68">
        <v>-106</v>
      </c>
      <c r="AR33" s="68">
        <v>-269.89999999999998</v>
      </c>
      <c r="AS33" s="68">
        <v>-356.9</v>
      </c>
      <c r="AT33" s="658">
        <v>-463</v>
      </c>
      <c r="AU33" s="68">
        <v>-98.9</v>
      </c>
      <c r="AV33" s="68">
        <v>-1079.9000000000001</v>
      </c>
      <c r="AW33" s="68">
        <v>-1175.8</v>
      </c>
      <c r="AX33" s="658">
        <v>-1278.4000000000001</v>
      </c>
      <c r="AY33" s="68">
        <v>-80.5</v>
      </c>
      <c r="AZ33" s="68"/>
      <c r="BA33" s="68"/>
      <c r="BB33" s="658"/>
    </row>
    <row r="34" spans="1:58" ht="20.149999999999999" customHeight="1">
      <c r="A34" s="70" t="s">
        <v>370</v>
      </c>
      <c r="B34" s="674" t="s">
        <v>371</v>
      </c>
      <c r="C34" s="68">
        <v>3.843</v>
      </c>
      <c r="D34" s="68">
        <v>8.1440000000000001</v>
      </c>
      <c r="E34" s="68">
        <v>12.96</v>
      </c>
      <c r="F34" s="68">
        <v>16.882000000000001</v>
      </c>
      <c r="G34" s="657">
        <v>3.544</v>
      </c>
      <c r="H34" s="68">
        <v>6.1040000000000001</v>
      </c>
      <c r="I34" s="68">
        <v>8.5630000000000006</v>
      </c>
      <c r="J34" s="658">
        <v>10.41</v>
      </c>
      <c r="K34" s="68">
        <v>2.165</v>
      </c>
      <c r="L34" s="68">
        <v>13.4</v>
      </c>
      <c r="M34" s="68">
        <v>33.1</v>
      </c>
      <c r="N34" s="68">
        <v>45.2</v>
      </c>
      <c r="O34" s="657">
        <v>13.2</v>
      </c>
      <c r="P34" s="68">
        <v>20.5</v>
      </c>
      <c r="Q34" s="68">
        <v>30.5</v>
      </c>
      <c r="R34" s="658">
        <v>38.799999999999997</v>
      </c>
      <c r="S34" s="68">
        <v>8.1</v>
      </c>
      <c r="T34" s="68">
        <v>13.1</v>
      </c>
      <c r="U34" s="68">
        <v>19.5</v>
      </c>
      <c r="V34" s="68">
        <v>25.9</v>
      </c>
      <c r="W34" s="657">
        <v>14.5</v>
      </c>
      <c r="X34" s="68">
        <v>16</v>
      </c>
      <c r="Y34" s="68">
        <v>23.5</v>
      </c>
      <c r="Z34" s="658">
        <v>31.3</v>
      </c>
      <c r="AA34" s="68">
        <v>7.5</v>
      </c>
      <c r="AB34" s="68">
        <v>14.6</v>
      </c>
      <c r="AC34" s="68">
        <v>20.5</v>
      </c>
      <c r="AD34" s="68">
        <v>26.2</v>
      </c>
      <c r="AE34" s="657">
        <v>4.8</v>
      </c>
      <c r="AF34" s="68">
        <v>11.8</v>
      </c>
      <c r="AG34" s="68">
        <v>18.3</v>
      </c>
      <c r="AH34" s="658">
        <v>24</v>
      </c>
      <c r="AI34" s="68">
        <v>4.8</v>
      </c>
      <c r="AJ34" s="68">
        <v>11.8</v>
      </c>
      <c r="AK34" s="68">
        <v>18.3</v>
      </c>
      <c r="AL34" s="68">
        <v>24</v>
      </c>
      <c r="AM34" s="657">
        <v>4.9000000000000004</v>
      </c>
      <c r="AN34" s="68">
        <v>6.8</v>
      </c>
      <c r="AO34" s="68">
        <v>6.7</v>
      </c>
      <c r="AP34" s="658">
        <v>6.7</v>
      </c>
      <c r="AQ34" s="68">
        <v>0.7</v>
      </c>
      <c r="AR34" s="68">
        <v>2.7</v>
      </c>
      <c r="AS34" s="68">
        <v>3.8</v>
      </c>
      <c r="AT34" s="658">
        <v>7.6</v>
      </c>
      <c r="AU34" s="68">
        <v>10.9</v>
      </c>
      <c r="AV34" s="68">
        <v>32.4</v>
      </c>
      <c r="AW34" s="68">
        <v>46.6</v>
      </c>
      <c r="AX34" s="658">
        <v>66.599999999999994</v>
      </c>
      <c r="AY34" s="68">
        <v>24.4</v>
      </c>
      <c r="AZ34" s="68"/>
      <c r="BA34" s="68"/>
      <c r="BB34" s="658"/>
    </row>
    <row r="35" spans="1:58" s="266" customFormat="1" ht="25" customHeight="1">
      <c r="A35" s="386" t="s">
        <v>372</v>
      </c>
      <c r="B35" s="676" t="s">
        <v>373</v>
      </c>
      <c r="C35" s="387">
        <f t="shared" ref="C35:R35" si="10">SUM(C32:C34)</f>
        <v>223.97899999999998</v>
      </c>
      <c r="D35" s="387">
        <f t="shared" si="10"/>
        <v>376.56700000000001</v>
      </c>
      <c r="E35" s="387">
        <f t="shared" si="10"/>
        <v>581.96400000000017</v>
      </c>
      <c r="F35" s="387">
        <f t="shared" si="10"/>
        <v>781.36700000000008</v>
      </c>
      <c r="G35" s="662">
        <f t="shared" si="10"/>
        <v>155.44299999999998</v>
      </c>
      <c r="H35" s="387">
        <f t="shared" si="10"/>
        <v>331.71299999999997</v>
      </c>
      <c r="I35" s="387">
        <f t="shared" si="10"/>
        <v>519.3549999999999</v>
      </c>
      <c r="J35" s="663">
        <f t="shared" si="10"/>
        <v>802.65899999999988</v>
      </c>
      <c r="K35" s="387">
        <f t="shared" si="10"/>
        <v>169.06</v>
      </c>
      <c r="L35" s="387">
        <f t="shared" si="10"/>
        <v>649.5999999999998</v>
      </c>
      <c r="M35" s="387">
        <f t="shared" si="10"/>
        <v>1321.8000000000002</v>
      </c>
      <c r="N35" s="387">
        <f t="shared" si="10"/>
        <v>1973.8999999999999</v>
      </c>
      <c r="O35" s="662">
        <f t="shared" si="10"/>
        <v>417.7000000000001</v>
      </c>
      <c r="P35" s="387">
        <f t="shared" si="10"/>
        <v>1304.2999999999995</v>
      </c>
      <c r="Q35" s="387">
        <f t="shared" si="10"/>
        <v>2109.7999999999993</v>
      </c>
      <c r="R35" s="663">
        <f t="shared" si="10"/>
        <v>2887.7</v>
      </c>
      <c r="S35" s="387">
        <f t="shared" ref="S35" si="11">SUM(S32:S34)</f>
        <v>446.80000000000013</v>
      </c>
      <c r="T35" s="387">
        <f t="shared" ref="T35:U35" si="12">SUM(T32:T34)</f>
        <v>1376</v>
      </c>
      <c r="U35" s="387">
        <f t="shared" si="12"/>
        <v>2140.900000000001</v>
      </c>
      <c r="V35" s="387">
        <f t="shared" ref="V35:Z35" si="13">SUM(V32:V34)</f>
        <v>2884.7000000000003</v>
      </c>
      <c r="W35" s="662">
        <f t="shared" si="13"/>
        <v>751.70000000000027</v>
      </c>
      <c r="X35" s="387">
        <f t="shared" si="13"/>
        <v>1519.4</v>
      </c>
      <c r="Y35" s="387">
        <f t="shared" si="13"/>
        <v>2087.6999999999998</v>
      </c>
      <c r="Z35" s="663">
        <f t="shared" si="13"/>
        <v>2941.4000000000005</v>
      </c>
      <c r="AA35" s="387">
        <f t="shared" ref="AA35:AD35" si="14">SUM(AA32:AA34)</f>
        <v>570.00000000000011</v>
      </c>
      <c r="AB35" s="387">
        <f>SUM(AB32:AB34)</f>
        <v>1220.2</v>
      </c>
      <c r="AC35" s="387">
        <f>SUM(AC32:AC34)</f>
        <v>1976.2000000000003</v>
      </c>
      <c r="AD35" s="387">
        <f t="shared" si="14"/>
        <v>2915.1</v>
      </c>
      <c r="AE35" s="662">
        <f t="shared" ref="AE35:AH35" si="15">SUM(AE32:AE34)</f>
        <v>641.9</v>
      </c>
      <c r="AF35" s="387">
        <f t="shared" si="15"/>
        <v>1403.1000000000001</v>
      </c>
      <c r="AG35" s="387">
        <f t="shared" si="15"/>
        <v>2172.6000000000004</v>
      </c>
      <c r="AH35" s="663">
        <f t="shared" si="15"/>
        <v>3087.3</v>
      </c>
      <c r="AI35" s="387">
        <f t="shared" ref="AI35:AL35" si="16">SUM(AI32:AI34)</f>
        <v>700.9</v>
      </c>
      <c r="AJ35" s="387">
        <f t="shared" si="16"/>
        <v>1558.1000000000001</v>
      </c>
      <c r="AK35" s="387">
        <f t="shared" si="16"/>
        <v>2425.7000000000007</v>
      </c>
      <c r="AL35" s="387">
        <f t="shared" si="16"/>
        <v>3473.3999999999996</v>
      </c>
      <c r="AM35" s="662">
        <f t="shared" ref="AM35:AP35" si="17">SUM(AM32:AM34)</f>
        <v>778.78882651999993</v>
      </c>
      <c r="AN35" s="387">
        <f t="shared" si="17"/>
        <v>1353.2000000000005</v>
      </c>
      <c r="AO35" s="387">
        <v>2223.1</v>
      </c>
      <c r="AP35" s="663">
        <f t="shared" si="17"/>
        <v>3251.6999999999994</v>
      </c>
      <c r="AQ35" s="387">
        <f t="shared" ref="AQ35:AS35" si="18">SUM(AQ32:AQ34)</f>
        <v>889.00000000000011</v>
      </c>
      <c r="AR35" s="387">
        <f t="shared" si="18"/>
        <v>1618.7</v>
      </c>
      <c r="AS35" s="387">
        <f t="shared" si="18"/>
        <v>2442.7000000000012</v>
      </c>
      <c r="AT35" s="663">
        <f t="shared" ref="AT35:AW35" si="19">SUM(AT32:AT34)</f>
        <v>3234.2999999999979</v>
      </c>
      <c r="AU35" s="387">
        <f t="shared" si="19"/>
        <v>578.80000000000007</v>
      </c>
      <c r="AV35" s="387">
        <f>SUM(AV32:AV34)</f>
        <v>445.79999999999961</v>
      </c>
      <c r="AW35" s="387">
        <f t="shared" si="19"/>
        <v>1090.2000000000005</v>
      </c>
      <c r="AX35" s="663">
        <f t="shared" ref="AX35:AY35" si="20">SUM(AX32:AX34)</f>
        <v>1761.6999999999998</v>
      </c>
      <c r="AY35" s="387">
        <f t="shared" si="20"/>
        <v>299.60000000000065</v>
      </c>
      <c r="AZ35" s="387">
        <f>SUM(AZ32:AZ34)</f>
        <v>0</v>
      </c>
      <c r="BA35" s="387">
        <f t="shared" ref="BA35:BB35" si="21">SUM(BA32:BA34)</f>
        <v>0</v>
      </c>
      <c r="BB35" s="663">
        <f t="shared" si="21"/>
        <v>0</v>
      </c>
      <c r="BC35" s="893"/>
      <c r="BD35" s="894"/>
      <c r="BE35" s="895"/>
      <c r="BF35" s="895"/>
    </row>
    <row r="36" spans="1:58" ht="20.149999999999999" customHeight="1">
      <c r="A36" s="70" t="s">
        <v>374</v>
      </c>
      <c r="B36" s="674" t="s">
        <v>375</v>
      </c>
      <c r="C36" s="68">
        <v>-13.759</v>
      </c>
      <c r="D36" s="68">
        <v>-28.18</v>
      </c>
      <c r="E36" s="68">
        <v>-40.478000000000002</v>
      </c>
      <c r="F36" s="68">
        <v>-54.936999999999998</v>
      </c>
      <c r="G36" s="657">
        <v>-21.702999999999999</v>
      </c>
      <c r="H36" s="68">
        <v>-40.633000000000003</v>
      </c>
      <c r="I36" s="68">
        <v>-53.000999999999998</v>
      </c>
      <c r="J36" s="658">
        <v>-60.844999999999999</v>
      </c>
      <c r="K36" s="68">
        <v>-19.433</v>
      </c>
      <c r="L36" s="68">
        <v>-93</v>
      </c>
      <c r="M36" s="68">
        <v>-180</v>
      </c>
      <c r="N36" s="68">
        <v>-263.60000000000002</v>
      </c>
      <c r="O36" s="657">
        <v>-137.6</v>
      </c>
      <c r="P36" s="68">
        <v>-187</v>
      </c>
      <c r="Q36" s="68">
        <v>-323.2</v>
      </c>
      <c r="R36" s="658">
        <v>-417.8</v>
      </c>
      <c r="S36" s="68">
        <v>-98.4</v>
      </c>
      <c r="T36" s="68">
        <v>-179.5</v>
      </c>
      <c r="U36" s="68">
        <v>-301.2</v>
      </c>
      <c r="V36" s="68">
        <v>-436.2</v>
      </c>
      <c r="W36" s="657">
        <v>-138.9</v>
      </c>
      <c r="X36" s="68">
        <v>-268.8</v>
      </c>
      <c r="Y36" s="68">
        <v>-418.9</v>
      </c>
      <c r="Z36" s="658">
        <v>-524.79999999999995</v>
      </c>
      <c r="AA36" s="68">
        <v>-131.6</v>
      </c>
      <c r="AB36" s="68">
        <v>-266.7</v>
      </c>
      <c r="AC36" s="68">
        <v>-465</v>
      </c>
      <c r="AD36" s="68">
        <v>-624.29999999999995</v>
      </c>
      <c r="AE36" s="657">
        <v>-251.4</v>
      </c>
      <c r="AF36" s="68">
        <v>-433.6</v>
      </c>
      <c r="AG36" s="68">
        <v>-651.9</v>
      </c>
      <c r="AH36" s="658">
        <v>-852.6</v>
      </c>
      <c r="AI36" s="68">
        <v>-251.4</v>
      </c>
      <c r="AJ36" s="68">
        <v>-433.6</v>
      </c>
      <c r="AK36" s="68">
        <v>-651.9</v>
      </c>
      <c r="AL36" s="68">
        <v>-852.6</v>
      </c>
      <c r="AM36" s="657">
        <v>-255.9</v>
      </c>
      <c r="AN36" s="68">
        <v>-441.3</v>
      </c>
      <c r="AO36" s="68">
        <v>-648.29999999999995</v>
      </c>
      <c r="AP36" s="658">
        <v>-1006.4</v>
      </c>
      <c r="AQ36" s="68">
        <v>-270.10000000000002</v>
      </c>
      <c r="AR36" s="68">
        <v>-567.4</v>
      </c>
      <c r="AS36" s="68">
        <v>-728.5</v>
      </c>
      <c r="AT36" s="658">
        <v>-924.1</v>
      </c>
      <c r="AU36" s="68">
        <v>-222.5</v>
      </c>
      <c r="AV36" s="68">
        <v>-422.7</v>
      </c>
      <c r="AW36" s="68">
        <v>-567.9</v>
      </c>
      <c r="AX36" s="665">
        <v>-776.9</v>
      </c>
      <c r="AY36" s="68">
        <v>-215.4</v>
      </c>
      <c r="AZ36" s="68"/>
      <c r="BA36" s="68"/>
      <c r="BB36" s="665"/>
      <c r="BC36" s="235"/>
      <c r="BD36" s="235"/>
      <c r="BE36" s="235"/>
      <c r="BF36" s="894"/>
    </row>
    <row r="37" spans="1:58" ht="20.149999999999999" customHeight="1">
      <c r="A37" s="70" t="s">
        <v>376</v>
      </c>
      <c r="B37" s="674" t="s">
        <v>377</v>
      </c>
      <c r="C37" s="68">
        <v>-7.0449999999999999</v>
      </c>
      <c r="D37" s="68">
        <v>-11.33</v>
      </c>
      <c r="E37" s="68">
        <v>-23.225000000000001</v>
      </c>
      <c r="F37" s="68">
        <v>-36.24</v>
      </c>
      <c r="G37" s="657">
        <v>-13.377000000000001</v>
      </c>
      <c r="H37" s="68">
        <v>-20.378</v>
      </c>
      <c r="I37" s="68">
        <v>-45.453000000000003</v>
      </c>
      <c r="J37" s="658">
        <v>-62.041000000000004</v>
      </c>
      <c r="K37" s="68">
        <v>-19.987000000000002</v>
      </c>
      <c r="L37" s="68">
        <v>-46.6</v>
      </c>
      <c r="M37" s="68">
        <v>-57.4</v>
      </c>
      <c r="N37" s="68">
        <v>-71.8</v>
      </c>
      <c r="O37" s="657">
        <v>-19.100000000000001</v>
      </c>
      <c r="P37" s="68">
        <v>-90.7</v>
      </c>
      <c r="Q37" s="68">
        <v>-111.1</v>
      </c>
      <c r="R37" s="658">
        <v>-165.3</v>
      </c>
      <c r="S37" s="68">
        <v>-20.3</v>
      </c>
      <c r="T37" s="68">
        <v>-61.3</v>
      </c>
      <c r="U37" s="68">
        <v>-94.6</v>
      </c>
      <c r="V37" s="68">
        <v>-154.19999999999999</v>
      </c>
      <c r="W37" s="657">
        <v>-33.200000000000003</v>
      </c>
      <c r="X37" s="68">
        <v>-114.2</v>
      </c>
      <c r="Y37" s="68">
        <v>-137.30000000000001</v>
      </c>
      <c r="Z37" s="658">
        <v>-214.3</v>
      </c>
      <c r="AA37" s="68">
        <v>-42.8</v>
      </c>
      <c r="AB37" s="68">
        <v>-83.9</v>
      </c>
      <c r="AC37" s="68">
        <v>-168.4</v>
      </c>
      <c r="AD37" s="68">
        <v>-304.10000000000002</v>
      </c>
      <c r="AE37" s="657">
        <v>-108.5</v>
      </c>
      <c r="AF37" s="68">
        <v>-202.7</v>
      </c>
      <c r="AG37" s="68">
        <v>-302.7</v>
      </c>
      <c r="AH37" s="658">
        <v>-379</v>
      </c>
      <c r="AI37" s="68">
        <v>-108.5</v>
      </c>
      <c r="AJ37" s="68">
        <v>-202.7</v>
      </c>
      <c r="AK37" s="68">
        <v>-302.7</v>
      </c>
      <c r="AL37" s="68">
        <v>-379</v>
      </c>
      <c r="AM37" s="657">
        <v>-51.5</v>
      </c>
      <c r="AN37" s="68">
        <v>-90.2</v>
      </c>
      <c r="AO37" s="68">
        <v>-139.4</v>
      </c>
      <c r="AP37" s="658">
        <v>-211.5</v>
      </c>
      <c r="AQ37" s="68">
        <v>-65.400000000000006</v>
      </c>
      <c r="AR37" s="68">
        <v>-102.6</v>
      </c>
      <c r="AS37" s="68">
        <v>-173.3</v>
      </c>
      <c r="AT37" s="658">
        <v>-234.7</v>
      </c>
      <c r="AU37" s="68">
        <v>-102.4</v>
      </c>
      <c r="AV37" s="68">
        <v>-164.2</v>
      </c>
      <c r="AW37" s="68">
        <v>-244.3</v>
      </c>
      <c r="AX37" s="658">
        <v>-337.5</v>
      </c>
      <c r="AY37" s="68">
        <v>-79.8</v>
      </c>
      <c r="AZ37" s="68"/>
      <c r="BA37" s="68"/>
      <c r="BB37" s="658"/>
    </row>
    <row r="38" spans="1:58" ht="20.149999999999999" customHeight="1">
      <c r="A38" s="70" t="s">
        <v>378</v>
      </c>
      <c r="B38" s="674" t="s">
        <v>379</v>
      </c>
      <c r="C38" s="68"/>
      <c r="D38" s="68"/>
      <c r="E38" s="68"/>
      <c r="F38" s="68"/>
      <c r="G38" s="657"/>
      <c r="H38" s="68"/>
      <c r="I38" s="68"/>
      <c r="J38" s="658"/>
      <c r="K38" s="68"/>
      <c r="L38" s="68"/>
      <c r="M38" s="68"/>
      <c r="N38" s="68"/>
      <c r="O38" s="657"/>
      <c r="P38" s="68"/>
      <c r="Q38" s="68"/>
      <c r="R38" s="658"/>
      <c r="S38" s="68"/>
      <c r="T38" s="68"/>
      <c r="U38" s="68"/>
      <c r="V38" s="68">
        <v>0</v>
      </c>
      <c r="W38" s="657"/>
      <c r="X38" s="68"/>
      <c r="Y38" s="68"/>
      <c r="Z38" s="658">
        <v>-9.3000000000000007</v>
      </c>
      <c r="AA38" s="68">
        <v>0</v>
      </c>
      <c r="AB38" s="68">
        <v>0</v>
      </c>
      <c r="AC38" s="68">
        <v>0</v>
      </c>
      <c r="AD38" s="68">
        <v>-9.1999999999999993</v>
      </c>
      <c r="AE38" s="657">
        <v>0</v>
      </c>
      <c r="AF38" s="68"/>
      <c r="AG38" s="68">
        <v>0</v>
      </c>
      <c r="AH38" s="658">
        <v>0</v>
      </c>
      <c r="AI38" s="68">
        <v>0</v>
      </c>
      <c r="AJ38" s="68">
        <v>0</v>
      </c>
      <c r="AK38" s="68">
        <v>0</v>
      </c>
      <c r="AL38" s="68">
        <v>0</v>
      </c>
      <c r="AM38" s="657">
        <v>0</v>
      </c>
      <c r="AN38" s="68">
        <v>-8.3000000000000007</v>
      </c>
      <c r="AO38" s="68">
        <v>-8.3000000000000007</v>
      </c>
      <c r="AP38" s="658">
        <v>-8.3000000000000007</v>
      </c>
      <c r="AQ38" s="68">
        <v>-27.8</v>
      </c>
      <c r="AR38" s="68">
        <v>-27.8</v>
      </c>
      <c r="AS38" s="68">
        <v>-27.8</v>
      </c>
      <c r="AT38" s="658">
        <v>-27.8</v>
      </c>
      <c r="AU38" s="68">
        <v>0</v>
      </c>
      <c r="AV38" s="68">
        <v>0</v>
      </c>
      <c r="AW38" s="68">
        <v>0</v>
      </c>
      <c r="AX38" s="658"/>
      <c r="AY38" s="68"/>
      <c r="AZ38" s="68"/>
      <c r="BA38" s="68"/>
      <c r="BB38" s="658"/>
    </row>
    <row r="39" spans="1:58" ht="20.149999999999999" customHeight="1">
      <c r="A39" s="70" t="s">
        <v>380</v>
      </c>
      <c r="B39" s="674" t="s">
        <v>381</v>
      </c>
      <c r="C39" s="69">
        <v>0</v>
      </c>
      <c r="D39" s="69">
        <v>0</v>
      </c>
      <c r="E39" s="69">
        <v>0</v>
      </c>
      <c r="F39" s="69">
        <v>0</v>
      </c>
      <c r="G39" s="678">
        <v>0</v>
      </c>
      <c r="H39" s="69">
        <v>0</v>
      </c>
      <c r="I39" s="69">
        <v>0</v>
      </c>
      <c r="J39" s="679">
        <v>0</v>
      </c>
      <c r="K39" s="69">
        <v>0</v>
      </c>
      <c r="L39" s="68">
        <v>0</v>
      </c>
      <c r="M39" s="68">
        <v>-482.3</v>
      </c>
      <c r="N39" s="68">
        <v>-482.3</v>
      </c>
      <c r="O39" s="657">
        <v>0</v>
      </c>
      <c r="P39" s="68">
        <v>0</v>
      </c>
      <c r="Q39" s="68">
        <v>-118.7</v>
      </c>
      <c r="R39" s="658">
        <v>-118.7</v>
      </c>
      <c r="S39" s="68">
        <v>-147.69999999999999</v>
      </c>
      <c r="T39" s="68">
        <v>-147.69999999999999</v>
      </c>
      <c r="U39" s="68">
        <v>-268.5</v>
      </c>
      <c r="V39" s="68">
        <v>-268.5</v>
      </c>
      <c r="W39" s="657">
        <v>0</v>
      </c>
      <c r="X39" s="68">
        <v>0</v>
      </c>
      <c r="Y39" s="68">
        <v>-120.7</v>
      </c>
      <c r="Z39" s="658">
        <v>-120.7</v>
      </c>
      <c r="AA39" s="68">
        <v>0</v>
      </c>
      <c r="AB39" s="68">
        <v>0</v>
      </c>
      <c r="AC39" s="68">
        <v>-119.6</v>
      </c>
      <c r="AD39" s="68">
        <v>-119.6</v>
      </c>
      <c r="AE39" s="657">
        <v>0</v>
      </c>
      <c r="AF39" s="68"/>
      <c r="AG39" s="68">
        <v>-122.4</v>
      </c>
      <c r="AH39" s="658">
        <v>-122.4</v>
      </c>
      <c r="AI39" s="68">
        <v>0</v>
      </c>
      <c r="AJ39" s="68">
        <v>0</v>
      </c>
      <c r="AK39" s="68">
        <v>-122.4</v>
      </c>
      <c r="AL39" s="68">
        <v>-122.4</v>
      </c>
      <c r="AM39" s="657">
        <v>0</v>
      </c>
      <c r="AN39" s="68">
        <v>-4.2</v>
      </c>
      <c r="AO39" s="68">
        <v>-126.8</v>
      </c>
      <c r="AP39" s="658">
        <v>-126.8</v>
      </c>
      <c r="AQ39" s="68">
        <v>-21.6</v>
      </c>
      <c r="AR39" s="68">
        <v>-28.3</v>
      </c>
      <c r="AS39" s="68">
        <v>-159.4</v>
      </c>
      <c r="AT39" s="658">
        <v>-159.4</v>
      </c>
      <c r="AU39" s="68">
        <v>-6.4</v>
      </c>
      <c r="AV39" s="68">
        <v>-8.1</v>
      </c>
      <c r="AW39" s="68">
        <v>-162.6</v>
      </c>
      <c r="AX39" s="658">
        <v>-514</v>
      </c>
      <c r="AY39" s="68">
        <v>-852.2</v>
      </c>
      <c r="AZ39" s="68"/>
      <c r="BA39" s="68"/>
      <c r="BB39" s="658"/>
      <c r="BC39" s="893"/>
      <c r="BD39" s="894"/>
    </row>
    <row r="40" spans="1:58" ht="20.149999999999999" customHeight="1">
      <c r="A40" s="70" t="s">
        <v>382</v>
      </c>
      <c r="B40" s="674" t="s">
        <v>383</v>
      </c>
      <c r="C40" s="69"/>
      <c r="D40" s="69"/>
      <c r="E40" s="69"/>
      <c r="F40" s="69"/>
      <c r="G40" s="678"/>
      <c r="H40" s="69"/>
      <c r="I40" s="69"/>
      <c r="J40" s="679"/>
      <c r="K40" s="69"/>
      <c r="L40" s="69"/>
      <c r="M40" s="69"/>
      <c r="N40" s="68"/>
      <c r="O40" s="657"/>
      <c r="P40" s="69"/>
      <c r="Q40" s="69"/>
      <c r="R40" s="658"/>
      <c r="S40" s="69">
        <v>0</v>
      </c>
      <c r="T40" s="69">
        <v>0</v>
      </c>
      <c r="U40" s="69">
        <v>0</v>
      </c>
      <c r="V40" s="68">
        <v>0</v>
      </c>
      <c r="W40" s="657">
        <v>0</v>
      </c>
      <c r="X40" s="68">
        <v>0</v>
      </c>
      <c r="Y40" s="68">
        <v>0</v>
      </c>
      <c r="Z40" s="658">
        <v>-662.5</v>
      </c>
      <c r="AA40" s="68">
        <v>-11.3</v>
      </c>
      <c r="AB40" s="68">
        <v>-15.7</v>
      </c>
      <c r="AC40" s="68">
        <v>-15.7</v>
      </c>
      <c r="AD40" s="68">
        <v>-16.100000000000001</v>
      </c>
      <c r="AE40" s="657">
        <v>0</v>
      </c>
      <c r="AF40" s="68">
        <v>-14.7</v>
      </c>
      <c r="AG40" s="68">
        <v>-14.7</v>
      </c>
      <c r="AH40" s="658">
        <v>-1232.5</v>
      </c>
      <c r="AI40" s="68">
        <v>0</v>
      </c>
      <c r="AJ40" s="68">
        <v>-14.7</v>
      </c>
      <c r="AK40" s="68">
        <v>-14.7</v>
      </c>
      <c r="AL40" s="68">
        <v>-1232.5</v>
      </c>
      <c r="AM40" s="657">
        <v>-7.4</v>
      </c>
      <c r="AN40" s="68">
        <v>-7.4</v>
      </c>
      <c r="AO40" s="68">
        <v>-18.8</v>
      </c>
      <c r="AP40" s="658">
        <v>-11.4</v>
      </c>
      <c r="AQ40" s="68">
        <v>0</v>
      </c>
      <c r="AR40" s="68">
        <v>-500</v>
      </c>
      <c r="AS40" s="68">
        <v>-500</v>
      </c>
      <c r="AT40" s="658">
        <v>-500</v>
      </c>
      <c r="AU40" s="68">
        <v>0</v>
      </c>
      <c r="AV40" s="68">
        <v>-4.9000000000000004</v>
      </c>
      <c r="AW40" s="68">
        <v>-4.9000000000000004</v>
      </c>
      <c r="AX40" s="658">
        <v>-4.9000000000000004</v>
      </c>
      <c r="AY40" s="68"/>
      <c r="AZ40" s="68"/>
      <c r="BA40" s="68"/>
      <c r="BB40" s="658"/>
      <c r="BC40" s="893"/>
      <c r="BD40" s="894"/>
    </row>
    <row r="41" spans="1:58" ht="25.75">
      <c r="A41" s="70" t="s">
        <v>384</v>
      </c>
      <c r="B41" s="674" t="s">
        <v>385</v>
      </c>
      <c r="C41" s="68">
        <v>-2.3290000000000002</v>
      </c>
      <c r="D41" s="68">
        <v>-45.099000000000004</v>
      </c>
      <c r="E41" s="68">
        <v>-45.329000000000001</v>
      </c>
      <c r="F41" s="68">
        <v>-45.710999999999999</v>
      </c>
      <c r="G41" s="657">
        <v>-0.153</v>
      </c>
      <c r="H41" s="68">
        <v>-0.26800000000000002</v>
      </c>
      <c r="I41" s="68">
        <v>-64.186999999999998</v>
      </c>
      <c r="J41" s="658">
        <v>-64.266000000000005</v>
      </c>
      <c r="K41" s="69">
        <v>0</v>
      </c>
      <c r="L41" s="68">
        <v>1800.4</v>
      </c>
      <c r="M41" s="68">
        <v>1800.4</v>
      </c>
      <c r="N41" s="68">
        <v>1800.4</v>
      </c>
      <c r="O41" s="657">
        <v>-4.2</v>
      </c>
      <c r="P41" s="68">
        <v>-29.5</v>
      </c>
      <c r="Q41" s="68">
        <v>-29.5</v>
      </c>
      <c r="R41" s="658">
        <v>-29.5</v>
      </c>
      <c r="S41" s="68">
        <v>262.2</v>
      </c>
      <c r="T41" s="68">
        <v>-145.30000000000001</v>
      </c>
      <c r="U41" s="68">
        <v>-144.4</v>
      </c>
      <c r="V41" s="68">
        <v>-144.4</v>
      </c>
      <c r="W41" s="657">
        <v>0</v>
      </c>
      <c r="X41" s="68">
        <v>0</v>
      </c>
      <c r="Y41" s="68">
        <v>1.6</v>
      </c>
      <c r="Z41" s="658">
        <v>-66.8</v>
      </c>
      <c r="AA41" s="68">
        <v>-16.7</v>
      </c>
      <c r="AB41" s="68">
        <v>-276.8</v>
      </c>
      <c r="AC41" s="68">
        <v>-453.7</v>
      </c>
      <c r="AD41" s="68">
        <v>-792.4</v>
      </c>
      <c r="AE41" s="657">
        <v>0</v>
      </c>
      <c r="AF41" s="68">
        <v>-63.8</v>
      </c>
      <c r="AG41" s="68">
        <v>-74.599999999999994</v>
      </c>
      <c r="AH41" s="658">
        <v>-108.5</v>
      </c>
      <c r="AI41" s="68">
        <v>0</v>
      </c>
      <c r="AJ41" s="68">
        <v>-63.8</v>
      </c>
      <c r="AK41" s="68">
        <v>-74.599999999999994</v>
      </c>
      <c r="AL41" s="68">
        <v>-108.5</v>
      </c>
      <c r="AM41" s="657">
        <v>-48.8</v>
      </c>
      <c r="AN41" s="68">
        <v>-48.8</v>
      </c>
      <c r="AO41" s="68">
        <v>-474.6</v>
      </c>
      <c r="AP41" s="658">
        <v>-479.2</v>
      </c>
      <c r="AQ41" s="68">
        <v>-0.7</v>
      </c>
      <c r="AR41" s="68">
        <v>-181.2</v>
      </c>
      <c r="AS41" s="68">
        <v>-938.2</v>
      </c>
      <c r="AT41" s="658">
        <v>-946.4</v>
      </c>
      <c r="AU41" s="68">
        <v>-13</v>
      </c>
      <c r="AV41" s="68">
        <v>-251.1</v>
      </c>
      <c r="AW41" s="68">
        <v>-260.3</v>
      </c>
      <c r="AX41" s="658">
        <v>-266.5</v>
      </c>
      <c r="AY41" s="68">
        <v>-0.1</v>
      </c>
      <c r="AZ41" s="68"/>
      <c r="BA41" s="68"/>
      <c r="BB41" s="658"/>
      <c r="BC41" s="893"/>
      <c r="BD41" s="894"/>
    </row>
    <row r="42" spans="1:58" s="100" customFormat="1" ht="14.6">
      <c r="A42" s="196" t="s">
        <v>386</v>
      </c>
      <c r="B42" s="675" t="s">
        <v>387</v>
      </c>
      <c r="C42" s="261"/>
      <c r="D42" s="261"/>
      <c r="E42" s="261"/>
      <c r="F42" s="261"/>
      <c r="G42" s="664"/>
      <c r="H42" s="261"/>
      <c r="I42" s="261"/>
      <c r="J42" s="665"/>
      <c r="K42" s="262"/>
      <c r="L42" s="261"/>
      <c r="M42" s="261"/>
      <c r="N42" s="261"/>
      <c r="O42" s="664"/>
      <c r="P42" s="261"/>
      <c r="Q42" s="261"/>
      <c r="R42" s="665"/>
      <c r="S42" s="261"/>
      <c r="T42" s="261"/>
      <c r="U42" s="261"/>
      <c r="V42" s="261"/>
      <c r="W42" s="664"/>
      <c r="X42" s="261"/>
      <c r="Y42" s="261"/>
      <c r="Z42" s="665"/>
      <c r="AA42" s="261"/>
      <c r="AB42" s="261"/>
      <c r="AC42" s="261"/>
      <c r="AD42" s="261"/>
      <c r="AE42" s="664"/>
      <c r="AF42" s="261">
        <v>-16.3</v>
      </c>
      <c r="AG42" s="261">
        <v>-16.3</v>
      </c>
      <c r="AH42" s="665">
        <v>-16.3</v>
      </c>
      <c r="AI42" s="261"/>
      <c r="AJ42" s="261">
        <v>-16.3</v>
      </c>
      <c r="AK42" s="261">
        <v>-16.3</v>
      </c>
      <c r="AL42" s="261">
        <v>-16.3</v>
      </c>
      <c r="AM42" s="664">
        <v>0</v>
      </c>
      <c r="AN42" s="261">
        <v>0</v>
      </c>
      <c r="AO42" s="261">
        <v>0</v>
      </c>
      <c r="AP42" s="665">
        <v>0</v>
      </c>
      <c r="AQ42" s="261">
        <v>0</v>
      </c>
      <c r="AR42" s="261">
        <v>0</v>
      </c>
      <c r="AS42" s="261">
        <v>0</v>
      </c>
      <c r="AT42" s="665">
        <v>0</v>
      </c>
      <c r="AU42" s="261">
        <v>0</v>
      </c>
      <c r="AV42" s="261">
        <v>-473.8</v>
      </c>
      <c r="AW42" s="261">
        <v>-473.8</v>
      </c>
      <c r="AX42" s="665">
        <v>-473.8</v>
      </c>
      <c r="AY42" s="261"/>
      <c r="AZ42" s="261"/>
      <c r="BA42" s="261"/>
      <c r="BB42" s="665"/>
      <c r="BC42" s="893"/>
      <c r="BD42" s="894"/>
    </row>
    <row r="43" spans="1:58" ht="25.75">
      <c r="A43" s="70" t="s">
        <v>388</v>
      </c>
      <c r="B43" s="674" t="s">
        <v>389</v>
      </c>
      <c r="C43" s="69">
        <v>0</v>
      </c>
      <c r="D43" s="69">
        <v>0</v>
      </c>
      <c r="E43" s="69">
        <v>0</v>
      </c>
      <c r="F43" s="69">
        <v>0</v>
      </c>
      <c r="G43" s="678">
        <v>0</v>
      </c>
      <c r="H43" s="69">
        <v>0</v>
      </c>
      <c r="I43" s="68">
        <v>48.219000000000001</v>
      </c>
      <c r="J43" s="658">
        <v>48.736000000000004</v>
      </c>
      <c r="K43" s="69">
        <v>0</v>
      </c>
      <c r="L43" s="68">
        <v>0</v>
      </c>
      <c r="M43" s="68">
        <v>0</v>
      </c>
      <c r="N43" s="68">
        <v>0</v>
      </c>
      <c r="O43" s="657">
        <v>0</v>
      </c>
      <c r="P43" s="68">
        <v>0</v>
      </c>
      <c r="Q43" s="68">
        <v>0</v>
      </c>
      <c r="R43" s="658">
        <v>0</v>
      </c>
      <c r="S43" s="68">
        <v>0</v>
      </c>
      <c r="T43" s="68">
        <v>0.2</v>
      </c>
      <c r="U43" s="68">
        <v>0.2</v>
      </c>
      <c r="V43" s="68">
        <v>0</v>
      </c>
      <c r="W43" s="657">
        <v>0</v>
      </c>
      <c r="X43" s="68">
        <v>0</v>
      </c>
      <c r="Y43" s="68">
        <v>0</v>
      </c>
      <c r="Z43" s="658">
        <v>0</v>
      </c>
      <c r="AA43" s="68">
        <v>0</v>
      </c>
      <c r="AB43" s="68">
        <v>0</v>
      </c>
      <c r="AC43" s="68">
        <v>0</v>
      </c>
      <c r="AD43" s="68">
        <v>0</v>
      </c>
      <c r="AE43" s="657">
        <v>0</v>
      </c>
      <c r="AF43" s="68">
        <v>0</v>
      </c>
      <c r="AG43" s="68"/>
      <c r="AH43" s="658">
        <v>0</v>
      </c>
      <c r="AI43" s="68">
        <v>0</v>
      </c>
      <c r="AJ43" s="68">
        <v>0</v>
      </c>
      <c r="AK43" s="68">
        <v>0</v>
      </c>
      <c r="AL43" s="68">
        <v>0</v>
      </c>
      <c r="AM43" s="657">
        <v>0</v>
      </c>
      <c r="AN43" s="68">
        <v>0</v>
      </c>
      <c r="AO43" s="68">
        <v>0</v>
      </c>
      <c r="AP43" s="658">
        <v>0</v>
      </c>
      <c r="AQ43" s="68">
        <v>0</v>
      </c>
      <c r="AR43" s="68">
        <v>0</v>
      </c>
      <c r="AS43" s="68">
        <v>7111.9</v>
      </c>
      <c r="AT43" s="658">
        <v>7111.9</v>
      </c>
      <c r="AU43" s="68">
        <v>0</v>
      </c>
      <c r="AV43" s="68">
        <v>0</v>
      </c>
      <c r="AW43" s="68">
        <v>643.29999999999995</v>
      </c>
      <c r="AX43" s="658">
        <v>757.4</v>
      </c>
      <c r="AY43" s="68">
        <v>0</v>
      </c>
      <c r="AZ43" s="68"/>
      <c r="BA43" s="68"/>
      <c r="BB43" s="658"/>
      <c r="BC43" s="893"/>
      <c r="BD43" s="894"/>
    </row>
    <row r="44" spans="1:58" ht="20.149999999999999" customHeight="1">
      <c r="A44" s="70" t="s">
        <v>390</v>
      </c>
      <c r="B44" s="674" t="s">
        <v>391</v>
      </c>
      <c r="C44" s="68">
        <v>0.09</v>
      </c>
      <c r="D44" s="68">
        <v>0.121</v>
      </c>
      <c r="E44" s="68">
        <v>0.69000000000000006</v>
      </c>
      <c r="F44" s="68">
        <v>0.751</v>
      </c>
      <c r="G44" s="657">
        <v>0.35000000000000003</v>
      </c>
      <c r="H44" s="68">
        <v>0.41000000000000003</v>
      </c>
      <c r="I44" s="68">
        <v>1.756</v>
      </c>
      <c r="J44" s="658">
        <v>2.0640000000000001</v>
      </c>
      <c r="K44" s="69">
        <v>0.33700000000000002</v>
      </c>
      <c r="L44" s="68">
        <v>1.6</v>
      </c>
      <c r="M44" s="68">
        <v>4</v>
      </c>
      <c r="N44" s="68">
        <v>4.0999999999999996</v>
      </c>
      <c r="O44" s="657">
        <v>0.2</v>
      </c>
      <c r="P44" s="68">
        <v>13.3</v>
      </c>
      <c r="Q44" s="68">
        <v>15.1</v>
      </c>
      <c r="R44" s="658">
        <v>16.899999999999999</v>
      </c>
      <c r="S44" s="68">
        <v>3.5</v>
      </c>
      <c r="T44" s="68">
        <v>5</v>
      </c>
      <c r="U44" s="68">
        <v>6.3</v>
      </c>
      <c r="V44" s="68">
        <v>9.5</v>
      </c>
      <c r="W44" s="657">
        <v>12.8</v>
      </c>
      <c r="X44" s="68">
        <v>16</v>
      </c>
      <c r="Y44" s="68">
        <v>15.8</v>
      </c>
      <c r="Z44" s="658">
        <v>19.3</v>
      </c>
      <c r="AA44" s="68">
        <v>3.4</v>
      </c>
      <c r="AB44" s="68">
        <v>10.6</v>
      </c>
      <c r="AC44" s="68">
        <v>11.6</v>
      </c>
      <c r="AD44" s="68">
        <v>11.6</v>
      </c>
      <c r="AE44" s="657">
        <v>2.5</v>
      </c>
      <c r="AF44" s="68">
        <v>4.2</v>
      </c>
      <c r="AG44" s="68">
        <v>4.8</v>
      </c>
      <c r="AH44" s="658">
        <v>6.8</v>
      </c>
      <c r="AI44" s="68">
        <v>2.5</v>
      </c>
      <c r="AJ44" s="68">
        <v>4.2</v>
      </c>
      <c r="AK44" s="68">
        <v>4.8</v>
      </c>
      <c r="AL44" s="68">
        <v>6.8</v>
      </c>
      <c r="AM44" s="657">
        <v>1.7</v>
      </c>
      <c r="AN44" s="68">
        <v>4.4000000000000004</v>
      </c>
      <c r="AO44" s="68">
        <v>5.5</v>
      </c>
      <c r="AP44" s="658">
        <v>8.4</v>
      </c>
      <c r="AQ44" s="68">
        <v>3.4</v>
      </c>
      <c r="AR44" s="68">
        <v>4</v>
      </c>
      <c r="AS44" s="68">
        <v>4.8</v>
      </c>
      <c r="AT44" s="658">
        <v>5.7</v>
      </c>
      <c r="AU44" s="68">
        <v>0.6</v>
      </c>
      <c r="AV44" s="68">
        <v>2.2999999999999998</v>
      </c>
      <c r="AW44" s="68">
        <v>2.5</v>
      </c>
      <c r="AX44" s="665">
        <v>78.2</v>
      </c>
      <c r="AY44" s="68">
        <v>6.4</v>
      </c>
      <c r="AZ44" s="68"/>
      <c r="BA44" s="68"/>
      <c r="BB44" s="665"/>
      <c r="BC44" s="893"/>
      <c r="BD44" s="894"/>
    </row>
    <row r="45" spans="1:58" ht="20.149999999999999" customHeight="1">
      <c r="A45" s="70" t="s">
        <v>392</v>
      </c>
      <c r="B45" s="674" t="s">
        <v>393</v>
      </c>
      <c r="C45" s="68"/>
      <c r="D45" s="68"/>
      <c r="E45" s="68"/>
      <c r="F45" s="68"/>
      <c r="G45" s="657"/>
      <c r="H45" s="68"/>
      <c r="I45" s="68"/>
      <c r="J45" s="658"/>
      <c r="K45" s="69"/>
      <c r="L45" s="68"/>
      <c r="M45" s="68"/>
      <c r="N45" s="68"/>
      <c r="O45" s="657"/>
      <c r="P45" s="68"/>
      <c r="Q45" s="68"/>
      <c r="R45" s="658"/>
      <c r="S45" s="68"/>
      <c r="T45" s="68"/>
      <c r="U45" s="68"/>
      <c r="V45" s="68"/>
      <c r="W45" s="657"/>
      <c r="X45" s="68"/>
      <c r="Y45" s="68"/>
      <c r="Z45" s="658"/>
      <c r="AA45" s="68">
        <v>-45</v>
      </c>
      <c r="AB45" s="68">
        <f>-50+50.3</f>
        <v>0.29999999999999716</v>
      </c>
      <c r="AC45" s="68">
        <f>-95+95.4</f>
        <v>0.40000000000000568</v>
      </c>
      <c r="AD45" s="68">
        <f>-130+130.5</f>
        <v>0.5</v>
      </c>
      <c r="AE45" s="657">
        <v>0.1</v>
      </c>
      <c r="AF45" s="68">
        <v>0.3</v>
      </c>
      <c r="AG45" s="68">
        <f>100.5-100</f>
        <v>0.5</v>
      </c>
      <c r="AH45" s="658">
        <v>0.69999999999998863</v>
      </c>
      <c r="AI45" s="68">
        <v>0.1</v>
      </c>
      <c r="AJ45" s="68">
        <v>0.3</v>
      </c>
      <c r="AK45" s="68">
        <v>0.5</v>
      </c>
      <c r="AL45" s="68">
        <v>0.69999999999998863</v>
      </c>
      <c r="AM45" s="657">
        <v>0</v>
      </c>
      <c r="AN45" s="68">
        <v>0</v>
      </c>
      <c r="AO45" s="68">
        <v>0</v>
      </c>
      <c r="AP45" s="658">
        <v>0</v>
      </c>
      <c r="AQ45" s="68">
        <v>0</v>
      </c>
      <c r="AR45" s="68">
        <v>0</v>
      </c>
      <c r="AS45" s="68">
        <v>0</v>
      </c>
      <c r="AT45" s="658">
        <v>0</v>
      </c>
      <c r="AU45" s="68">
        <v>0</v>
      </c>
      <c r="AV45" s="68">
        <v>0</v>
      </c>
      <c r="AW45" s="68">
        <v>0</v>
      </c>
      <c r="AX45" s="658">
        <v>0</v>
      </c>
      <c r="AY45" s="68">
        <v>0</v>
      </c>
      <c r="AZ45" s="68"/>
      <c r="BA45" s="68"/>
      <c r="BB45" s="658"/>
      <c r="BC45" s="893"/>
      <c r="BD45" s="894"/>
    </row>
    <row r="46" spans="1:58" ht="20.149999999999999" customHeight="1">
      <c r="A46" s="70" t="s">
        <v>394</v>
      </c>
      <c r="B46" s="674" t="s">
        <v>213</v>
      </c>
      <c r="C46" s="69">
        <v>0</v>
      </c>
      <c r="D46" s="69">
        <v>0</v>
      </c>
      <c r="E46" s="69">
        <v>0</v>
      </c>
      <c r="F46" s="69">
        <v>0</v>
      </c>
      <c r="G46" s="678">
        <v>0</v>
      </c>
      <c r="H46" s="69">
        <v>0</v>
      </c>
      <c r="I46" s="69">
        <v>0</v>
      </c>
      <c r="J46" s="679">
        <v>0</v>
      </c>
      <c r="K46" s="69">
        <v>0</v>
      </c>
      <c r="L46" s="68">
        <v>-270</v>
      </c>
      <c r="M46" s="68">
        <v>-30</v>
      </c>
      <c r="N46" s="68">
        <v>0</v>
      </c>
      <c r="O46" s="657">
        <v>-42.7</v>
      </c>
      <c r="P46" s="68">
        <v>-42.7</v>
      </c>
      <c r="Q46" s="68">
        <v>0</v>
      </c>
      <c r="R46" s="658">
        <v>0</v>
      </c>
      <c r="S46" s="68">
        <v>-12.4</v>
      </c>
      <c r="T46" s="68">
        <v>0</v>
      </c>
      <c r="U46" s="68">
        <v>0</v>
      </c>
      <c r="V46" s="68">
        <v>0</v>
      </c>
      <c r="W46" s="657">
        <v>0</v>
      </c>
      <c r="X46" s="68">
        <v>0</v>
      </c>
      <c r="Y46" s="68">
        <v>0</v>
      </c>
      <c r="Z46" s="658">
        <v>0</v>
      </c>
      <c r="AA46" s="68">
        <v>0</v>
      </c>
      <c r="AB46" s="68">
        <v>0</v>
      </c>
      <c r="AC46" s="68">
        <v>0</v>
      </c>
      <c r="AD46" s="68">
        <v>0</v>
      </c>
      <c r="AE46" s="657">
        <v>0</v>
      </c>
      <c r="AF46" s="68">
        <v>0</v>
      </c>
      <c r="AG46" s="68">
        <v>0</v>
      </c>
      <c r="AH46" s="658">
        <v>0</v>
      </c>
      <c r="AI46" s="68">
        <v>0</v>
      </c>
      <c r="AJ46" s="68">
        <v>0</v>
      </c>
      <c r="AK46" s="68">
        <v>0</v>
      </c>
      <c r="AL46" s="68">
        <v>0</v>
      </c>
      <c r="AM46" s="657">
        <v>0</v>
      </c>
      <c r="AN46" s="68">
        <v>0</v>
      </c>
      <c r="AO46" s="68">
        <v>0</v>
      </c>
      <c r="AP46" s="658">
        <v>0</v>
      </c>
      <c r="AQ46" s="68">
        <v>0</v>
      </c>
      <c r="AR46" s="68">
        <v>0</v>
      </c>
      <c r="AS46" s="68">
        <v>0</v>
      </c>
      <c r="AT46" s="658">
        <v>0</v>
      </c>
      <c r="AU46" s="68">
        <v>0</v>
      </c>
      <c r="AV46" s="68">
        <v>0</v>
      </c>
      <c r="AW46" s="68">
        <v>0</v>
      </c>
      <c r="AX46" s="658">
        <v>0</v>
      </c>
      <c r="AY46" s="68">
        <v>0</v>
      </c>
      <c r="AZ46" s="68"/>
      <c r="BA46" s="68"/>
      <c r="BB46" s="658"/>
      <c r="BC46" s="893"/>
      <c r="BD46" s="894"/>
    </row>
    <row r="47" spans="1:58" ht="20.149999999999999" customHeight="1">
      <c r="A47" s="70" t="s">
        <v>395</v>
      </c>
      <c r="B47" s="674" t="s">
        <v>396</v>
      </c>
      <c r="C47" s="68">
        <v>-1.1000000000000001</v>
      </c>
      <c r="D47" s="68">
        <v>-1.1000000000000001</v>
      </c>
      <c r="E47" s="68">
        <v>-1.1000000000000001</v>
      </c>
      <c r="F47" s="68">
        <v>-1.1000000000000001</v>
      </c>
      <c r="G47" s="678">
        <v>0</v>
      </c>
      <c r="H47" s="69">
        <v>0</v>
      </c>
      <c r="I47" s="69">
        <v>0</v>
      </c>
      <c r="J47" s="679">
        <v>0</v>
      </c>
      <c r="K47" s="69">
        <v>0</v>
      </c>
      <c r="L47" s="68">
        <v>-5.8</v>
      </c>
      <c r="M47" s="68">
        <v>-20.399999999999999</v>
      </c>
      <c r="N47" s="68">
        <v>-23.1</v>
      </c>
      <c r="O47" s="657">
        <v>-6</v>
      </c>
      <c r="P47" s="68">
        <v>-8.9</v>
      </c>
      <c r="Q47" s="68">
        <v>-12.1</v>
      </c>
      <c r="R47" s="658">
        <v>-16.100000000000001</v>
      </c>
      <c r="S47" s="68">
        <v>-6.8</v>
      </c>
      <c r="T47" s="68">
        <v>-9.5</v>
      </c>
      <c r="U47" s="68">
        <v>-10.5</v>
      </c>
      <c r="V47" s="68">
        <v>-11.6</v>
      </c>
      <c r="W47" s="657">
        <v>0</v>
      </c>
      <c r="X47" s="68">
        <v>0</v>
      </c>
      <c r="Y47" s="68">
        <v>-28.6</v>
      </c>
      <c r="Z47" s="658">
        <v>-31.1</v>
      </c>
      <c r="AA47" s="68">
        <v>-11</v>
      </c>
      <c r="AB47" s="68">
        <v>-11</v>
      </c>
      <c r="AC47" s="68">
        <v>-11</v>
      </c>
      <c r="AD47" s="68">
        <v>-12.4</v>
      </c>
      <c r="AE47" s="657">
        <v>-12.9</v>
      </c>
      <c r="AF47" s="68">
        <v>-14.6</v>
      </c>
      <c r="AG47" s="68">
        <v>-15.3</v>
      </c>
      <c r="AH47" s="658">
        <v>-21.4</v>
      </c>
      <c r="AI47" s="68">
        <v>-12.9</v>
      </c>
      <c r="AJ47" s="68">
        <v>-14.6</v>
      </c>
      <c r="AK47" s="68">
        <v>-15.3</v>
      </c>
      <c r="AL47" s="68">
        <v>-21.4</v>
      </c>
      <c r="AM47" s="657">
        <v>-5</v>
      </c>
      <c r="AN47" s="68">
        <v>-8.3000000000000007</v>
      </c>
      <c r="AO47" s="68">
        <v>-12.2</v>
      </c>
      <c r="AP47" s="658">
        <v>-13</v>
      </c>
      <c r="AQ47" s="68">
        <v>-2</v>
      </c>
      <c r="AR47" s="68">
        <v>-5.7</v>
      </c>
      <c r="AS47" s="68">
        <v>-13.8</v>
      </c>
      <c r="AT47" s="658">
        <v>-64.900000000000006</v>
      </c>
      <c r="AU47" s="68">
        <v>-192.7</v>
      </c>
      <c r="AV47" s="68">
        <v>-482.2</v>
      </c>
      <c r="AW47" s="68">
        <v>-551.4</v>
      </c>
      <c r="AX47" s="658">
        <v>-686.9</v>
      </c>
      <c r="AY47" s="68">
        <v>-144</v>
      </c>
      <c r="AZ47" s="68"/>
      <c r="BA47" s="68"/>
      <c r="BB47" s="658"/>
      <c r="BC47" s="893"/>
      <c r="BD47" s="894"/>
    </row>
    <row r="48" spans="1:58" ht="20.149999999999999" customHeight="1">
      <c r="A48" s="70" t="s">
        <v>397</v>
      </c>
      <c r="B48" s="674" t="s">
        <v>398</v>
      </c>
      <c r="C48" s="68">
        <v>0</v>
      </c>
      <c r="D48" s="68">
        <v>1.1000000000000001</v>
      </c>
      <c r="E48" s="68">
        <v>1.1000000000000001</v>
      </c>
      <c r="F48" s="68">
        <v>1.1000000000000001</v>
      </c>
      <c r="G48" s="678">
        <v>0</v>
      </c>
      <c r="H48" s="69">
        <v>0</v>
      </c>
      <c r="I48" s="69">
        <v>0</v>
      </c>
      <c r="J48" s="679">
        <v>0</v>
      </c>
      <c r="K48" s="69">
        <v>0</v>
      </c>
      <c r="L48" s="68">
        <v>0</v>
      </c>
      <c r="M48" s="68">
        <v>0</v>
      </c>
      <c r="N48" s="68">
        <v>0</v>
      </c>
      <c r="O48" s="657">
        <v>0</v>
      </c>
      <c r="P48" s="68">
        <v>0</v>
      </c>
      <c r="Q48" s="68">
        <v>0</v>
      </c>
      <c r="R48" s="658">
        <v>0</v>
      </c>
      <c r="S48" s="68">
        <v>0</v>
      </c>
      <c r="T48" s="68">
        <v>0</v>
      </c>
      <c r="U48" s="68">
        <v>0</v>
      </c>
      <c r="V48" s="68">
        <v>0.1</v>
      </c>
      <c r="W48" s="657">
        <v>0</v>
      </c>
      <c r="X48" s="68">
        <v>0</v>
      </c>
      <c r="Y48" s="68">
        <v>25</v>
      </c>
      <c r="Z48" s="658">
        <v>30.5</v>
      </c>
      <c r="AA48" s="68">
        <v>0</v>
      </c>
      <c r="AB48" s="68">
        <v>6.4</v>
      </c>
      <c r="AC48" s="68">
        <v>30</v>
      </c>
      <c r="AD48" s="68">
        <v>29.3</v>
      </c>
      <c r="AE48" s="657">
        <v>0</v>
      </c>
      <c r="AF48" s="68">
        <v>0</v>
      </c>
      <c r="AG48" s="68">
        <v>0</v>
      </c>
      <c r="AH48" s="658">
        <v>0.7</v>
      </c>
      <c r="AI48" s="68">
        <v>0</v>
      </c>
      <c r="AJ48" s="68">
        <v>0</v>
      </c>
      <c r="AK48" s="68">
        <v>0</v>
      </c>
      <c r="AL48" s="68">
        <v>0.7</v>
      </c>
      <c r="AM48" s="657">
        <v>0</v>
      </c>
      <c r="AN48" s="68">
        <v>0</v>
      </c>
      <c r="AO48" s="68">
        <v>0</v>
      </c>
      <c r="AP48" s="658">
        <v>0</v>
      </c>
      <c r="AQ48" s="68">
        <v>0</v>
      </c>
      <c r="AR48" s="68">
        <v>0</v>
      </c>
      <c r="AS48" s="68">
        <v>0</v>
      </c>
      <c r="AT48" s="658">
        <v>0</v>
      </c>
      <c r="AU48" s="68">
        <v>0</v>
      </c>
      <c r="AV48" s="68">
        <v>56.2</v>
      </c>
      <c r="AW48" s="68">
        <v>146.1</v>
      </c>
      <c r="AX48" s="658">
        <v>272.5</v>
      </c>
      <c r="AY48" s="68">
        <v>60.5</v>
      </c>
      <c r="AZ48" s="68"/>
      <c r="BA48" s="68"/>
      <c r="BB48" s="658"/>
      <c r="BC48" s="893"/>
      <c r="BD48" s="894"/>
    </row>
    <row r="49" spans="1:58" ht="20.149999999999999" customHeight="1">
      <c r="A49" s="70" t="s">
        <v>399</v>
      </c>
      <c r="B49" s="674" t="s">
        <v>400</v>
      </c>
      <c r="C49" s="69">
        <v>0</v>
      </c>
      <c r="D49" s="69">
        <v>0</v>
      </c>
      <c r="E49" s="69">
        <v>0</v>
      </c>
      <c r="F49" s="69">
        <v>0</v>
      </c>
      <c r="G49" s="678">
        <v>0</v>
      </c>
      <c r="H49" s="69">
        <v>0</v>
      </c>
      <c r="I49" s="69">
        <v>0</v>
      </c>
      <c r="J49" s="679">
        <v>0</v>
      </c>
      <c r="K49" s="69">
        <v>0</v>
      </c>
      <c r="L49" s="68">
        <v>5</v>
      </c>
      <c r="M49" s="68">
        <v>5.5</v>
      </c>
      <c r="N49" s="68">
        <v>6.6</v>
      </c>
      <c r="O49" s="657">
        <v>1.2</v>
      </c>
      <c r="P49" s="68">
        <v>-2.1</v>
      </c>
      <c r="Q49" s="68">
        <v>3.2</v>
      </c>
      <c r="R49" s="658">
        <v>3.9</v>
      </c>
      <c r="S49" s="68">
        <v>-5</v>
      </c>
      <c r="T49" s="68">
        <v>-4</v>
      </c>
      <c r="U49" s="68">
        <v>-3.5</v>
      </c>
      <c r="V49" s="68">
        <v>-1.6</v>
      </c>
      <c r="W49" s="657">
        <v>-1.1000000000000001</v>
      </c>
      <c r="X49" s="68">
        <v>0</v>
      </c>
      <c r="Y49" s="92" t="s">
        <v>401</v>
      </c>
      <c r="Z49" s="660" t="s">
        <v>401</v>
      </c>
      <c r="AA49" s="68">
        <v>-1.5</v>
      </c>
      <c r="AB49" s="68">
        <v>0</v>
      </c>
      <c r="AC49" s="68">
        <v>0</v>
      </c>
      <c r="AD49" s="92">
        <v>0</v>
      </c>
      <c r="AE49" s="657">
        <v>0</v>
      </c>
      <c r="AF49" s="68">
        <v>0</v>
      </c>
      <c r="AG49" s="68">
        <v>0</v>
      </c>
      <c r="AH49" s="660">
        <v>0</v>
      </c>
      <c r="AI49" s="68">
        <v>0</v>
      </c>
      <c r="AJ49" s="68">
        <v>0</v>
      </c>
      <c r="AK49" s="68">
        <v>0</v>
      </c>
      <c r="AL49" s="92">
        <v>0</v>
      </c>
      <c r="AM49" s="657">
        <v>0</v>
      </c>
      <c r="AN49" s="68">
        <v>0</v>
      </c>
      <c r="AO49" s="68">
        <v>0</v>
      </c>
      <c r="AP49" s="660">
        <v>0</v>
      </c>
      <c r="AQ49" s="68">
        <v>0</v>
      </c>
      <c r="AR49" s="68">
        <v>0</v>
      </c>
      <c r="AS49" s="68">
        <v>0</v>
      </c>
      <c r="AT49" s="660">
        <v>0</v>
      </c>
      <c r="AU49" s="68">
        <v>0</v>
      </c>
      <c r="AV49" s="68">
        <v>0</v>
      </c>
      <c r="AW49" s="68">
        <v>0</v>
      </c>
      <c r="AX49" s="660">
        <v>0</v>
      </c>
      <c r="AY49" s="68">
        <v>0</v>
      </c>
      <c r="AZ49" s="68"/>
      <c r="BA49" s="68"/>
      <c r="BB49" s="660"/>
      <c r="BC49" s="893"/>
      <c r="BD49" s="894"/>
    </row>
    <row r="50" spans="1:58" ht="20.149999999999999" customHeight="1">
      <c r="A50" s="70" t="s">
        <v>402</v>
      </c>
      <c r="B50" s="674" t="s">
        <v>403</v>
      </c>
      <c r="C50" s="69">
        <v>0</v>
      </c>
      <c r="D50" s="68">
        <v>1.258</v>
      </c>
      <c r="E50" s="68">
        <v>1.258</v>
      </c>
      <c r="F50" s="68">
        <v>2.706</v>
      </c>
      <c r="G50" s="657">
        <v>0</v>
      </c>
      <c r="H50" s="68">
        <v>2.5150000000000001</v>
      </c>
      <c r="I50" s="68">
        <v>2.5150000000000001</v>
      </c>
      <c r="J50" s="658">
        <v>2.5150000000000001</v>
      </c>
      <c r="K50" s="68">
        <v>2.5300000000000002</v>
      </c>
      <c r="L50" s="68">
        <v>2.5</v>
      </c>
      <c r="M50" s="68">
        <v>2.5</v>
      </c>
      <c r="N50" s="68">
        <v>2.5</v>
      </c>
      <c r="O50" s="657">
        <v>0</v>
      </c>
      <c r="P50" s="68">
        <v>0</v>
      </c>
      <c r="Q50" s="68">
        <v>0</v>
      </c>
      <c r="R50" s="658">
        <v>0</v>
      </c>
      <c r="S50" s="68">
        <v>0</v>
      </c>
      <c r="T50" s="68">
        <v>0</v>
      </c>
      <c r="U50" s="68">
        <v>0</v>
      </c>
      <c r="V50" s="68">
        <v>0</v>
      </c>
      <c r="W50" s="657">
        <v>0</v>
      </c>
      <c r="X50" s="68">
        <v>0</v>
      </c>
      <c r="Y50" s="68">
        <v>0</v>
      </c>
      <c r="Z50" s="658">
        <v>0</v>
      </c>
      <c r="AA50" s="68">
        <v>0</v>
      </c>
      <c r="AB50" s="68">
        <v>0</v>
      </c>
      <c r="AC50" s="68">
        <v>0</v>
      </c>
      <c r="AD50" s="68">
        <v>0</v>
      </c>
      <c r="AE50" s="657">
        <v>0</v>
      </c>
      <c r="AF50" s="68">
        <v>0</v>
      </c>
      <c r="AG50" s="68">
        <v>0</v>
      </c>
      <c r="AH50" s="658">
        <v>0</v>
      </c>
      <c r="AI50" s="68">
        <v>0</v>
      </c>
      <c r="AJ50" s="68">
        <v>0</v>
      </c>
      <c r="AK50" s="68">
        <v>0</v>
      </c>
      <c r="AL50" s="68">
        <v>0</v>
      </c>
      <c r="AM50" s="657">
        <v>0</v>
      </c>
      <c r="AN50" s="68">
        <v>56.8</v>
      </c>
      <c r="AO50" s="68">
        <v>57.2</v>
      </c>
      <c r="AP50" s="658">
        <v>57.2</v>
      </c>
      <c r="AQ50" s="68">
        <v>0</v>
      </c>
      <c r="AR50" s="666">
        <v>59.2</v>
      </c>
      <c r="AS50" s="68">
        <v>59.2</v>
      </c>
      <c r="AT50" s="658">
        <v>59.2</v>
      </c>
      <c r="AU50" s="68">
        <v>0</v>
      </c>
      <c r="AV50" s="68">
        <v>64</v>
      </c>
      <c r="AW50" s="68">
        <v>64</v>
      </c>
      <c r="AX50" s="658">
        <v>64</v>
      </c>
      <c r="AY50" s="68">
        <v>7.1</v>
      </c>
      <c r="AZ50" s="68"/>
      <c r="BA50" s="68"/>
      <c r="BB50" s="658"/>
      <c r="BC50" s="893"/>
      <c r="BD50" s="894"/>
    </row>
    <row r="51" spans="1:58" s="100" customFormat="1" ht="20.149999999999999" customHeight="1">
      <c r="A51" s="196" t="s">
        <v>404</v>
      </c>
      <c r="B51" s="675" t="s">
        <v>405</v>
      </c>
      <c r="C51" s="262"/>
      <c r="D51" s="261"/>
      <c r="E51" s="261"/>
      <c r="F51" s="261"/>
      <c r="G51" s="664"/>
      <c r="H51" s="261"/>
      <c r="I51" s="261"/>
      <c r="J51" s="665"/>
      <c r="K51" s="261"/>
      <c r="L51" s="261"/>
      <c r="M51" s="261"/>
      <c r="N51" s="261"/>
      <c r="O51" s="664"/>
      <c r="P51" s="261"/>
      <c r="Q51" s="261"/>
      <c r="R51" s="665"/>
      <c r="S51" s="261"/>
      <c r="T51" s="261"/>
      <c r="U51" s="261"/>
      <c r="V51" s="261"/>
      <c r="W51" s="664"/>
      <c r="X51" s="261"/>
      <c r="Y51" s="261"/>
      <c r="Z51" s="665"/>
      <c r="AA51" s="261"/>
      <c r="AB51" s="261"/>
      <c r="AC51" s="261"/>
      <c r="AD51" s="261"/>
      <c r="AE51" s="664"/>
      <c r="AF51" s="261">
        <v>8.6999999999999993</v>
      </c>
      <c r="AG51" s="261">
        <v>8.6999999999999993</v>
      </c>
      <c r="AH51" s="665">
        <v>8.6999999999999993</v>
      </c>
      <c r="AI51" s="261"/>
      <c r="AJ51" s="261">
        <v>8.6999999999999993</v>
      </c>
      <c r="AK51" s="261">
        <v>8.6999999999999993</v>
      </c>
      <c r="AL51" s="261">
        <v>8.6999999999999993</v>
      </c>
      <c r="AM51" s="664">
        <v>0</v>
      </c>
      <c r="AN51" s="261">
        <v>1.4</v>
      </c>
      <c r="AO51" s="261">
        <v>1.4</v>
      </c>
      <c r="AP51" s="665">
        <v>1.4</v>
      </c>
      <c r="AQ51" s="261">
        <v>8.6</v>
      </c>
      <c r="AR51" s="666">
        <v>8.6</v>
      </c>
      <c r="AS51" s="261">
        <v>8.6</v>
      </c>
      <c r="AT51" s="665">
        <v>8.6</v>
      </c>
      <c r="AU51" s="261">
        <v>0</v>
      </c>
      <c r="AV51" s="68">
        <v>0</v>
      </c>
      <c r="AW51" s="68">
        <v>0</v>
      </c>
      <c r="AX51" s="665">
        <v>0</v>
      </c>
      <c r="AY51" s="261">
        <v>0</v>
      </c>
      <c r="AZ51" s="68"/>
      <c r="BA51" s="68"/>
      <c r="BB51" s="665"/>
      <c r="BC51" s="893"/>
      <c r="BD51" s="894"/>
    </row>
    <row r="52" spans="1:58" ht="20.149999999999999" customHeight="1">
      <c r="A52" s="70" t="s">
        <v>406</v>
      </c>
      <c r="B52" s="674" t="s">
        <v>407</v>
      </c>
      <c r="C52" s="69">
        <v>0</v>
      </c>
      <c r="D52" s="69">
        <v>0</v>
      </c>
      <c r="E52" s="69">
        <v>0</v>
      </c>
      <c r="F52" s="69">
        <v>0</v>
      </c>
      <c r="G52" s="678">
        <v>0</v>
      </c>
      <c r="H52" s="69">
        <v>0</v>
      </c>
      <c r="I52" s="69">
        <v>0</v>
      </c>
      <c r="J52" s="679">
        <v>0</v>
      </c>
      <c r="K52" s="69">
        <v>0</v>
      </c>
      <c r="L52" s="68">
        <v>0</v>
      </c>
      <c r="M52" s="68">
        <v>0</v>
      </c>
      <c r="N52" s="68">
        <v>0</v>
      </c>
      <c r="O52" s="657">
        <v>0</v>
      </c>
      <c r="P52" s="68">
        <v>0</v>
      </c>
      <c r="Q52" s="68">
        <v>0</v>
      </c>
      <c r="R52" s="658">
        <v>0</v>
      </c>
      <c r="S52" s="68">
        <v>0</v>
      </c>
      <c r="T52" s="68">
        <v>1</v>
      </c>
      <c r="U52" s="68">
        <v>1</v>
      </c>
      <c r="V52" s="68">
        <v>3.5</v>
      </c>
      <c r="W52" s="657">
        <v>1.2</v>
      </c>
      <c r="X52" s="68">
        <v>-0.5</v>
      </c>
      <c r="Y52" s="68">
        <v>5.9</v>
      </c>
      <c r="Z52" s="658">
        <v>6.4</v>
      </c>
      <c r="AA52" s="68">
        <v>1.1000000000000001</v>
      </c>
      <c r="AB52" s="68">
        <v>-0.9</v>
      </c>
      <c r="AC52" s="68">
        <v>-5.9</v>
      </c>
      <c r="AD52" s="68">
        <v>1.2</v>
      </c>
      <c r="AE52" s="657">
        <v>3</v>
      </c>
      <c r="AF52" s="68">
        <v>0.5</v>
      </c>
      <c r="AG52" s="68">
        <v>2.4</v>
      </c>
      <c r="AH52" s="658">
        <v>0.7</v>
      </c>
      <c r="AI52" s="68">
        <v>3</v>
      </c>
      <c r="AJ52" s="68">
        <v>0.5</v>
      </c>
      <c r="AK52" s="68">
        <v>2.4</v>
      </c>
      <c r="AL52" s="68">
        <v>0.7</v>
      </c>
      <c r="AM52" s="657">
        <v>2.9</v>
      </c>
      <c r="AN52" s="68">
        <v>1.8</v>
      </c>
      <c r="AO52" s="68">
        <v>3.3</v>
      </c>
      <c r="AP52" s="658">
        <v>3.3</v>
      </c>
      <c r="AQ52" s="68">
        <v>1.4</v>
      </c>
      <c r="AR52" s="667">
        <v>2</v>
      </c>
      <c r="AS52" s="68">
        <v>2.5</v>
      </c>
      <c r="AT52" s="658">
        <v>-0.2</v>
      </c>
      <c r="AU52" s="68">
        <v>1.6</v>
      </c>
      <c r="AV52" s="800">
        <v>1.9</v>
      </c>
      <c r="AW52" s="800">
        <v>6.8</v>
      </c>
      <c r="AX52" s="658">
        <v>11.8</v>
      </c>
      <c r="AY52" s="68">
        <v>6.4</v>
      </c>
      <c r="AZ52" s="800"/>
      <c r="BA52" s="800"/>
      <c r="BB52" s="658"/>
      <c r="BC52" s="893"/>
      <c r="BD52" s="894"/>
    </row>
    <row r="53" spans="1:58" s="266" customFormat="1" ht="25" customHeight="1">
      <c r="A53" s="386" t="s">
        <v>408</v>
      </c>
      <c r="B53" s="676" t="s">
        <v>409</v>
      </c>
      <c r="C53" s="387">
        <f t="shared" ref="C53:AN53" si="22">SUM(C36:C52)</f>
        <v>-24.143000000000004</v>
      </c>
      <c r="D53" s="387">
        <f t="shared" si="22"/>
        <v>-83.230000000000018</v>
      </c>
      <c r="E53" s="387">
        <f t="shared" si="22"/>
        <v>-107.08400000000002</v>
      </c>
      <c r="F53" s="387">
        <f t="shared" si="22"/>
        <v>-133.43099999999998</v>
      </c>
      <c r="G53" s="662">
        <f t="shared" si="22"/>
        <v>-34.882999999999996</v>
      </c>
      <c r="H53" s="387">
        <f t="shared" si="22"/>
        <v>-58.354000000000006</v>
      </c>
      <c r="I53" s="387">
        <f t="shared" si="22"/>
        <v>-110.15100000000002</v>
      </c>
      <c r="J53" s="663">
        <f t="shared" si="22"/>
        <v>-133.83700000000002</v>
      </c>
      <c r="K53" s="387">
        <f t="shared" si="22"/>
        <v>-36.552999999999997</v>
      </c>
      <c r="L53" s="387">
        <f t="shared" si="22"/>
        <v>1394.1000000000001</v>
      </c>
      <c r="M53" s="387">
        <f t="shared" si="22"/>
        <v>1042.3</v>
      </c>
      <c r="N53" s="387">
        <f t="shared" si="22"/>
        <v>972.80000000000007</v>
      </c>
      <c r="O53" s="662">
        <f t="shared" si="22"/>
        <v>-208.2</v>
      </c>
      <c r="P53" s="387">
        <f t="shared" si="22"/>
        <v>-347.59999999999997</v>
      </c>
      <c r="Q53" s="387">
        <f t="shared" si="22"/>
        <v>-576.29999999999995</v>
      </c>
      <c r="R53" s="663">
        <f t="shared" si="22"/>
        <v>-726.60000000000014</v>
      </c>
      <c r="S53" s="387">
        <f t="shared" si="22"/>
        <v>-24.899999999999988</v>
      </c>
      <c r="T53" s="387">
        <f t="shared" si="22"/>
        <v>-541.09999999999991</v>
      </c>
      <c r="U53" s="387">
        <f t="shared" si="22"/>
        <v>-815.19999999999993</v>
      </c>
      <c r="V53" s="387">
        <f t="shared" si="22"/>
        <v>-1003.4</v>
      </c>
      <c r="W53" s="662">
        <f t="shared" si="22"/>
        <v>-159.20000000000002</v>
      </c>
      <c r="X53" s="387">
        <f t="shared" si="22"/>
        <v>-367.5</v>
      </c>
      <c r="Y53" s="387">
        <f t="shared" si="22"/>
        <v>-657.20000000000016</v>
      </c>
      <c r="Z53" s="663">
        <f t="shared" si="22"/>
        <v>-1573.2999999999997</v>
      </c>
      <c r="AA53" s="387">
        <f t="shared" si="22"/>
        <v>-255.4</v>
      </c>
      <c r="AB53" s="387">
        <f t="shared" si="22"/>
        <v>-637.70000000000005</v>
      </c>
      <c r="AC53" s="387">
        <f t="shared" si="22"/>
        <v>-1197.3000000000002</v>
      </c>
      <c r="AD53" s="387">
        <f t="shared" si="22"/>
        <v>-1835.5</v>
      </c>
      <c r="AE53" s="662">
        <f t="shared" si="22"/>
        <v>-367.19999999999993</v>
      </c>
      <c r="AF53" s="387">
        <f t="shared" si="22"/>
        <v>-731.99999999999989</v>
      </c>
      <c r="AG53" s="387">
        <f t="shared" si="22"/>
        <v>-1181.4999999999998</v>
      </c>
      <c r="AH53" s="663">
        <f t="shared" si="22"/>
        <v>-2715.1000000000008</v>
      </c>
      <c r="AI53" s="387">
        <f t="shared" si="22"/>
        <v>-367.19999999999993</v>
      </c>
      <c r="AJ53" s="387">
        <f t="shared" si="22"/>
        <v>-731.99999999999989</v>
      </c>
      <c r="AK53" s="387">
        <f t="shared" si="22"/>
        <v>-1181.4999999999998</v>
      </c>
      <c r="AL53" s="387">
        <f t="shared" si="22"/>
        <v>-2715.1000000000008</v>
      </c>
      <c r="AM53" s="662">
        <f t="shared" si="22"/>
        <v>-364</v>
      </c>
      <c r="AN53" s="387">
        <f t="shared" si="22"/>
        <v>-544.1</v>
      </c>
      <c r="AO53" s="387">
        <v>-1361</v>
      </c>
      <c r="AP53" s="663">
        <f t="shared" ref="AP53:AX53" si="23">SUM(AP36:AP52)</f>
        <v>-1786.3</v>
      </c>
      <c r="AQ53" s="387">
        <f t="shared" si="23"/>
        <v>-374.20000000000005</v>
      </c>
      <c r="AR53" s="387">
        <f t="shared" si="23"/>
        <v>-1339.2</v>
      </c>
      <c r="AS53" s="387">
        <f t="shared" si="23"/>
        <v>4646</v>
      </c>
      <c r="AT53" s="663">
        <f t="shared" si="23"/>
        <v>4327.9000000000005</v>
      </c>
      <c r="AU53" s="387">
        <f t="shared" si="23"/>
        <v>-534.79999999999984</v>
      </c>
      <c r="AV53" s="387">
        <f t="shared" si="23"/>
        <v>-1682.6</v>
      </c>
      <c r="AW53" s="387">
        <f t="shared" si="23"/>
        <v>-1402.5000000000002</v>
      </c>
      <c r="AX53" s="663">
        <f t="shared" si="23"/>
        <v>-1876.6000000000001</v>
      </c>
      <c r="AY53" s="387">
        <f>SUM(AY36:AY52)</f>
        <v>-1211.0999999999999</v>
      </c>
      <c r="AZ53" s="387">
        <f t="shared" ref="AZ53:BB53" si="24">SUM(AZ36:AZ52)</f>
        <v>0</v>
      </c>
      <c r="BA53" s="387">
        <f t="shared" si="24"/>
        <v>0</v>
      </c>
      <c r="BB53" s="663">
        <f t="shared" si="24"/>
        <v>0</v>
      </c>
      <c r="BC53" s="893"/>
      <c r="BD53" s="894"/>
      <c r="BE53" s="893"/>
      <c r="BF53" s="893"/>
    </row>
    <row r="54" spans="1:58" ht="20.149999999999999" customHeight="1">
      <c r="A54" s="70" t="s">
        <v>410</v>
      </c>
      <c r="B54" s="674" t="s">
        <v>411</v>
      </c>
      <c r="C54" s="68">
        <v>-26.754999999999999</v>
      </c>
      <c r="D54" s="68">
        <v>-155.76300000000001</v>
      </c>
      <c r="E54" s="68">
        <v>-397.57499999999999</v>
      </c>
      <c r="F54" s="68">
        <v>-453.32400000000001</v>
      </c>
      <c r="G54" s="657">
        <v>-49.813000000000002</v>
      </c>
      <c r="H54" s="68">
        <v>-192.59</v>
      </c>
      <c r="I54" s="68">
        <v>-366.16200000000003</v>
      </c>
      <c r="J54" s="658">
        <v>-431.11700000000002</v>
      </c>
      <c r="K54" s="68">
        <v>-37.393999999999998</v>
      </c>
      <c r="L54" s="68">
        <v>-547.1</v>
      </c>
      <c r="M54" s="68">
        <v>-747.1</v>
      </c>
      <c r="N54" s="68">
        <v>-1087.0999999999999</v>
      </c>
      <c r="O54" s="657">
        <v>-157</v>
      </c>
      <c r="P54" s="68">
        <v>-954.2</v>
      </c>
      <c r="Q54" s="68">
        <v>-9222.2000000000007</v>
      </c>
      <c r="R54" s="658">
        <v>-9222.2000000000007</v>
      </c>
      <c r="S54" s="68">
        <v>-916.1</v>
      </c>
      <c r="T54" s="68">
        <v>-1498.9</v>
      </c>
      <c r="U54" s="68">
        <v>-1706.9</v>
      </c>
      <c r="V54" s="68">
        <v>-1940.9</v>
      </c>
      <c r="W54" s="657">
        <v>-234</v>
      </c>
      <c r="X54" s="68">
        <v>-568</v>
      </c>
      <c r="Y54" s="68">
        <v>-802</v>
      </c>
      <c r="Z54" s="658">
        <v>-1162.5</v>
      </c>
      <c r="AA54" s="68">
        <v>-550</v>
      </c>
      <c r="AB54" s="68">
        <v>-652</v>
      </c>
      <c r="AC54" s="68">
        <v>-1077.8</v>
      </c>
      <c r="AD54" s="68">
        <v>-1282.2</v>
      </c>
      <c r="AE54" s="657">
        <v>-584.4</v>
      </c>
      <c r="AF54" s="68">
        <v>-851.6</v>
      </c>
      <c r="AG54" s="68">
        <v>-1406</v>
      </c>
      <c r="AH54" s="658">
        <v>-1742.5</v>
      </c>
      <c r="AI54" s="68">
        <v>-584.4</v>
      </c>
      <c r="AJ54" s="68">
        <v>-851.6</v>
      </c>
      <c r="AK54" s="68">
        <v>-1406</v>
      </c>
      <c r="AL54" s="68">
        <v>-1742.5</v>
      </c>
      <c r="AM54" s="657">
        <v>-857.2</v>
      </c>
      <c r="AN54" s="68">
        <v>-857.9</v>
      </c>
      <c r="AO54" s="68">
        <v>-857.9</v>
      </c>
      <c r="AP54" s="658">
        <v>-857.9</v>
      </c>
      <c r="AQ54" s="68">
        <v>0</v>
      </c>
      <c r="AR54" s="68">
        <v>-200</v>
      </c>
      <c r="AS54" s="68">
        <v>-1472.4</v>
      </c>
      <c r="AT54" s="658">
        <v>-2682.8</v>
      </c>
      <c r="AU54" s="68">
        <v>-200</v>
      </c>
      <c r="AV54" s="68">
        <v>-645.1</v>
      </c>
      <c r="AW54" s="261">
        <v>-845.1</v>
      </c>
      <c r="AX54" s="658">
        <v>-1045.0999999999999</v>
      </c>
      <c r="AY54" s="68">
        <v>-200</v>
      </c>
      <c r="AZ54" s="68"/>
      <c r="BA54" s="261"/>
      <c r="BB54" s="658"/>
    </row>
    <row r="55" spans="1:58" ht="20.149999999999999" customHeight="1">
      <c r="A55" s="70" t="s">
        <v>412</v>
      </c>
      <c r="B55" s="674" t="s">
        <v>413</v>
      </c>
      <c r="C55" s="69">
        <v>0</v>
      </c>
      <c r="D55" s="69">
        <v>0</v>
      </c>
      <c r="E55" s="69">
        <v>0</v>
      </c>
      <c r="F55" s="69">
        <v>0</v>
      </c>
      <c r="G55" s="678">
        <v>0</v>
      </c>
      <c r="H55" s="69">
        <v>0</v>
      </c>
      <c r="I55" s="69">
        <v>0</v>
      </c>
      <c r="J55" s="679">
        <v>0</v>
      </c>
      <c r="K55" s="69">
        <v>0</v>
      </c>
      <c r="L55" s="68">
        <v>2800</v>
      </c>
      <c r="M55" s="68">
        <v>2800</v>
      </c>
      <c r="N55" s="68">
        <v>2800</v>
      </c>
      <c r="O55" s="657">
        <v>50</v>
      </c>
      <c r="P55" s="68">
        <v>120</v>
      </c>
      <c r="Q55" s="68">
        <v>6820</v>
      </c>
      <c r="R55" s="658">
        <v>6820</v>
      </c>
      <c r="S55" s="68">
        <v>5500</v>
      </c>
      <c r="T55" s="68">
        <v>5500</v>
      </c>
      <c r="U55" s="68">
        <v>5500</v>
      </c>
      <c r="V55" s="68">
        <v>5500</v>
      </c>
      <c r="W55" s="657">
        <v>0</v>
      </c>
      <c r="X55" s="68">
        <v>600</v>
      </c>
      <c r="Y55" s="68">
        <v>600</v>
      </c>
      <c r="Z55" s="658">
        <v>1200</v>
      </c>
      <c r="AA55" s="68">
        <v>0</v>
      </c>
      <c r="AB55" s="68">
        <v>18.100000000000001</v>
      </c>
      <c r="AC55" s="68">
        <v>635.29999999999995</v>
      </c>
      <c r="AD55" s="68">
        <v>635.29999999999995</v>
      </c>
      <c r="AE55" s="657">
        <v>0</v>
      </c>
      <c r="AF55" s="68">
        <v>0</v>
      </c>
      <c r="AG55" s="68">
        <v>780</v>
      </c>
      <c r="AH55" s="658">
        <v>2010</v>
      </c>
      <c r="AI55" s="68">
        <v>0</v>
      </c>
      <c r="AJ55" s="68">
        <v>0</v>
      </c>
      <c r="AK55" s="68">
        <v>780</v>
      </c>
      <c r="AL55" s="68">
        <v>2010</v>
      </c>
      <c r="AM55" s="657">
        <v>35</v>
      </c>
      <c r="AN55" s="68">
        <v>35</v>
      </c>
      <c r="AO55" s="68">
        <v>35</v>
      </c>
      <c r="AP55" s="658">
        <v>35</v>
      </c>
      <c r="AQ55" s="68">
        <v>0</v>
      </c>
      <c r="AR55" s="68">
        <v>110</v>
      </c>
      <c r="AS55" s="68">
        <v>1665</v>
      </c>
      <c r="AT55" s="658">
        <v>1665</v>
      </c>
      <c r="AU55" s="68">
        <v>0</v>
      </c>
      <c r="AV55" s="68">
        <v>7.1</v>
      </c>
      <c r="AW55" s="68">
        <v>7.1</v>
      </c>
      <c r="AX55" s="658">
        <v>141.19999999999999</v>
      </c>
      <c r="AY55" s="68">
        <v>865.9</v>
      </c>
      <c r="AZ55" s="68"/>
      <c r="BA55" s="68"/>
      <c r="BB55" s="658"/>
    </row>
    <row r="56" spans="1:58" s="100" customFormat="1" ht="20.149999999999999" customHeight="1">
      <c r="A56" s="196" t="s">
        <v>414</v>
      </c>
      <c r="B56" s="675" t="s">
        <v>415</v>
      </c>
      <c r="C56" s="262">
        <v>0</v>
      </c>
      <c r="D56" s="262">
        <v>0</v>
      </c>
      <c r="E56" s="262">
        <v>0</v>
      </c>
      <c r="F56" s="262">
        <v>0</v>
      </c>
      <c r="G56" s="680">
        <v>0</v>
      </c>
      <c r="H56" s="262">
        <v>0</v>
      </c>
      <c r="I56" s="262">
        <v>0</v>
      </c>
      <c r="J56" s="681">
        <v>0</v>
      </c>
      <c r="K56" s="262">
        <v>0</v>
      </c>
      <c r="L56" s="261">
        <v>-2275.9</v>
      </c>
      <c r="M56" s="261">
        <v>-2275.9</v>
      </c>
      <c r="N56" s="261">
        <v>-2275.9</v>
      </c>
      <c r="O56" s="664">
        <v>0</v>
      </c>
      <c r="P56" s="261">
        <v>0</v>
      </c>
      <c r="Q56" s="261">
        <v>1000</v>
      </c>
      <c r="R56" s="665">
        <v>1000</v>
      </c>
      <c r="S56" s="261">
        <v>-4483.8</v>
      </c>
      <c r="T56" s="261">
        <v>-4483.8</v>
      </c>
      <c r="U56" s="261">
        <v>-4483.8</v>
      </c>
      <c r="V56" s="261">
        <v>-4484</v>
      </c>
      <c r="W56" s="664">
        <v>0</v>
      </c>
      <c r="X56" s="261">
        <v>-886.7</v>
      </c>
      <c r="Y56" s="261">
        <v>-886.7</v>
      </c>
      <c r="Z56" s="665">
        <v>-886.7</v>
      </c>
      <c r="AA56" s="261">
        <v>0</v>
      </c>
      <c r="AB56" s="261">
        <v>0</v>
      </c>
      <c r="AC56" s="261">
        <v>0</v>
      </c>
      <c r="AD56" s="261">
        <v>0</v>
      </c>
      <c r="AE56" s="664">
        <v>0</v>
      </c>
      <c r="AF56" s="263" t="s">
        <v>416</v>
      </c>
      <c r="AG56" s="263" t="s">
        <v>416</v>
      </c>
      <c r="AH56" s="660" t="s">
        <v>416</v>
      </c>
      <c r="AI56" s="261">
        <v>0</v>
      </c>
      <c r="AJ56" s="263" t="s">
        <v>416</v>
      </c>
      <c r="AK56" s="263" t="s">
        <v>416</v>
      </c>
      <c r="AL56" s="92" t="s">
        <v>416</v>
      </c>
      <c r="AM56" s="664">
        <v>1000</v>
      </c>
      <c r="AN56" s="261">
        <v>1000</v>
      </c>
      <c r="AO56" s="261">
        <v>1000</v>
      </c>
      <c r="AP56" s="658">
        <v>1000</v>
      </c>
      <c r="AQ56" s="261">
        <v>0</v>
      </c>
      <c r="AR56" s="261">
        <v>0</v>
      </c>
      <c r="AS56" s="261">
        <v>0</v>
      </c>
      <c r="AT56" s="658">
        <v>0</v>
      </c>
      <c r="AU56" s="261">
        <v>0</v>
      </c>
      <c r="AV56" s="261">
        <v>0</v>
      </c>
      <c r="AW56" s="261">
        <v>0</v>
      </c>
      <c r="AX56" s="658">
        <v>0</v>
      </c>
      <c r="AY56" s="261">
        <v>1142.0999999999999</v>
      </c>
      <c r="AZ56" s="261"/>
      <c r="BA56" s="261"/>
      <c r="BB56" s="658"/>
      <c r="BE56" s="896"/>
    </row>
    <row r="57" spans="1:58" ht="20.149999999999999" customHeight="1">
      <c r="A57" s="70" t="s">
        <v>417</v>
      </c>
      <c r="B57" s="674" t="s">
        <v>418</v>
      </c>
      <c r="C57" s="69"/>
      <c r="D57" s="69"/>
      <c r="E57" s="69"/>
      <c r="F57" s="69"/>
      <c r="G57" s="678"/>
      <c r="H57" s="69"/>
      <c r="I57" s="69"/>
      <c r="J57" s="679"/>
      <c r="K57" s="69"/>
      <c r="L57" s="68"/>
      <c r="M57" s="68"/>
      <c r="N57" s="68"/>
      <c r="O57" s="657"/>
      <c r="P57" s="68"/>
      <c r="Q57" s="68"/>
      <c r="R57" s="658"/>
      <c r="S57" s="68">
        <v>-262.10000000000002</v>
      </c>
      <c r="T57" s="68">
        <v>-262.10000000000002</v>
      </c>
      <c r="U57" s="68">
        <v>-262.10000000000002</v>
      </c>
      <c r="V57" s="68">
        <v>-262.10000000000002</v>
      </c>
      <c r="W57" s="657">
        <v>0</v>
      </c>
      <c r="X57" s="68">
        <v>-58.7</v>
      </c>
      <c r="Y57" s="68">
        <v>-58.7</v>
      </c>
      <c r="Z57" s="658">
        <v>-58.7</v>
      </c>
      <c r="AA57" s="68">
        <v>0</v>
      </c>
      <c r="AB57" s="68">
        <v>0</v>
      </c>
      <c r="AC57" s="68">
        <v>0</v>
      </c>
      <c r="AD57" s="68">
        <v>0</v>
      </c>
      <c r="AE57" s="657">
        <v>0</v>
      </c>
      <c r="AF57" s="68">
        <v>0</v>
      </c>
      <c r="AG57" s="68">
        <v>0</v>
      </c>
      <c r="AH57" s="658">
        <v>0</v>
      </c>
      <c r="AI57" s="68">
        <v>0</v>
      </c>
      <c r="AJ57" s="68">
        <v>0</v>
      </c>
      <c r="AK57" s="68">
        <v>0</v>
      </c>
      <c r="AL57" s="68">
        <v>0</v>
      </c>
      <c r="AM57" s="657">
        <v>0</v>
      </c>
      <c r="AN57" s="68">
        <v>0</v>
      </c>
      <c r="AO57" s="68">
        <v>0</v>
      </c>
      <c r="AP57" s="658">
        <v>0</v>
      </c>
      <c r="AQ57" s="68">
        <v>0</v>
      </c>
      <c r="AR57" s="68">
        <v>0</v>
      </c>
      <c r="AS57" s="68">
        <v>0</v>
      </c>
      <c r="AT57" s="658">
        <v>0</v>
      </c>
      <c r="AU57" s="68">
        <v>0</v>
      </c>
      <c r="AV57" s="68">
        <v>0</v>
      </c>
      <c r="AW57" s="68">
        <v>0</v>
      </c>
      <c r="AX57" s="658">
        <v>0</v>
      </c>
      <c r="AY57" s="68">
        <v>0</v>
      </c>
      <c r="AZ57" s="68"/>
      <c r="BA57" s="68"/>
      <c r="BB57" s="658"/>
      <c r="BE57" s="235"/>
    </row>
    <row r="58" spans="1:58" ht="25.5" customHeight="1">
      <c r="A58" s="70" t="s">
        <v>419</v>
      </c>
      <c r="B58" s="674" t="s">
        <v>420</v>
      </c>
      <c r="C58" s="69"/>
      <c r="D58" s="69"/>
      <c r="E58" s="69"/>
      <c r="F58" s="69"/>
      <c r="G58" s="678"/>
      <c r="H58" s="69"/>
      <c r="I58" s="69"/>
      <c r="J58" s="679"/>
      <c r="K58" s="69"/>
      <c r="L58" s="68"/>
      <c r="M58" s="68"/>
      <c r="N58" s="68"/>
      <c r="O58" s="657"/>
      <c r="P58" s="68"/>
      <c r="Q58" s="68"/>
      <c r="R58" s="658"/>
      <c r="S58" s="68">
        <v>175.4</v>
      </c>
      <c r="T58" s="68">
        <v>175.4</v>
      </c>
      <c r="U58" s="68">
        <v>175.4</v>
      </c>
      <c r="V58" s="68">
        <v>175.4</v>
      </c>
      <c r="W58" s="657">
        <v>0</v>
      </c>
      <c r="X58" s="68">
        <v>0</v>
      </c>
      <c r="Y58" s="68">
        <v>0</v>
      </c>
      <c r="Z58" s="658">
        <v>0</v>
      </c>
      <c r="AA58" s="68">
        <v>0</v>
      </c>
      <c r="AB58" s="68">
        <v>0</v>
      </c>
      <c r="AC58" s="68">
        <v>0</v>
      </c>
      <c r="AD58" s="68">
        <v>0</v>
      </c>
      <c r="AE58" s="657">
        <v>0</v>
      </c>
      <c r="AF58" s="68">
        <v>0</v>
      </c>
      <c r="AG58" s="68">
        <v>0</v>
      </c>
      <c r="AH58" s="658">
        <v>0</v>
      </c>
      <c r="AI58" s="68">
        <v>0</v>
      </c>
      <c r="AJ58" s="68">
        <v>0</v>
      </c>
      <c r="AK58" s="68">
        <v>0</v>
      </c>
      <c r="AL58" s="68">
        <v>0</v>
      </c>
      <c r="AM58" s="657">
        <v>0</v>
      </c>
      <c r="AN58" s="68">
        <v>0</v>
      </c>
      <c r="AO58" s="68">
        <v>0</v>
      </c>
      <c r="AP58" s="658">
        <v>0</v>
      </c>
      <c r="AQ58" s="68">
        <v>0</v>
      </c>
      <c r="AR58" s="68">
        <v>0</v>
      </c>
      <c r="AS58" s="68">
        <v>0</v>
      </c>
      <c r="AT58" s="658">
        <v>0</v>
      </c>
      <c r="AU58" s="68">
        <v>0</v>
      </c>
      <c r="AV58" s="68">
        <v>0</v>
      </c>
      <c r="AW58" s="68">
        <v>0</v>
      </c>
      <c r="AX58" s="658">
        <v>0</v>
      </c>
      <c r="AY58" s="68">
        <v>0</v>
      </c>
      <c r="AZ58" s="68"/>
      <c r="BA58" s="68"/>
      <c r="BB58" s="658"/>
    </row>
    <row r="59" spans="1:58" s="100" customFormat="1" ht="27">
      <c r="A59" s="196" t="s">
        <v>421</v>
      </c>
      <c r="B59" s="675" t="s">
        <v>422</v>
      </c>
      <c r="C59" s="261">
        <v>-26.132999999999999</v>
      </c>
      <c r="D59" s="261">
        <f>(-103258-821)*0.001</f>
        <v>-104.07900000000001</v>
      </c>
      <c r="E59" s="261">
        <f>(-125824-2250)*0.001</f>
        <v>-128.07400000000001</v>
      </c>
      <c r="F59" s="261">
        <f>(-195934-3683)*0.001</f>
        <v>-199.61699999999999</v>
      </c>
      <c r="G59" s="664">
        <f>(-15811-1035)*0.001</f>
        <v>-16.846</v>
      </c>
      <c r="H59" s="261">
        <f>(-84439-1241)*0.001</f>
        <v>-85.68</v>
      </c>
      <c r="I59" s="261">
        <f>(-96215-1689)*0.001</f>
        <v>-97.903999999999996</v>
      </c>
      <c r="J59" s="665">
        <v>-165.017</v>
      </c>
      <c r="K59" s="261">
        <v>-9.0950000000000006</v>
      </c>
      <c r="L59" s="261">
        <v>-348.3</v>
      </c>
      <c r="M59" s="261">
        <v>-733.5</v>
      </c>
      <c r="N59" s="261">
        <v>-872.2</v>
      </c>
      <c r="O59" s="664">
        <v>-357.9</v>
      </c>
      <c r="P59" s="261">
        <v>-472.3</v>
      </c>
      <c r="Q59" s="261">
        <v>-804.1</v>
      </c>
      <c r="R59" s="665">
        <v>-978.9</v>
      </c>
      <c r="S59" s="261">
        <v>-383.2</v>
      </c>
      <c r="T59" s="261">
        <v>-507.9</v>
      </c>
      <c r="U59" s="261">
        <v>-631.70000000000005</v>
      </c>
      <c r="V59" s="261">
        <v>-729.6</v>
      </c>
      <c r="W59" s="664">
        <v>-112.5</v>
      </c>
      <c r="X59" s="261">
        <v>-206</v>
      </c>
      <c r="Y59" s="261">
        <v>-319.60000000000002</v>
      </c>
      <c r="Z59" s="665">
        <v>-409.9</v>
      </c>
      <c r="AA59" s="261">
        <v>-138</v>
      </c>
      <c r="AB59" s="261">
        <v>-230.9</v>
      </c>
      <c r="AC59" s="261">
        <v>-342.8</v>
      </c>
      <c r="AD59" s="261">
        <v>-419</v>
      </c>
      <c r="AE59" s="664">
        <v>-107.1</v>
      </c>
      <c r="AF59" s="261">
        <v>-205.5</v>
      </c>
      <c r="AG59" s="261">
        <v>-362</v>
      </c>
      <c r="AH59" s="665">
        <v>-465.4</v>
      </c>
      <c r="AI59" s="261">
        <v>-107.1</v>
      </c>
      <c r="AJ59" s="261">
        <v>-205.5</v>
      </c>
      <c r="AK59" s="261">
        <v>-362</v>
      </c>
      <c r="AL59" s="261">
        <v>-465.4</v>
      </c>
      <c r="AM59" s="664">
        <v>-84.6</v>
      </c>
      <c r="AN59" s="261">
        <f>-193.4</f>
        <v>-193.4</v>
      </c>
      <c r="AO59" s="261">
        <v>-256.2</v>
      </c>
      <c r="AP59" s="665">
        <v>-315.3</v>
      </c>
      <c r="AQ59" s="261">
        <v>-54.8</v>
      </c>
      <c r="AR59" s="261">
        <v>-111.3</v>
      </c>
      <c r="AS59" s="261">
        <v>-163.9</v>
      </c>
      <c r="AT59" s="665">
        <v>-213.3</v>
      </c>
      <c r="AU59" s="261">
        <v>-79.8</v>
      </c>
      <c r="AV59" s="261">
        <v>-217.6</v>
      </c>
      <c r="AW59" s="261">
        <v>-390.9</v>
      </c>
      <c r="AX59" s="665">
        <v>-616.9</v>
      </c>
      <c r="AY59" s="261">
        <v>-219.4</v>
      </c>
      <c r="AZ59" s="261"/>
      <c r="BA59" s="261"/>
      <c r="BB59" s="665"/>
    </row>
    <row r="60" spans="1:58" ht="20.149999999999999" customHeight="1">
      <c r="A60" s="70" t="s">
        <v>423</v>
      </c>
      <c r="B60" s="674" t="s">
        <v>424</v>
      </c>
      <c r="C60" s="68"/>
      <c r="D60" s="68"/>
      <c r="E60" s="68"/>
      <c r="F60" s="68"/>
      <c r="G60" s="657"/>
      <c r="H60" s="68"/>
      <c r="I60" s="68"/>
      <c r="J60" s="658"/>
      <c r="K60" s="68"/>
      <c r="L60" s="68"/>
      <c r="M60" s="68"/>
      <c r="N60" s="68"/>
      <c r="O60" s="657"/>
      <c r="P60" s="68"/>
      <c r="Q60" s="68"/>
      <c r="R60" s="658"/>
      <c r="S60" s="68"/>
      <c r="T60" s="68"/>
      <c r="U60" s="68"/>
      <c r="V60" s="68"/>
      <c r="W60" s="657"/>
      <c r="X60" s="68"/>
      <c r="Y60" s="68"/>
      <c r="Z60" s="658"/>
      <c r="AA60" s="68"/>
      <c r="AB60" s="68"/>
      <c r="AC60" s="68"/>
      <c r="AD60" s="68"/>
      <c r="AE60" s="657">
        <v>-0.2</v>
      </c>
      <c r="AF60" s="68">
        <v>-0.4</v>
      </c>
      <c r="AG60" s="68">
        <v>-0.6</v>
      </c>
      <c r="AH60" s="658">
        <v>-0.8</v>
      </c>
      <c r="AI60" s="68">
        <v>-7.8</v>
      </c>
      <c r="AJ60" s="68">
        <v>-18.8</v>
      </c>
      <c r="AK60" s="68">
        <v>-28.6</v>
      </c>
      <c r="AL60" s="68">
        <v>-47.6</v>
      </c>
      <c r="AM60" s="657">
        <v>-12.4</v>
      </c>
      <c r="AN60" s="68">
        <v>-21.1</v>
      </c>
      <c r="AO60" s="68">
        <v>-35.1</v>
      </c>
      <c r="AP60" s="658">
        <v>-46</v>
      </c>
      <c r="AQ60" s="68">
        <v>-11.4</v>
      </c>
      <c r="AR60" s="68">
        <v>-21</v>
      </c>
      <c r="AS60" s="68">
        <v>-27.6</v>
      </c>
      <c r="AT60" s="658">
        <v>-32.4</v>
      </c>
      <c r="AU60" s="68">
        <v>-5.4</v>
      </c>
      <c r="AV60" s="68">
        <v>-10.3</v>
      </c>
      <c r="AW60" s="68">
        <v>-15.1</v>
      </c>
      <c r="AX60" s="658">
        <v>-20.2</v>
      </c>
      <c r="AY60" s="68">
        <v>-6.3</v>
      </c>
      <c r="AZ60" s="68"/>
      <c r="BA60" s="68"/>
      <c r="BB60" s="658"/>
    </row>
    <row r="61" spans="1:58" ht="20.149999999999999" customHeight="1">
      <c r="A61" s="70" t="s">
        <v>425</v>
      </c>
      <c r="B61" s="674" t="s">
        <v>426</v>
      </c>
      <c r="C61" s="68"/>
      <c r="D61" s="68"/>
      <c r="E61" s="68"/>
      <c r="F61" s="68"/>
      <c r="G61" s="657"/>
      <c r="H61" s="68"/>
      <c r="I61" s="68"/>
      <c r="J61" s="658"/>
      <c r="K61" s="68"/>
      <c r="L61" s="68"/>
      <c r="M61" s="68"/>
      <c r="N61" s="68"/>
      <c r="O61" s="657"/>
      <c r="P61" s="68"/>
      <c r="Q61" s="68"/>
      <c r="R61" s="658"/>
      <c r="S61" s="68"/>
      <c r="T61" s="68"/>
      <c r="U61" s="68"/>
      <c r="V61" s="68"/>
      <c r="W61" s="657"/>
      <c r="X61" s="68"/>
      <c r="Y61" s="68"/>
      <c r="Z61" s="658"/>
      <c r="AA61" s="68"/>
      <c r="AB61" s="68"/>
      <c r="AC61" s="68"/>
      <c r="AD61" s="68"/>
      <c r="AE61" s="657">
        <v>-3.1</v>
      </c>
      <c r="AF61" s="68">
        <v>-6.1</v>
      </c>
      <c r="AG61" s="68">
        <v>-8.9</v>
      </c>
      <c r="AH61" s="658">
        <v>-4.4000000000000004</v>
      </c>
      <c r="AI61" s="68">
        <v>-54.5</v>
      </c>
      <c r="AJ61" s="68">
        <v>-142.69999999999999</v>
      </c>
      <c r="AK61" s="68">
        <v>-234</v>
      </c>
      <c r="AL61" s="68">
        <v>-343.7</v>
      </c>
      <c r="AM61" s="657">
        <v>-106.3</v>
      </c>
      <c r="AN61" s="68">
        <v>-185.7</v>
      </c>
      <c r="AO61" s="68">
        <v>-304.39999999999998</v>
      </c>
      <c r="AP61" s="658">
        <v>-399.2</v>
      </c>
      <c r="AQ61" s="68">
        <v>-119</v>
      </c>
      <c r="AR61" s="68">
        <v>-222</v>
      </c>
      <c r="AS61" s="68">
        <v>-280.89999999999998</v>
      </c>
      <c r="AT61" s="658">
        <v>-335.4</v>
      </c>
      <c r="AU61" s="68">
        <v>-52.9</v>
      </c>
      <c r="AV61" s="68">
        <v>-100.7</v>
      </c>
      <c r="AW61" s="68">
        <v>-151</v>
      </c>
      <c r="AX61" s="658">
        <v>-196.4</v>
      </c>
      <c r="AY61" s="68">
        <v>-57.6</v>
      </c>
      <c r="AZ61" s="68"/>
      <c r="BA61" s="68"/>
      <c r="BB61" s="658"/>
    </row>
    <row r="62" spans="1:58" ht="20.149999999999999" customHeight="1">
      <c r="A62" s="70" t="s">
        <v>427</v>
      </c>
      <c r="B62" s="674" t="s">
        <v>428</v>
      </c>
      <c r="C62" s="69">
        <v>0</v>
      </c>
      <c r="D62" s="69">
        <v>0</v>
      </c>
      <c r="E62" s="69">
        <v>0</v>
      </c>
      <c r="F62" s="69">
        <v>0</v>
      </c>
      <c r="G62" s="678">
        <v>0</v>
      </c>
      <c r="H62" s="69">
        <v>0</v>
      </c>
      <c r="I62" s="69">
        <v>0</v>
      </c>
      <c r="J62" s="679">
        <v>0</v>
      </c>
      <c r="K62" s="69">
        <v>0</v>
      </c>
      <c r="L62" s="68">
        <v>-102.9</v>
      </c>
      <c r="M62" s="68">
        <v>-102.9</v>
      </c>
      <c r="N62" s="68">
        <v>-102.9</v>
      </c>
      <c r="O62" s="657">
        <v>0</v>
      </c>
      <c r="P62" s="68">
        <v>0</v>
      </c>
      <c r="Q62" s="68">
        <v>0</v>
      </c>
      <c r="R62" s="658">
        <v>0</v>
      </c>
      <c r="S62" s="68">
        <v>0</v>
      </c>
      <c r="T62" s="68">
        <v>0</v>
      </c>
      <c r="U62" s="68">
        <v>0</v>
      </c>
      <c r="V62" s="68">
        <v>0</v>
      </c>
      <c r="W62" s="657">
        <v>0</v>
      </c>
      <c r="X62" s="68">
        <v>0</v>
      </c>
      <c r="Y62" s="68">
        <v>-204.7</v>
      </c>
      <c r="Z62" s="658">
        <v>-204.7</v>
      </c>
      <c r="AA62" s="68">
        <v>0</v>
      </c>
      <c r="AB62" s="68">
        <v>0</v>
      </c>
      <c r="AC62" s="68">
        <v>0</v>
      </c>
      <c r="AD62" s="68">
        <v>0</v>
      </c>
      <c r="AE62" s="657">
        <v>0</v>
      </c>
      <c r="AF62" s="68">
        <v>0</v>
      </c>
      <c r="AG62" s="68">
        <v>-287.8</v>
      </c>
      <c r="AH62" s="658">
        <v>-594.79999999999995</v>
      </c>
      <c r="AI62" s="68">
        <v>0</v>
      </c>
      <c r="AJ62" s="68">
        <v>0</v>
      </c>
      <c r="AK62" s="68">
        <v>-287.8</v>
      </c>
      <c r="AL62" s="68">
        <v>-594.79999999999995</v>
      </c>
      <c r="AM62" s="657">
        <v>0</v>
      </c>
      <c r="AN62" s="68">
        <v>-7.4</v>
      </c>
      <c r="AO62" s="68">
        <v>-7.4</v>
      </c>
      <c r="AP62" s="658">
        <v>-232.5</v>
      </c>
      <c r="AQ62" s="68">
        <v>-415.7</v>
      </c>
      <c r="AR62" s="68">
        <v>-415.7</v>
      </c>
      <c r="AS62" s="68">
        <v>-674.5</v>
      </c>
      <c r="AT62" s="658">
        <v>-1186.2</v>
      </c>
      <c r="AU62" s="68">
        <v>0</v>
      </c>
      <c r="AV62" s="68">
        <v>0</v>
      </c>
      <c r="AW62" s="68">
        <v>0</v>
      </c>
      <c r="AX62" s="658">
        <v>-660.8</v>
      </c>
      <c r="AY62" s="68">
        <v>0</v>
      </c>
      <c r="AZ62" s="68"/>
      <c r="BA62" s="68"/>
      <c r="BB62" s="658"/>
    </row>
    <row r="63" spans="1:58" ht="20.149999999999999" customHeight="1">
      <c r="A63" s="70" t="s">
        <v>429</v>
      </c>
      <c r="B63" s="674" t="s">
        <v>430</v>
      </c>
      <c r="C63" s="69"/>
      <c r="D63" s="69"/>
      <c r="E63" s="69"/>
      <c r="F63" s="69"/>
      <c r="G63" s="678"/>
      <c r="H63" s="69"/>
      <c r="I63" s="69"/>
      <c r="J63" s="679"/>
      <c r="K63" s="69"/>
      <c r="L63" s="68"/>
      <c r="M63" s="68"/>
      <c r="N63" s="68"/>
      <c r="O63" s="657"/>
      <c r="P63" s="68"/>
      <c r="Q63" s="68"/>
      <c r="R63" s="658"/>
      <c r="S63" s="68"/>
      <c r="T63" s="68"/>
      <c r="U63" s="68"/>
      <c r="V63" s="68"/>
      <c r="W63" s="657"/>
      <c r="X63" s="68"/>
      <c r="Y63" s="68"/>
      <c r="Z63" s="658"/>
      <c r="AA63" s="68"/>
      <c r="AB63" s="68"/>
      <c r="AC63" s="68"/>
      <c r="AD63" s="68"/>
      <c r="AE63" s="657"/>
      <c r="AF63" s="68"/>
      <c r="AG63" s="68"/>
      <c r="AH63" s="658"/>
      <c r="AI63" s="68"/>
      <c r="AJ63" s="68"/>
      <c r="AK63" s="68"/>
      <c r="AL63" s="68"/>
      <c r="AM63" s="657"/>
      <c r="AN63" s="68"/>
      <c r="AO63" s="68"/>
      <c r="AP63" s="658"/>
      <c r="AQ63" s="68"/>
      <c r="AR63" s="68"/>
      <c r="AS63" s="68"/>
      <c r="AT63" s="658">
        <v>-2464</v>
      </c>
      <c r="AU63" s="68">
        <v>0</v>
      </c>
      <c r="AV63" s="68">
        <v>-393.9</v>
      </c>
      <c r="AW63" s="68">
        <v>-393.9</v>
      </c>
      <c r="AX63" s="658">
        <v>-393.9</v>
      </c>
      <c r="AY63" s="68">
        <v>0</v>
      </c>
      <c r="AZ63" s="68"/>
      <c r="BA63" s="68"/>
      <c r="BB63" s="658"/>
    </row>
    <row r="64" spans="1:58" ht="20.149999999999999" customHeight="1">
      <c r="A64" s="70" t="s">
        <v>431</v>
      </c>
      <c r="B64" s="674" t="s">
        <v>432</v>
      </c>
      <c r="C64" s="69"/>
      <c r="D64" s="69"/>
      <c r="E64" s="69"/>
      <c r="F64" s="69"/>
      <c r="G64" s="678"/>
      <c r="H64" s="69"/>
      <c r="I64" s="69"/>
      <c r="J64" s="679"/>
      <c r="K64" s="69"/>
      <c r="L64" s="68"/>
      <c r="M64" s="68"/>
      <c r="N64" s="68"/>
      <c r="O64" s="657"/>
      <c r="P64" s="68"/>
      <c r="Q64" s="68"/>
      <c r="R64" s="658"/>
      <c r="S64" s="68"/>
      <c r="T64" s="68">
        <v>-323.60000000000002</v>
      </c>
      <c r="U64" s="68">
        <v>-323.60000000000002</v>
      </c>
      <c r="V64" s="68">
        <v>-323.60000000000002</v>
      </c>
      <c r="W64" s="657">
        <v>0</v>
      </c>
      <c r="X64" s="68">
        <v>0</v>
      </c>
      <c r="Y64" s="68">
        <v>0</v>
      </c>
      <c r="Z64" s="658">
        <v>0</v>
      </c>
      <c r="AA64" s="68">
        <v>0</v>
      </c>
      <c r="AB64" s="68">
        <v>0</v>
      </c>
      <c r="AC64" s="68">
        <v>0</v>
      </c>
      <c r="AD64" s="68">
        <v>0</v>
      </c>
      <c r="AE64" s="657">
        <v>0</v>
      </c>
      <c r="AF64" s="68">
        <v>0</v>
      </c>
      <c r="AG64" s="68">
        <v>0</v>
      </c>
      <c r="AH64" s="658">
        <v>0</v>
      </c>
      <c r="AI64" s="68">
        <v>0</v>
      </c>
      <c r="AJ64" s="68">
        <v>0</v>
      </c>
      <c r="AK64" s="68">
        <v>0</v>
      </c>
      <c r="AL64" s="68">
        <v>0</v>
      </c>
      <c r="AM64" s="657">
        <v>0</v>
      </c>
      <c r="AN64" s="68">
        <v>0</v>
      </c>
      <c r="AO64" s="68">
        <v>0</v>
      </c>
      <c r="AP64" s="658">
        <v>0</v>
      </c>
      <c r="AQ64" s="68">
        <v>0</v>
      </c>
      <c r="AR64" s="68">
        <v>0</v>
      </c>
      <c r="AS64" s="68">
        <v>0</v>
      </c>
      <c r="AT64" s="658">
        <v>0</v>
      </c>
      <c r="AU64" s="68">
        <v>0</v>
      </c>
      <c r="AV64" s="68">
        <v>0</v>
      </c>
      <c r="AW64" s="68">
        <v>0</v>
      </c>
      <c r="AX64" s="658">
        <v>0</v>
      </c>
      <c r="AY64" s="68">
        <v>0</v>
      </c>
      <c r="AZ64" s="68"/>
      <c r="BA64" s="68"/>
      <c r="BB64" s="658"/>
    </row>
    <row r="65" spans="1:59" ht="20.149999999999999" customHeight="1">
      <c r="A65" s="70" t="s">
        <v>433</v>
      </c>
      <c r="B65" s="674" t="s">
        <v>434</v>
      </c>
      <c r="C65" s="68">
        <v>-8.4000000000000005E-2</v>
      </c>
      <c r="D65" s="68">
        <v>-0.23899999999999999</v>
      </c>
      <c r="E65" s="68">
        <v>-0.315</v>
      </c>
      <c r="F65" s="68">
        <v>-0.40600000000000003</v>
      </c>
      <c r="G65" s="657">
        <v>-7.8E-2</v>
      </c>
      <c r="H65" s="68">
        <v>-0.16800000000000001</v>
      </c>
      <c r="I65" s="68">
        <v>-0.25600000000000001</v>
      </c>
      <c r="J65" s="658">
        <v>-0.33</v>
      </c>
      <c r="K65" s="68">
        <v>-6.2E-2</v>
      </c>
      <c r="L65" s="68">
        <v>-0.3</v>
      </c>
      <c r="M65" s="68">
        <v>-0.7</v>
      </c>
      <c r="N65" s="68">
        <v>-0.9</v>
      </c>
      <c r="O65" s="657">
        <v>-2.5</v>
      </c>
      <c r="P65" s="68">
        <v>-3.5</v>
      </c>
      <c r="Q65" s="68">
        <v>-4.5</v>
      </c>
      <c r="R65" s="658">
        <v>-5.6</v>
      </c>
      <c r="S65" s="68">
        <v>-2.1</v>
      </c>
      <c r="T65" s="68">
        <v>-2.7</v>
      </c>
      <c r="U65" s="68">
        <v>-4.4000000000000004</v>
      </c>
      <c r="V65" s="68">
        <v>-6</v>
      </c>
      <c r="W65" s="657">
        <f>-0.3-1.4</f>
        <v>-1.7</v>
      </c>
      <c r="X65" s="68">
        <v>-2.9</v>
      </c>
      <c r="Y65" s="68">
        <v>-4.3</v>
      </c>
      <c r="Z65" s="658">
        <v>-5.2</v>
      </c>
      <c r="AA65" s="68">
        <v>-1.6</v>
      </c>
      <c r="AB65" s="68">
        <v>-3.4</v>
      </c>
      <c r="AC65" s="68">
        <v>-4.8</v>
      </c>
      <c r="AD65" s="68">
        <v>-8.4</v>
      </c>
      <c r="AE65" s="657">
        <v>-0.6</v>
      </c>
      <c r="AF65" s="68">
        <v>-0.4</v>
      </c>
      <c r="AG65" s="68">
        <v>-0.6</v>
      </c>
      <c r="AH65" s="658">
        <v>-0.7</v>
      </c>
      <c r="AI65" s="68">
        <v>-0.6</v>
      </c>
      <c r="AJ65" s="68">
        <v>-0.4</v>
      </c>
      <c r="AK65" s="68">
        <v>-0.6</v>
      </c>
      <c r="AL65" s="68">
        <v>-0.7</v>
      </c>
      <c r="AM65" s="657">
        <v>-4.5</v>
      </c>
      <c r="AN65" s="68">
        <v>-12.7</v>
      </c>
      <c r="AO65" s="68">
        <v>-27.3</v>
      </c>
      <c r="AP65" s="658">
        <v>-40.1</v>
      </c>
      <c r="AQ65" s="68">
        <v>-11.1</v>
      </c>
      <c r="AR65" s="68">
        <v>-19.3</v>
      </c>
      <c r="AS65" s="68">
        <v>-27.2</v>
      </c>
      <c r="AT65" s="658">
        <v>-33.799999999999997</v>
      </c>
      <c r="AU65" s="68">
        <v>-1.5</v>
      </c>
      <c r="AV65" s="68">
        <v>-12.2</v>
      </c>
      <c r="AW65" s="68">
        <v>-16.5</v>
      </c>
      <c r="AX65" s="658">
        <v>-23</v>
      </c>
      <c r="AY65" s="68">
        <v>9.8000000000000007</v>
      </c>
      <c r="AZ65" s="68"/>
      <c r="BA65" s="68"/>
      <c r="BB65" s="658"/>
    </row>
    <row r="66" spans="1:59" ht="22.5" customHeight="1">
      <c r="A66" s="70" t="s">
        <v>435</v>
      </c>
      <c r="B66" s="674" t="s">
        <v>436</v>
      </c>
      <c r="C66" s="68"/>
      <c r="D66" s="68"/>
      <c r="E66" s="68"/>
      <c r="F66" s="68"/>
      <c r="G66" s="657"/>
      <c r="H66" s="68"/>
      <c r="I66" s="68"/>
      <c r="J66" s="658"/>
      <c r="K66" s="68"/>
      <c r="L66" s="68"/>
      <c r="M66" s="68"/>
      <c r="N66" s="68"/>
      <c r="O66" s="657"/>
      <c r="P66" s="68"/>
      <c r="Q66" s="68"/>
      <c r="R66" s="658"/>
      <c r="S66" s="68"/>
      <c r="T66" s="68"/>
      <c r="U66" s="68"/>
      <c r="V66" s="68"/>
      <c r="W66" s="657"/>
      <c r="X66" s="68"/>
      <c r="Y66" s="68"/>
      <c r="Z66" s="658"/>
      <c r="AA66" s="68"/>
      <c r="AB66" s="68"/>
      <c r="AC66" s="68"/>
      <c r="AD66" s="68"/>
      <c r="AE66" s="657"/>
      <c r="AF66" s="68"/>
      <c r="AG66" s="68"/>
      <c r="AH66" s="658"/>
      <c r="AI66" s="68"/>
      <c r="AJ66" s="68"/>
      <c r="AK66" s="68"/>
      <c r="AL66" s="68"/>
      <c r="AM66" s="657"/>
      <c r="AN66" s="68"/>
      <c r="AO66" s="68"/>
      <c r="AP66" s="658"/>
      <c r="AQ66" s="68"/>
      <c r="AR66" s="68"/>
      <c r="AS66" s="68"/>
      <c r="AT66" s="658"/>
      <c r="AU66" s="68">
        <v>7.4</v>
      </c>
      <c r="AV66" s="68">
        <v>31.9</v>
      </c>
      <c r="AW66" s="68">
        <v>75.7</v>
      </c>
      <c r="AX66" s="658">
        <v>109.4</v>
      </c>
      <c r="AY66" s="68">
        <v>32.799999999999997</v>
      </c>
      <c r="AZ66" s="68"/>
      <c r="BA66" s="68"/>
      <c r="BB66" s="658"/>
    </row>
    <row r="67" spans="1:59" ht="20.149999999999999" customHeight="1">
      <c r="A67" s="70" t="s">
        <v>437</v>
      </c>
      <c r="B67" s="674" t="s">
        <v>438</v>
      </c>
      <c r="C67" s="678">
        <v>0</v>
      </c>
      <c r="D67" s="69">
        <v>0</v>
      </c>
      <c r="E67" s="69">
        <v>0</v>
      </c>
      <c r="F67" s="679">
        <v>0</v>
      </c>
      <c r="G67" s="678">
        <v>0</v>
      </c>
      <c r="H67" s="69">
        <v>0</v>
      </c>
      <c r="I67" s="69">
        <v>0</v>
      </c>
      <c r="J67" s="679">
        <v>0</v>
      </c>
      <c r="K67" s="69">
        <v>0</v>
      </c>
      <c r="L67" s="68">
        <v>-3.8</v>
      </c>
      <c r="M67" s="68">
        <v>-3.9</v>
      </c>
      <c r="N67" s="68">
        <v>-3.9</v>
      </c>
      <c r="O67" s="657">
        <v>0</v>
      </c>
      <c r="P67" s="68">
        <v>0</v>
      </c>
      <c r="Q67" s="68">
        <v>0</v>
      </c>
      <c r="R67" s="658">
        <v>0</v>
      </c>
      <c r="S67" s="68">
        <v>0</v>
      </c>
      <c r="T67" s="68">
        <v>0</v>
      </c>
      <c r="U67" s="68">
        <v>0</v>
      </c>
      <c r="V67" s="68">
        <v>0</v>
      </c>
      <c r="W67" s="657">
        <v>0</v>
      </c>
      <c r="X67" s="68">
        <v>0</v>
      </c>
      <c r="Y67" s="68">
        <v>0</v>
      </c>
      <c r="Z67" s="658">
        <v>0</v>
      </c>
      <c r="AA67" s="68">
        <v>0</v>
      </c>
      <c r="AB67" s="68"/>
      <c r="AC67" s="68">
        <v>0</v>
      </c>
      <c r="AD67" s="68">
        <v>0</v>
      </c>
      <c r="AE67" s="657">
        <v>0</v>
      </c>
      <c r="AF67" s="68">
        <v>0</v>
      </c>
      <c r="AG67" s="68">
        <v>0</v>
      </c>
      <c r="AH67" s="658">
        <v>0</v>
      </c>
      <c r="AI67" s="68">
        <v>0</v>
      </c>
      <c r="AJ67" s="68">
        <v>0</v>
      </c>
      <c r="AK67" s="68">
        <v>0</v>
      </c>
      <c r="AL67" s="68">
        <v>0</v>
      </c>
      <c r="AM67" s="657">
        <v>0</v>
      </c>
      <c r="AN67" s="68">
        <v>0</v>
      </c>
      <c r="AO67" s="68">
        <v>0</v>
      </c>
      <c r="AP67" s="658">
        <v>0</v>
      </c>
      <c r="AQ67" s="68">
        <v>0</v>
      </c>
      <c r="AR67" s="68">
        <v>0</v>
      </c>
      <c r="AS67" s="68">
        <v>0</v>
      </c>
      <c r="AT67" s="658"/>
      <c r="AU67" s="68">
        <v>0</v>
      </c>
      <c r="AV67" s="68">
        <v>0</v>
      </c>
      <c r="AW67" s="68">
        <v>0</v>
      </c>
      <c r="AX67" s="658">
        <v>0</v>
      </c>
      <c r="AY67" s="68">
        <v>0</v>
      </c>
      <c r="AZ67" s="68"/>
      <c r="BA67" s="68"/>
      <c r="BB67" s="658"/>
    </row>
    <row r="68" spans="1:59" s="266" customFormat="1" ht="25" customHeight="1" thickBot="1">
      <c r="A68" s="386" t="s">
        <v>439</v>
      </c>
      <c r="B68" s="676" t="s">
        <v>440</v>
      </c>
      <c r="C68" s="662">
        <f t="shared" ref="C68:X68" si="25">SUM(C54:C67)</f>
        <v>-52.972000000000001</v>
      </c>
      <c r="D68" s="387">
        <f t="shared" si="25"/>
        <v>-260.08099999999996</v>
      </c>
      <c r="E68" s="387">
        <f t="shared" si="25"/>
        <v>-525.96400000000006</v>
      </c>
      <c r="F68" s="663">
        <f t="shared" si="25"/>
        <v>-653.34699999999998</v>
      </c>
      <c r="G68" s="662">
        <f t="shared" si="25"/>
        <v>-66.737000000000009</v>
      </c>
      <c r="H68" s="387">
        <f t="shared" si="25"/>
        <v>-278.43799999999999</v>
      </c>
      <c r="I68" s="387">
        <f t="shared" si="25"/>
        <v>-464.322</v>
      </c>
      <c r="J68" s="663">
        <f t="shared" si="25"/>
        <v>-596.46400000000006</v>
      </c>
      <c r="K68" s="387">
        <f t="shared" si="25"/>
        <v>-46.550999999999995</v>
      </c>
      <c r="L68" s="387">
        <f t="shared" si="25"/>
        <v>-478.30000000000007</v>
      </c>
      <c r="M68" s="387">
        <f t="shared" si="25"/>
        <v>-1064.0000000000002</v>
      </c>
      <c r="N68" s="387">
        <f t="shared" si="25"/>
        <v>-1542.9000000000003</v>
      </c>
      <c r="O68" s="662">
        <f t="shared" si="25"/>
        <v>-467.4</v>
      </c>
      <c r="P68" s="387">
        <f t="shared" si="25"/>
        <v>-1310</v>
      </c>
      <c r="Q68" s="387">
        <f t="shared" si="25"/>
        <v>-2210.8000000000006</v>
      </c>
      <c r="R68" s="663">
        <f t="shared" si="25"/>
        <v>-2386.7000000000007</v>
      </c>
      <c r="S68" s="387">
        <f t="shared" si="25"/>
        <v>-371.90000000000055</v>
      </c>
      <c r="T68" s="387">
        <f t="shared" si="25"/>
        <v>-1403.6000000000001</v>
      </c>
      <c r="U68" s="387">
        <f t="shared" si="25"/>
        <v>-1737.1000000000004</v>
      </c>
      <c r="V68" s="387">
        <f t="shared" si="25"/>
        <v>-2070.8000000000002</v>
      </c>
      <c r="W68" s="662">
        <f t="shared" si="25"/>
        <v>-348.2</v>
      </c>
      <c r="X68" s="387">
        <f t="shared" si="25"/>
        <v>-1122.3000000000002</v>
      </c>
      <c r="Y68" s="387">
        <f>SUM(Y54:Y67)</f>
        <v>-1676</v>
      </c>
      <c r="Z68" s="663">
        <f>SUM(Z54:Z67)</f>
        <v>-1527.7000000000003</v>
      </c>
      <c r="AA68" s="387">
        <f t="shared" ref="AA68:AD68" si="26">SUM(AA54:AA67)</f>
        <v>-689.6</v>
      </c>
      <c r="AB68" s="387">
        <f t="shared" si="26"/>
        <v>-868.19999999999993</v>
      </c>
      <c r="AC68" s="387">
        <f t="shared" ref="AC68" si="27">SUM(AC54:AC67)</f>
        <v>-790.09999999999991</v>
      </c>
      <c r="AD68" s="387">
        <f t="shared" si="26"/>
        <v>-1074.3000000000002</v>
      </c>
      <c r="AE68" s="662">
        <f t="shared" ref="AE68:AH68" si="28">SUM(AE54:AE67)</f>
        <v>-695.40000000000009</v>
      </c>
      <c r="AF68" s="387">
        <f t="shared" si="28"/>
        <v>-1064</v>
      </c>
      <c r="AG68" s="387">
        <f>SUM(AG54:AG67)</f>
        <v>-1285.8999999999999</v>
      </c>
      <c r="AH68" s="663">
        <f t="shared" si="28"/>
        <v>-798.6</v>
      </c>
      <c r="AI68" s="387">
        <f t="shared" ref="AI68:AJ68" si="29">SUM(AI54:AI67)</f>
        <v>-754.4</v>
      </c>
      <c r="AJ68" s="387">
        <f t="shared" si="29"/>
        <v>-1219</v>
      </c>
      <c r="AK68" s="387">
        <f>SUM(AK54:AK67)</f>
        <v>-1538.9999999999998</v>
      </c>
      <c r="AL68" s="387">
        <f t="shared" ref="AL68" si="30">SUM(AL54:AL67)</f>
        <v>-1184.7</v>
      </c>
      <c r="AM68" s="662">
        <f t="shared" ref="AM68:AN68" si="31">SUM(AM54:AM67)</f>
        <v>-30.000000000000043</v>
      </c>
      <c r="AN68" s="387">
        <f t="shared" si="31"/>
        <v>-243.19999999999996</v>
      </c>
      <c r="AO68" s="387">
        <v>-453.3</v>
      </c>
      <c r="AP68" s="663">
        <f t="shared" ref="AP68:AR68" si="32">SUM(AP54:AP67)</f>
        <v>-856</v>
      </c>
      <c r="AQ68" s="387">
        <f t="shared" si="32"/>
        <v>-612</v>
      </c>
      <c r="AR68" s="387">
        <f t="shared" si="32"/>
        <v>-879.3</v>
      </c>
      <c r="AS68" s="387">
        <f t="shared" ref="AS68" si="33">SUM(AS54:AS67)</f>
        <v>-981.50000000000011</v>
      </c>
      <c r="AT68" s="663">
        <f t="shared" ref="AT68:AW68" si="34">SUM(AT54:AT67)</f>
        <v>-5282.9000000000005</v>
      </c>
      <c r="AU68" s="387">
        <f t="shared" si="34"/>
        <v>-332.2</v>
      </c>
      <c r="AV68" s="387">
        <f t="shared" si="34"/>
        <v>-1340.8</v>
      </c>
      <c r="AW68" s="387">
        <f t="shared" si="34"/>
        <v>-1729.7</v>
      </c>
      <c r="AX68" s="663">
        <f t="shared" ref="AX68:BA68" si="35">SUM(AX54:AX67)</f>
        <v>-2705.7</v>
      </c>
      <c r="AY68" s="387">
        <f t="shared" si="35"/>
        <v>1567.3</v>
      </c>
      <c r="AZ68" s="387">
        <f t="shared" si="35"/>
        <v>0</v>
      </c>
      <c r="BA68" s="387">
        <f t="shared" si="35"/>
        <v>0</v>
      </c>
      <c r="BB68" s="663">
        <f t="shared" ref="BB68" si="36">SUM(BB54:BB67)</f>
        <v>0</v>
      </c>
      <c r="BC68" s="893"/>
      <c r="BD68" s="894"/>
      <c r="BE68" s="893"/>
      <c r="BF68" s="893"/>
      <c r="BG68" s="893"/>
    </row>
    <row r="69" spans="1:59" ht="20.149999999999999" customHeight="1" thickBot="1">
      <c r="A69" s="388" t="s">
        <v>441</v>
      </c>
      <c r="B69" s="673" t="s">
        <v>442</v>
      </c>
      <c r="C69" s="389">
        <f>C35+C53+C68</f>
        <v>146.86399999999998</v>
      </c>
      <c r="D69" s="389">
        <f t="shared" ref="D69:AN69" si="37">D68+D53+D35</f>
        <v>33.256000000000029</v>
      </c>
      <c r="E69" s="389">
        <f t="shared" si="37"/>
        <v>-51.083999999999946</v>
      </c>
      <c r="F69" s="390">
        <f t="shared" si="37"/>
        <v>-5.4109999999999445</v>
      </c>
      <c r="G69" s="655">
        <f t="shared" si="37"/>
        <v>53.822999999999979</v>
      </c>
      <c r="H69" s="390">
        <f t="shared" si="37"/>
        <v>-5.0790000000000077</v>
      </c>
      <c r="I69" s="390">
        <f t="shared" si="37"/>
        <v>-55.118000000000166</v>
      </c>
      <c r="J69" s="656">
        <f t="shared" si="37"/>
        <v>72.357999999999834</v>
      </c>
      <c r="K69" s="390">
        <f t="shared" si="37"/>
        <v>85.956000000000017</v>
      </c>
      <c r="L69" s="390">
        <f t="shared" si="37"/>
        <v>1565.3999999999999</v>
      </c>
      <c r="M69" s="390">
        <f t="shared" si="37"/>
        <v>1300.0999999999999</v>
      </c>
      <c r="N69" s="390">
        <f t="shared" si="37"/>
        <v>1403.7999999999997</v>
      </c>
      <c r="O69" s="655">
        <f t="shared" si="37"/>
        <v>-257.89999999999981</v>
      </c>
      <c r="P69" s="390">
        <f t="shared" si="37"/>
        <v>-353.30000000000041</v>
      </c>
      <c r="Q69" s="390">
        <f t="shared" si="37"/>
        <v>-677.30000000000109</v>
      </c>
      <c r="R69" s="656">
        <f t="shared" si="37"/>
        <v>-225.60000000000127</v>
      </c>
      <c r="S69" s="390">
        <f t="shared" si="37"/>
        <v>49.999999999999602</v>
      </c>
      <c r="T69" s="390">
        <f t="shared" si="37"/>
        <v>-568.70000000000005</v>
      </c>
      <c r="U69" s="390">
        <f t="shared" si="37"/>
        <v>-411.39999999999918</v>
      </c>
      <c r="V69" s="390">
        <f t="shared" si="37"/>
        <v>-189.5</v>
      </c>
      <c r="W69" s="655">
        <f t="shared" si="37"/>
        <v>244.3000000000003</v>
      </c>
      <c r="X69" s="390">
        <f t="shared" si="37"/>
        <v>29.599999999999909</v>
      </c>
      <c r="Y69" s="390">
        <f t="shared" si="37"/>
        <v>-245.50000000000045</v>
      </c>
      <c r="Z69" s="656">
        <f t="shared" si="37"/>
        <v>-159.59999999999945</v>
      </c>
      <c r="AA69" s="390">
        <f t="shared" si="37"/>
        <v>-374.99999999999989</v>
      </c>
      <c r="AB69" s="390">
        <f t="shared" si="37"/>
        <v>-285.70000000000005</v>
      </c>
      <c r="AC69" s="390">
        <f t="shared" si="37"/>
        <v>-11.199999999999818</v>
      </c>
      <c r="AD69" s="390">
        <f t="shared" si="37"/>
        <v>5.2999999999997272</v>
      </c>
      <c r="AE69" s="655">
        <f t="shared" si="37"/>
        <v>-420.69999999999993</v>
      </c>
      <c r="AF69" s="390">
        <f t="shared" si="37"/>
        <v>-392.89999999999986</v>
      </c>
      <c r="AG69" s="390">
        <f t="shared" si="37"/>
        <v>-294.79999999999927</v>
      </c>
      <c r="AH69" s="656">
        <f t="shared" si="37"/>
        <v>-426.40000000000055</v>
      </c>
      <c r="AI69" s="390">
        <f t="shared" si="37"/>
        <v>-420.69999999999993</v>
      </c>
      <c r="AJ69" s="390">
        <f t="shared" si="37"/>
        <v>-392.89999999999986</v>
      </c>
      <c r="AK69" s="390">
        <f t="shared" si="37"/>
        <v>-294.79999999999882</v>
      </c>
      <c r="AL69" s="390">
        <f t="shared" si="37"/>
        <v>-426.40000000000146</v>
      </c>
      <c r="AM69" s="655">
        <f t="shared" si="37"/>
        <v>384.78882651999987</v>
      </c>
      <c r="AN69" s="390">
        <f t="shared" si="37"/>
        <v>565.90000000000055</v>
      </c>
      <c r="AO69" s="390">
        <v>408.8</v>
      </c>
      <c r="AP69" s="656">
        <f t="shared" ref="AP69:AX69" si="38">AP68+AP53+AP35</f>
        <v>609.39999999999918</v>
      </c>
      <c r="AQ69" s="390">
        <f t="shared" si="38"/>
        <v>-97.199999999999932</v>
      </c>
      <c r="AR69" s="390">
        <f t="shared" si="38"/>
        <v>-599.79999999999995</v>
      </c>
      <c r="AS69" s="390">
        <f t="shared" si="38"/>
        <v>6107.2000000000007</v>
      </c>
      <c r="AT69" s="656">
        <f t="shared" si="38"/>
        <v>2279.2999999999979</v>
      </c>
      <c r="AU69" s="390">
        <f>AU68+AU53+AU35</f>
        <v>-288.1999999999997</v>
      </c>
      <c r="AV69" s="390">
        <f t="shared" si="38"/>
        <v>-2577.6</v>
      </c>
      <c r="AW69" s="390">
        <f t="shared" si="38"/>
        <v>-2041.9999999999998</v>
      </c>
      <c r="AX69" s="656">
        <f t="shared" si="38"/>
        <v>-2820.6000000000004</v>
      </c>
      <c r="AY69" s="390">
        <f>AY68+AY53+AY35</f>
        <v>655.80000000000064</v>
      </c>
      <c r="AZ69" s="390">
        <f t="shared" ref="AZ69:BB69" si="39">AZ68+AZ53+AZ35</f>
        <v>0</v>
      </c>
      <c r="BA69" s="390">
        <f t="shared" si="39"/>
        <v>0</v>
      </c>
      <c r="BB69" s="656">
        <f t="shared" si="39"/>
        <v>0</v>
      </c>
      <c r="BC69" s="893"/>
      <c r="BD69" s="894"/>
      <c r="BE69" s="893"/>
      <c r="BF69" s="893"/>
    </row>
    <row r="70" spans="1:59" ht="20.149999999999999" customHeight="1">
      <c r="A70" s="264" t="s">
        <v>443</v>
      </c>
      <c r="B70" s="677" t="s">
        <v>444</v>
      </c>
      <c r="C70" s="265">
        <v>277.53399999999999</v>
      </c>
      <c r="D70" s="265">
        <v>277.53399999999999</v>
      </c>
      <c r="E70" s="265">
        <v>277.53399999999999</v>
      </c>
      <c r="F70" s="265">
        <v>277.53399999999999</v>
      </c>
      <c r="G70" s="668">
        <v>270.35399999999998</v>
      </c>
      <c r="H70" s="265">
        <v>270.35399999999998</v>
      </c>
      <c r="I70" s="265">
        <v>270.35399999999998</v>
      </c>
      <c r="J70" s="669">
        <v>270.35399999999998</v>
      </c>
      <c r="K70" s="265">
        <v>342.25100000000003</v>
      </c>
      <c r="L70" s="265">
        <v>342.2</v>
      </c>
      <c r="M70" s="265">
        <v>342.2</v>
      </c>
      <c r="N70" s="265">
        <v>342.2</v>
      </c>
      <c r="O70" s="668">
        <v>1747.9</v>
      </c>
      <c r="P70" s="265">
        <v>1747.9</v>
      </c>
      <c r="Q70" s="265">
        <v>1747.9</v>
      </c>
      <c r="R70" s="669">
        <v>1747.9</v>
      </c>
      <c r="S70" s="265">
        <f>$R$73</f>
        <v>1523.6999999999989</v>
      </c>
      <c r="T70" s="265">
        <f t="shared" ref="T70:V70" si="40">$R$73</f>
        <v>1523.6999999999989</v>
      </c>
      <c r="U70" s="265">
        <f t="shared" si="40"/>
        <v>1523.6999999999989</v>
      </c>
      <c r="V70" s="265">
        <f t="shared" si="40"/>
        <v>1523.6999999999989</v>
      </c>
      <c r="W70" s="668">
        <f>V73</f>
        <v>1336.6999999999989</v>
      </c>
      <c r="X70" s="265">
        <f>V73</f>
        <v>1336.6999999999989</v>
      </c>
      <c r="Y70" s="265">
        <f>V73</f>
        <v>1336.6999999999989</v>
      </c>
      <c r="Z70" s="669">
        <f>Y70</f>
        <v>1336.6999999999989</v>
      </c>
      <c r="AA70" s="265">
        <f>Z73</f>
        <v>1171.9999999999995</v>
      </c>
      <c r="AB70" s="265">
        <f>Z73</f>
        <v>1171.9999999999995</v>
      </c>
      <c r="AC70" s="265">
        <f>Z73</f>
        <v>1171.9999999999995</v>
      </c>
      <c r="AD70" s="265">
        <f>AC70</f>
        <v>1171.9999999999995</v>
      </c>
      <c r="AE70" s="668">
        <v>1178.7</v>
      </c>
      <c r="AF70" s="265">
        <f>AD73</f>
        <v>1178.6999999999994</v>
      </c>
      <c r="AG70" s="265">
        <f>AD73</f>
        <v>1178.6999999999994</v>
      </c>
      <c r="AH70" s="669">
        <f>AD73</f>
        <v>1178.6999999999994</v>
      </c>
      <c r="AI70" s="265">
        <v>1178.7</v>
      </c>
      <c r="AJ70" s="265">
        <f>AD73</f>
        <v>1178.6999999999994</v>
      </c>
      <c r="AK70" s="265">
        <f>AD73</f>
        <v>1178.6999999999994</v>
      </c>
      <c r="AL70" s="265">
        <f>AD73</f>
        <v>1178.6999999999994</v>
      </c>
      <c r="AM70" s="668">
        <f>AL73</f>
        <v>753.09999999999786</v>
      </c>
      <c r="AN70" s="265">
        <v>753.1</v>
      </c>
      <c r="AO70" s="265">
        <v>753.1</v>
      </c>
      <c r="AP70" s="669">
        <v>753.1</v>
      </c>
      <c r="AQ70" s="265">
        <f>$AP$73</f>
        <v>1365.799999999999</v>
      </c>
      <c r="AR70" s="265">
        <f t="shared" ref="AR70:AT70" si="41">$AP$73</f>
        <v>1365.799999999999</v>
      </c>
      <c r="AS70" s="265">
        <f t="shared" si="41"/>
        <v>1365.799999999999</v>
      </c>
      <c r="AT70" s="669">
        <f t="shared" si="41"/>
        <v>1365.799999999999</v>
      </c>
      <c r="AU70" s="265">
        <f>$AT$73</f>
        <v>3644.2999999999965</v>
      </c>
      <c r="AV70" s="265">
        <f>$AT$73</f>
        <v>3644.2999999999965</v>
      </c>
      <c r="AW70" s="265">
        <f>$AT$73</f>
        <v>3644.2999999999965</v>
      </c>
      <c r="AX70" s="751">
        <f>$AT$73</f>
        <v>3644.2999999999965</v>
      </c>
      <c r="AY70" s="265">
        <f>$AX$73</f>
        <v>817.7999999999962</v>
      </c>
      <c r="AZ70" s="265"/>
      <c r="BA70" s="265"/>
      <c r="BB70" s="751"/>
      <c r="BC70" s="893"/>
      <c r="BD70" s="894"/>
    </row>
    <row r="71" spans="1:59">
      <c r="A71" s="70" t="s">
        <v>445</v>
      </c>
      <c r="B71" s="674" t="s">
        <v>446</v>
      </c>
      <c r="C71" s="68">
        <v>-2.5009999999999999</v>
      </c>
      <c r="D71" s="68">
        <v>-1.2710000000000001</v>
      </c>
      <c r="E71" s="68">
        <v>-1.339</v>
      </c>
      <c r="F71" s="68">
        <v>-1.7690000000000001</v>
      </c>
      <c r="G71" s="657">
        <v>0.161</v>
      </c>
      <c r="H71" s="68">
        <v>0.52800000000000002</v>
      </c>
      <c r="I71" s="68">
        <v>0.16</v>
      </c>
      <c r="J71" s="658">
        <v>-0.46100000000000002</v>
      </c>
      <c r="K71" s="68">
        <v>-1.7000000000000001E-2</v>
      </c>
      <c r="L71" s="68">
        <v>-0.7</v>
      </c>
      <c r="M71" s="68">
        <v>0.9</v>
      </c>
      <c r="N71" s="68">
        <v>1.9</v>
      </c>
      <c r="O71" s="657">
        <v>1.6</v>
      </c>
      <c r="P71" s="68">
        <v>2</v>
      </c>
      <c r="Q71" s="68">
        <v>1.4</v>
      </c>
      <c r="R71" s="658">
        <v>1.4</v>
      </c>
      <c r="S71" s="68">
        <v>-3.7</v>
      </c>
      <c r="T71" s="68">
        <v>0.4</v>
      </c>
      <c r="U71" s="68">
        <v>-2.1</v>
      </c>
      <c r="V71" s="68">
        <v>2.5</v>
      </c>
      <c r="W71" s="657">
        <v>-3.7</v>
      </c>
      <c r="X71" s="68">
        <v>-3.7</v>
      </c>
      <c r="Y71" s="68">
        <v>-2.8</v>
      </c>
      <c r="Z71" s="658">
        <v>-5.0999999999999996</v>
      </c>
      <c r="AA71" s="68">
        <v>0.5</v>
      </c>
      <c r="AB71" s="68">
        <v>1.5</v>
      </c>
      <c r="AC71" s="68">
        <v>2.2999999999999998</v>
      </c>
      <c r="AD71" s="68">
        <v>1.4</v>
      </c>
      <c r="AE71" s="657">
        <v>-1</v>
      </c>
      <c r="AF71" s="68">
        <v>-2</v>
      </c>
      <c r="AG71" s="68">
        <v>2.2999999999999998</v>
      </c>
      <c r="AH71" s="658">
        <v>0.8</v>
      </c>
      <c r="AI71" s="68">
        <v>-1</v>
      </c>
      <c r="AJ71" s="68">
        <v>-2</v>
      </c>
      <c r="AK71" s="68">
        <v>2.2999999999999998</v>
      </c>
      <c r="AL71" s="68">
        <v>0.8</v>
      </c>
      <c r="AM71" s="657">
        <v>2.9</v>
      </c>
      <c r="AN71" s="68">
        <v>1.5</v>
      </c>
      <c r="AO71" s="68">
        <v>2.2999999999999998</v>
      </c>
      <c r="AP71" s="658">
        <v>3.3</v>
      </c>
      <c r="AQ71" s="68">
        <v>-1.3</v>
      </c>
      <c r="AR71" s="68">
        <v>-2</v>
      </c>
      <c r="AS71" s="68">
        <v>-0.7</v>
      </c>
      <c r="AT71" s="658">
        <v>-0.8</v>
      </c>
      <c r="AU71" s="68">
        <v>-2.4</v>
      </c>
      <c r="AV71" s="68">
        <v>-4.7</v>
      </c>
      <c r="AW71" s="68">
        <v>-6.2</v>
      </c>
      <c r="AX71" s="658">
        <v>-5.9</v>
      </c>
      <c r="AY71" s="68">
        <v>-0.2</v>
      </c>
      <c r="AZ71" s="68"/>
      <c r="BA71" s="68"/>
      <c r="BB71" s="658"/>
    </row>
    <row r="72" spans="1:59" ht="20.149999999999999" customHeight="1">
      <c r="A72" s="70" t="s">
        <v>447</v>
      </c>
      <c r="B72" s="674" t="s">
        <v>448</v>
      </c>
      <c r="C72" s="68"/>
      <c r="D72" s="68"/>
      <c r="E72" s="68"/>
      <c r="F72" s="68"/>
      <c r="G72" s="657"/>
      <c r="H72" s="68"/>
      <c r="I72" s="68"/>
      <c r="J72" s="658"/>
      <c r="K72" s="68"/>
      <c r="L72" s="68"/>
      <c r="M72" s="68"/>
      <c r="N72" s="68"/>
      <c r="O72" s="657"/>
      <c r="P72" s="68"/>
      <c r="Q72" s="68"/>
      <c r="R72" s="658"/>
      <c r="S72" s="68"/>
      <c r="T72" s="68"/>
      <c r="U72" s="68"/>
      <c r="V72" s="68"/>
      <c r="W72" s="657"/>
      <c r="X72" s="68"/>
      <c r="Y72" s="68"/>
      <c r="Z72" s="658"/>
      <c r="AA72" s="68"/>
      <c r="AB72" s="68"/>
      <c r="AC72" s="68"/>
      <c r="AD72" s="68"/>
      <c r="AE72" s="657"/>
      <c r="AF72" s="68"/>
      <c r="AG72" s="68"/>
      <c r="AH72" s="658"/>
      <c r="AI72" s="68"/>
      <c r="AJ72" s="68"/>
      <c r="AK72" s="68"/>
      <c r="AL72" s="68"/>
      <c r="AM72" s="657"/>
      <c r="AN72" s="68"/>
      <c r="AO72" s="68"/>
      <c r="AP72" s="658"/>
      <c r="AQ72" s="68">
        <v>-108.5</v>
      </c>
      <c r="AR72" s="68">
        <v>-95.5</v>
      </c>
      <c r="AS72" s="68">
        <v>0</v>
      </c>
      <c r="AT72" s="658">
        <v>0</v>
      </c>
      <c r="AU72" s="68">
        <v>0</v>
      </c>
      <c r="AV72" s="68">
        <v>0</v>
      </c>
      <c r="AW72" s="68">
        <v>0</v>
      </c>
      <c r="AX72" s="658">
        <v>0</v>
      </c>
      <c r="AY72" s="68">
        <v>0</v>
      </c>
      <c r="AZ72" s="68"/>
      <c r="BA72" s="68"/>
      <c r="BB72" s="658"/>
    </row>
    <row r="73" spans="1:59" s="266" customFormat="1" ht="25" customHeight="1">
      <c r="A73" s="386" t="s">
        <v>449</v>
      </c>
      <c r="B73" s="676" t="s">
        <v>450</v>
      </c>
      <c r="C73" s="387">
        <f>C69+C70+C71</f>
        <v>421.89699999999999</v>
      </c>
      <c r="D73" s="387">
        <f t="shared" ref="D73:R73" si="42">D70+D69+D71</f>
        <v>309.51900000000001</v>
      </c>
      <c r="E73" s="387">
        <f t="shared" si="42"/>
        <v>225.11100000000005</v>
      </c>
      <c r="F73" s="387">
        <f t="shared" si="42"/>
        <v>270.35400000000004</v>
      </c>
      <c r="G73" s="662">
        <f t="shared" si="42"/>
        <v>324.33799999999997</v>
      </c>
      <c r="H73" s="387">
        <f t="shared" si="42"/>
        <v>265.803</v>
      </c>
      <c r="I73" s="387">
        <f t="shared" si="42"/>
        <v>215.39599999999982</v>
      </c>
      <c r="J73" s="663">
        <f t="shared" si="42"/>
        <v>342.25099999999981</v>
      </c>
      <c r="K73" s="387">
        <f t="shared" si="42"/>
        <v>428.19000000000005</v>
      </c>
      <c r="L73" s="387">
        <f t="shared" si="42"/>
        <v>1906.8999999999999</v>
      </c>
      <c r="M73" s="387">
        <f t="shared" si="42"/>
        <v>1643.2</v>
      </c>
      <c r="N73" s="387">
        <f t="shared" si="42"/>
        <v>1747.8999999999999</v>
      </c>
      <c r="O73" s="662">
        <f t="shared" si="42"/>
        <v>1491.6000000000001</v>
      </c>
      <c r="P73" s="387">
        <f t="shared" si="42"/>
        <v>1396.5999999999997</v>
      </c>
      <c r="Q73" s="387">
        <f t="shared" si="42"/>
        <v>1071.9999999999991</v>
      </c>
      <c r="R73" s="663">
        <f t="shared" si="42"/>
        <v>1523.6999999999989</v>
      </c>
      <c r="S73" s="387">
        <f t="shared" ref="S73:Z73" si="43">S70+S69+S71</f>
        <v>1569.9999999999984</v>
      </c>
      <c r="T73" s="387">
        <f t="shared" si="43"/>
        <v>955.39999999999884</v>
      </c>
      <c r="U73" s="387">
        <f t="shared" si="43"/>
        <v>1110.1999999999998</v>
      </c>
      <c r="V73" s="387">
        <f t="shared" si="43"/>
        <v>1336.6999999999989</v>
      </c>
      <c r="W73" s="662">
        <f t="shared" si="43"/>
        <v>1577.299999999999</v>
      </c>
      <c r="X73" s="387">
        <f t="shared" si="43"/>
        <v>1362.5999999999988</v>
      </c>
      <c r="Y73" s="387">
        <f t="shared" si="43"/>
        <v>1088.3999999999985</v>
      </c>
      <c r="Z73" s="663">
        <f t="shared" si="43"/>
        <v>1171.9999999999995</v>
      </c>
      <c r="AA73" s="387">
        <f t="shared" ref="AA73:AD73" si="44">AA70+AA69+AA71</f>
        <v>797.49999999999966</v>
      </c>
      <c r="AB73" s="387">
        <f t="shared" si="44"/>
        <v>887.7999999999995</v>
      </c>
      <c r="AC73" s="387">
        <f t="shared" si="44"/>
        <v>1163.0999999999997</v>
      </c>
      <c r="AD73" s="387">
        <f t="shared" si="44"/>
        <v>1178.6999999999994</v>
      </c>
      <c r="AE73" s="662">
        <f t="shared" ref="AE73:AH73" si="45">AE70+AE69+AE71</f>
        <v>757.00000000000011</v>
      </c>
      <c r="AF73" s="387">
        <f>AF70+AF69+AF71</f>
        <v>783.7999999999995</v>
      </c>
      <c r="AG73" s="387">
        <f t="shared" si="45"/>
        <v>886.2</v>
      </c>
      <c r="AH73" s="663">
        <f t="shared" si="45"/>
        <v>753.09999999999877</v>
      </c>
      <c r="AI73" s="387">
        <f t="shared" ref="AI73" si="46">AI70+AI69+AI71</f>
        <v>757.00000000000011</v>
      </c>
      <c r="AJ73" s="387">
        <f>AJ70+AJ69+AJ71</f>
        <v>783.7999999999995</v>
      </c>
      <c r="AK73" s="387">
        <f t="shared" ref="AK73:AL73" si="47">AK70+AK69+AK71</f>
        <v>886.2000000000005</v>
      </c>
      <c r="AL73" s="387">
        <f t="shared" si="47"/>
        <v>753.09999999999786</v>
      </c>
      <c r="AM73" s="662">
        <f t="shared" ref="AM73" si="48">AM70+AM69+AM71</f>
        <v>1140.7888265199979</v>
      </c>
      <c r="AN73" s="387">
        <f>AN70+AN69+AN71</f>
        <v>1320.5000000000005</v>
      </c>
      <c r="AO73" s="387">
        <f t="shared" ref="AO73:AP73" si="49">AO70+AO69+AO71</f>
        <v>1164.2</v>
      </c>
      <c r="AP73" s="663">
        <f t="shared" si="49"/>
        <v>1365.799999999999</v>
      </c>
      <c r="AQ73" s="387">
        <f>AQ70+AQ69+AQ71+AQ72</f>
        <v>1158.799999999999</v>
      </c>
      <c r="AR73" s="387">
        <f>AR70+AR69+AR71+AR72</f>
        <v>668.49999999999909</v>
      </c>
      <c r="AS73" s="387">
        <f t="shared" ref="AS73:AT73" si="50">AS70+AS69+AS71</f>
        <v>7472.3</v>
      </c>
      <c r="AT73" s="663">
        <f t="shared" si="50"/>
        <v>3644.2999999999965</v>
      </c>
      <c r="AU73" s="387">
        <f>AU70+AU69+AU71+AU72</f>
        <v>3353.6999999999966</v>
      </c>
      <c r="AV73" s="387">
        <f>AV70+AV69+AV71+AV72</f>
        <v>1061.9999999999966</v>
      </c>
      <c r="AW73" s="387">
        <f t="shared" ref="AW73:AX73" si="51">AW70+AW69+AW71</f>
        <v>1596.0999999999967</v>
      </c>
      <c r="AX73" s="663">
        <f t="shared" si="51"/>
        <v>817.7999999999962</v>
      </c>
      <c r="AY73" s="387">
        <f>AY70+AY69+AY71+AY72</f>
        <v>1473.3999999999967</v>
      </c>
      <c r="AZ73" s="387">
        <f>AZ70+AZ69+AZ71+AZ72</f>
        <v>0</v>
      </c>
      <c r="BA73" s="387">
        <f t="shared" ref="BA73:BB73" si="52">BA70+BA69+BA71</f>
        <v>0</v>
      </c>
      <c r="BB73" s="663">
        <f t="shared" si="52"/>
        <v>0</v>
      </c>
      <c r="BC73" s="893"/>
      <c r="BD73" s="894"/>
    </row>
    <row r="74" spans="1:59">
      <c r="N74" s="235"/>
      <c r="AE74" s="4"/>
      <c r="AF74" s="4"/>
      <c r="AG74" s="4"/>
      <c r="AH74" s="4"/>
      <c r="AI74" s="4"/>
      <c r="AJ74" s="4"/>
      <c r="AK74" s="4"/>
      <c r="AL74" s="4"/>
      <c r="AM74" s="4"/>
      <c r="AN74" s="4"/>
      <c r="AO74" s="4"/>
      <c r="AP74" s="4"/>
      <c r="AQ74" s="4"/>
      <c r="AR74" s="4"/>
      <c r="AS74" s="4"/>
      <c r="AT74" s="4"/>
      <c r="AU74" s="4"/>
      <c r="AV74" s="4"/>
      <c r="AW74" s="4"/>
      <c r="AX74" s="4"/>
      <c r="AY74" s="4"/>
      <c r="AZ74" s="4"/>
      <c r="BA74" s="4"/>
      <c r="BB74" s="4"/>
    </row>
    <row r="75" spans="1:59" s="6" customFormat="1" ht="38.6">
      <c r="A75" s="118" t="s">
        <v>451</v>
      </c>
      <c r="B75" s="118" t="s">
        <v>452</v>
      </c>
      <c r="N75" s="16"/>
      <c r="AB75" s="74"/>
    </row>
    <row r="76" spans="1:59" s="6" customFormat="1" ht="19.5" customHeight="1">
      <c r="A76" s="118" t="s">
        <v>453</v>
      </c>
      <c r="B76" s="118" t="s">
        <v>454</v>
      </c>
      <c r="N76" s="16"/>
      <c r="AB76" s="74"/>
    </row>
    <row r="77" spans="1:59" s="6" customFormat="1" ht="44.25" customHeight="1">
      <c r="A77" s="118" t="s">
        <v>455</v>
      </c>
      <c r="B77" s="118" t="s">
        <v>456</v>
      </c>
      <c r="N77" s="16"/>
      <c r="AB77" s="90"/>
    </row>
    <row r="78" spans="1:59" s="6" customFormat="1" ht="29.25" customHeight="1">
      <c r="A78" s="118" t="s">
        <v>457</v>
      </c>
      <c r="B78" s="118" t="s">
        <v>458</v>
      </c>
      <c r="N78" s="16"/>
      <c r="AB78" s="90"/>
    </row>
    <row r="79" spans="1:59" s="6" customFormat="1" ht="51" customHeight="1">
      <c r="A79" s="118" t="s">
        <v>459</v>
      </c>
      <c r="B79" s="118" t="s">
        <v>460</v>
      </c>
      <c r="N79" s="16"/>
      <c r="AB79" s="90"/>
    </row>
    <row r="80" spans="1:59" s="6" customFormat="1" ht="24" customHeight="1">
      <c r="A80" s="118" t="s">
        <v>461</v>
      </c>
      <c r="B80" s="118" t="s">
        <v>462</v>
      </c>
      <c r="N80" s="16"/>
      <c r="AB80" s="91"/>
    </row>
    <row r="81" spans="1:30" s="6" customFormat="1" ht="68.25" customHeight="1">
      <c r="A81" s="118" t="s">
        <v>463</v>
      </c>
      <c r="B81" s="118" t="s">
        <v>464</v>
      </c>
      <c r="N81" s="16"/>
      <c r="AB81" s="91"/>
      <c r="AD81" s="6" t="s">
        <v>465</v>
      </c>
    </row>
    <row r="82" spans="1:30" s="6" customFormat="1" ht="21.75" customHeight="1">
      <c r="A82" s="118" t="s">
        <v>466</v>
      </c>
      <c r="B82" s="118" t="s">
        <v>467</v>
      </c>
      <c r="N82" s="16"/>
      <c r="AB82" s="90"/>
    </row>
    <row r="83" spans="1:30" s="6" customFormat="1">
      <c r="A83" s="118"/>
      <c r="B83" s="118"/>
      <c r="N83" s="16"/>
      <c r="AB83" s="90"/>
    </row>
    <row r="84" spans="1:30" s="6" customFormat="1">
      <c r="A84" s="118"/>
      <c r="B84" s="118"/>
      <c r="N84" s="16"/>
      <c r="AB84" s="90"/>
    </row>
    <row r="85" spans="1:30" s="6" customFormat="1">
      <c r="A85" s="118"/>
      <c r="B85" s="118"/>
      <c r="N85" s="16"/>
      <c r="AB85" s="90"/>
    </row>
    <row r="86" spans="1:30" s="6" customFormat="1">
      <c r="A86" s="118"/>
      <c r="B86" s="118"/>
      <c r="N86" s="16"/>
      <c r="AB86" s="90"/>
    </row>
    <row r="87" spans="1:30" s="6" customFormat="1">
      <c r="A87" s="118"/>
      <c r="B87" s="118"/>
      <c r="N87" s="16"/>
      <c r="AB87" s="90"/>
    </row>
    <row r="88" spans="1:30" s="6" customFormat="1">
      <c r="A88" s="118"/>
      <c r="B88" s="118"/>
      <c r="N88" s="16"/>
      <c r="AB88" s="90"/>
    </row>
    <row r="89" spans="1:30" s="6" customFormat="1" ht="14.15">
      <c r="A89" s="118"/>
      <c r="B89" s="118"/>
      <c r="N89" s="16"/>
      <c r="AB89" s="91"/>
    </row>
    <row r="90" spans="1:30" s="6" customFormat="1" ht="14.15">
      <c r="A90" s="118"/>
      <c r="B90" s="118"/>
      <c r="N90" s="16"/>
      <c r="AB90" s="92"/>
    </row>
    <row r="91" spans="1:30" s="6" customFormat="1">
      <c r="A91" s="118"/>
      <c r="B91" s="118"/>
      <c r="N91" s="16"/>
      <c r="AB91" s="90"/>
    </row>
    <row r="92" spans="1:30" s="6" customFormat="1">
      <c r="A92" s="118"/>
      <c r="B92" s="118"/>
      <c r="N92" s="16"/>
      <c r="AB92" s="90"/>
    </row>
    <row r="93" spans="1:30" s="6" customFormat="1">
      <c r="A93" s="118"/>
      <c r="B93" s="118"/>
      <c r="N93" s="16"/>
      <c r="AB93" s="90"/>
    </row>
    <row r="94" spans="1:30" s="6" customFormat="1">
      <c r="A94" s="118"/>
      <c r="B94" s="118"/>
      <c r="N94" s="16"/>
      <c r="AB94" s="90"/>
    </row>
    <row r="95" spans="1:30" s="6" customFormat="1">
      <c r="A95" s="118"/>
      <c r="B95" s="118"/>
      <c r="N95" s="16"/>
      <c r="AB95" s="90"/>
    </row>
    <row r="96" spans="1:30" s="6" customFormat="1">
      <c r="A96" s="118"/>
      <c r="B96" s="118"/>
      <c r="N96" s="16"/>
      <c r="AB96" s="90"/>
    </row>
    <row r="97" spans="1:28" s="6" customFormat="1">
      <c r="A97" s="118"/>
      <c r="B97" s="118"/>
      <c r="N97" s="16"/>
      <c r="AB97" s="90"/>
    </row>
    <row r="98" spans="1:28" s="6" customFormat="1">
      <c r="A98" s="118"/>
      <c r="B98" s="118"/>
      <c r="N98" s="16"/>
      <c r="AB98" s="68"/>
    </row>
    <row r="99" spans="1:28" s="6" customFormat="1">
      <c r="A99" s="118"/>
      <c r="B99" s="118"/>
      <c r="N99" s="16"/>
      <c r="AB99" s="93"/>
    </row>
    <row r="100" spans="1:28" s="6" customFormat="1">
      <c r="A100" s="118"/>
      <c r="B100" s="118"/>
      <c r="N100" s="16"/>
      <c r="AB100" s="68"/>
    </row>
    <row r="101" spans="1:28" s="6" customFormat="1">
      <c r="A101" s="118"/>
      <c r="B101" s="118"/>
      <c r="N101" s="16"/>
      <c r="AB101" s="68"/>
    </row>
    <row r="102" spans="1:28" s="6" customFormat="1">
      <c r="A102" s="118"/>
      <c r="B102" s="118"/>
      <c r="N102" s="16"/>
      <c r="AB102" s="93"/>
    </row>
    <row r="103" spans="1:28" s="6" customFormat="1">
      <c r="A103" s="118"/>
      <c r="B103" s="118"/>
      <c r="N103" s="16"/>
      <c r="AB103" s="68"/>
    </row>
    <row r="104" spans="1:28" s="6" customFormat="1">
      <c r="A104" s="118"/>
      <c r="B104" s="118"/>
      <c r="N104" s="16"/>
      <c r="AB104" s="68"/>
    </row>
    <row r="105" spans="1:28" s="6" customFormat="1">
      <c r="A105" s="118"/>
      <c r="B105" s="118"/>
      <c r="N105" s="16"/>
      <c r="AB105" s="68"/>
    </row>
    <row r="106" spans="1:28" s="6" customFormat="1">
      <c r="A106" s="118"/>
      <c r="B106" s="118"/>
      <c r="N106" s="16"/>
      <c r="AB106" s="68"/>
    </row>
    <row r="107" spans="1:28" s="6" customFormat="1">
      <c r="A107" s="118"/>
      <c r="B107" s="118"/>
      <c r="N107" s="16"/>
      <c r="AB107" s="68"/>
    </row>
    <row r="108" spans="1:28" s="6" customFormat="1">
      <c r="A108" s="118"/>
      <c r="B108" s="118"/>
      <c r="N108" s="16"/>
      <c r="AB108" s="68"/>
    </row>
    <row r="109" spans="1:28" s="6" customFormat="1">
      <c r="A109" s="118"/>
      <c r="B109" s="118"/>
      <c r="N109" s="16"/>
      <c r="AB109" s="68"/>
    </row>
    <row r="110" spans="1:28" s="6" customFormat="1">
      <c r="A110" s="118"/>
      <c r="B110" s="118"/>
      <c r="N110" s="16"/>
      <c r="AB110" s="68"/>
    </row>
    <row r="111" spans="1:28" s="6" customFormat="1">
      <c r="A111" s="118"/>
      <c r="B111" s="118"/>
      <c r="N111" s="16"/>
      <c r="AB111" s="68"/>
    </row>
    <row r="112" spans="1:28" s="6" customFormat="1">
      <c r="A112" s="118"/>
      <c r="B112" s="118"/>
      <c r="N112" s="16"/>
      <c r="AB112" s="68"/>
    </row>
    <row r="113" spans="1:28" s="6" customFormat="1">
      <c r="A113" s="118"/>
      <c r="B113" s="118"/>
      <c r="AB113" s="68"/>
    </row>
    <row r="114" spans="1:28" s="6" customFormat="1">
      <c r="A114" s="118"/>
      <c r="B114" s="118"/>
      <c r="AB114" s="68"/>
    </row>
    <row r="115" spans="1:28" s="6" customFormat="1" ht="14.15">
      <c r="A115" s="118"/>
      <c r="B115" s="118"/>
      <c r="AB115" s="92"/>
    </row>
    <row r="116" spans="1:28" s="6" customFormat="1">
      <c r="A116" s="118"/>
      <c r="B116" s="118"/>
      <c r="AB116" s="68"/>
    </row>
    <row r="117" spans="1:28" s="6" customFormat="1">
      <c r="A117" s="118"/>
      <c r="B117" s="118"/>
      <c r="AB117" s="68"/>
    </row>
    <row r="118" spans="1:28" s="6" customFormat="1">
      <c r="A118" s="118"/>
      <c r="B118" s="118"/>
      <c r="AB118" s="93"/>
    </row>
    <row r="119" spans="1:28" s="6" customFormat="1">
      <c r="A119" s="118"/>
      <c r="B119" s="118"/>
      <c r="AB119" s="68"/>
    </row>
    <row r="120" spans="1:28" s="6" customFormat="1">
      <c r="A120" s="118"/>
      <c r="B120" s="118"/>
      <c r="AB120" s="68"/>
    </row>
    <row r="121" spans="1:28" s="6" customFormat="1">
      <c r="A121" s="118"/>
      <c r="B121" s="118"/>
      <c r="AB121" s="68"/>
    </row>
    <row r="122" spans="1:28" s="6" customFormat="1">
      <c r="A122" s="118"/>
      <c r="B122" s="118"/>
      <c r="AB122" s="68"/>
    </row>
    <row r="123" spans="1:28" s="6" customFormat="1">
      <c r="A123" s="118"/>
      <c r="B123" s="118"/>
      <c r="AB123" s="68"/>
    </row>
    <row r="124" spans="1:28" s="6" customFormat="1">
      <c r="A124" s="118"/>
      <c r="B124" s="118"/>
      <c r="AB124" s="68"/>
    </row>
    <row r="125" spans="1:28" s="6" customFormat="1">
      <c r="A125" s="118"/>
      <c r="B125" s="118"/>
      <c r="AB125" s="68"/>
    </row>
    <row r="126" spans="1:28" s="6" customFormat="1">
      <c r="A126" s="118"/>
      <c r="B126" s="118"/>
      <c r="AB126" s="68"/>
    </row>
    <row r="127" spans="1:28" s="6" customFormat="1">
      <c r="A127" s="118"/>
      <c r="B127" s="118"/>
      <c r="AB127" s="68"/>
    </row>
    <row r="128" spans="1:28" s="6" customFormat="1">
      <c r="A128" s="118"/>
      <c r="B128" s="118"/>
      <c r="AB128" s="68"/>
    </row>
    <row r="129" spans="1:28" s="6" customFormat="1">
      <c r="A129" s="118"/>
      <c r="B129" s="118"/>
      <c r="AB129" s="93"/>
    </row>
    <row r="130" spans="1:28" s="6" customFormat="1">
      <c r="A130" s="118"/>
      <c r="B130" s="118"/>
      <c r="AB130" s="93"/>
    </row>
    <row r="131" spans="1:28" s="6" customFormat="1">
      <c r="A131" s="118"/>
      <c r="B131" s="118"/>
      <c r="AB131" s="93"/>
    </row>
    <row r="132" spans="1:28" s="6" customFormat="1">
      <c r="A132" s="118"/>
      <c r="B132" s="118"/>
      <c r="AB132" s="68"/>
    </row>
    <row r="133" spans="1:28" s="6" customFormat="1">
      <c r="A133" s="118"/>
      <c r="B133" s="118"/>
      <c r="AB133" s="93"/>
    </row>
    <row r="134" spans="1:28" s="6" customFormat="1">
      <c r="A134" s="118"/>
      <c r="B134" s="118"/>
      <c r="AB134" s="4"/>
    </row>
    <row r="135" spans="1:28" s="6" customFormat="1">
      <c r="A135" s="118"/>
      <c r="B135" s="118"/>
      <c r="AB135" s="4"/>
    </row>
    <row r="136" spans="1:28" s="6" customFormat="1">
      <c r="A136" s="118"/>
      <c r="B136" s="118"/>
      <c r="AB136" s="4"/>
    </row>
    <row r="137" spans="1:28" s="6" customFormat="1">
      <c r="A137" s="118"/>
      <c r="B137" s="118"/>
      <c r="AB137" s="4"/>
    </row>
    <row r="138" spans="1:28" s="6" customFormat="1">
      <c r="A138" s="118"/>
      <c r="B138" s="118"/>
      <c r="AB138" s="4"/>
    </row>
    <row r="139" spans="1:28" s="6" customFormat="1">
      <c r="A139" s="118"/>
      <c r="B139" s="118"/>
      <c r="AB139" s="4"/>
    </row>
    <row r="140" spans="1:28" s="6" customFormat="1">
      <c r="A140" s="118"/>
      <c r="B140" s="118"/>
      <c r="AB140" s="4"/>
    </row>
    <row r="141" spans="1:28" s="6" customFormat="1">
      <c r="A141" s="118"/>
      <c r="B141" s="118"/>
      <c r="AB141" s="4"/>
    </row>
    <row r="142" spans="1:28" s="6" customFormat="1">
      <c r="A142" s="118"/>
      <c r="B142" s="118"/>
      <c r="AB142" s="4"/>
    </row>
    <row r="143" spans="1:28" s="6" customFormat="1">
      <c r="A143" s="118"/>
      <c r="B143" s="118"/>
      <c r="AB143" s="4"/>
    </row>
    <row r="144" spans="1:28" s="6" customFormat="1">
      <c r="A144" s="118"/>
      <c r="B144" s="118"/>
      <c r="AB144" s="4"/>
    </row>
    <row r="145" spans="1:30" s="6" customFormat="1">
      <c r="A145" s="118"/>
      <c r="B145" s="118"/>
      <c r="AB145" s="4"/>
    </row>
    <row r="146" spans="1:30" s="6" customFormat="1">
      <c r="A146" s="118"/>
      <c r="B146" s="118"/>
      <c r="AB146" s="4"/>
    </row>
    <row r="147" spans="1:30" s="6" customFormat="1">
      <c r="A147" s="118"/>
      <c r="B147" s="118"/>
      <c r="AB147" s="4"/>
    </row>
    <row r="148" spans="1:30" s="6" customFormat="1">
      <c r="A148" s="118"/>
      <c r="B148" s="118"/>
      <c r="AB148" s="4"/>
    </row>
    <row r="149" spans="1:30" s="6" customFormat="1">
      <c r="A149" s="118"/>
      <c r="B149" s="118"/>
      <c r="AB149" s="4"/>
    </row>
    <row r="150" spans="1:30" s="6" customFormat="1">
      <c r="A150" s="118"/>
      <c r="B150" s="118"/>
      <c r="AB150" s="4"/>
    </row>
    <row r="151" spans="1:30" s="6" customFormat="1">
      <c r="A151" s="118"/>
      <c r="B151" s="118"/>
      <c r="AB151" s="4"/>
    </row>
    <row r="152" spans="1:30">
      <c r="A152" s="118"/>
      <c r="B152" s="118"/>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C152" s="6"/>
      <c r="AD152" s="6"/>
    </row>
  </sheetData>
  <customSheetViews>
    <customSheetView guid="{ED9E521F-BC9B-4E88-8A9F-5288A046401B}" showPageBreaks="1" showGridLines="0" fitToPage="1" printArea="1">
      <pane xSplit="1" ySplit="4" topLeftCell="AP5" activePane="bottomRight" state="frozen"/>
      <selection pane="bottomRight" activeCell="AR24" sqref="AR24"/>
      <pageMargins left="0" right="0" top="0" bottom="0" header="0" footer="0"/>
      <pageSetup paperSize="9" scale="29" orientation="landscape" horizontalDpi="1200" verticalDpi="1200" r:id="rId1"/>
    </customSheetView>
    <customSheetView guid="{634BFE77-A2AA-4FA6-8ED5-F02244B9F10C}" showPageBreaks="1" showGridLines="0" fitToPage="1" printArea="1" hiddenColumns="1">
      <pane xSplit="1" ySplit="4" topLeftCell="AI54" activePane="bottomRight" state="frozen"/>
      <selection pane="bottomRight" activeCell="AQ68" sqref="AQ68"/>
      <pageMargins left="0" right="0" top="0" bottom="0" header="0" footer="0"/>
      <pageSetup paperSize="9" scale="30" orientation="landscape" horizontalDpi="1200" verticalDpi="1200"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80" showPageBreaks="1" showGridLines="0" fitToPage="1" printArea="1" hiddenColumns="1">
      <pane xSplit="1" ySplit="4" topLeftCell="AN62" activePane="bottomRight" state="frozen"/>
      <selection pane="bottomRight" activeCell="AR72" sqref="AR72"/>
      <pageMargins left="0" right="0" top="0" bottom="0" header="0" footer="0"/>
      <pageSetup paperSize="9" scale="29" orientation="landscape" horizontalDpi="1200" verticalDpi="1200" r:id="rId3"/>
    </customSheetView>
    <customSheetView guid="{B87BD74C-18F3-4393-BF03-31B25889E08F}" showGridLines="0" fitToPage="1" hiddenColumns="1">
      <pane xSplit="1" ySplit="4" topLeftCell="AI26" activePane="bottomRight" state="frozen"/>
      <selection pane="bottomRight" activeCell="AQ30" sqref="AQ30"/>
      <pageMargins left="0" right="0" top="0" bottom="0" header="0" footer="0"/>
      <pageSetup paperSize="9" scale="30" orientation="landscape" horizontalDpi="1200" verticalDpi="1200" r:id="rId4"/>
    </customSheetView>
  </customSheetViews>
  <mergeCells count="13">
    <mergeCell ref="AY2:BB2"/>
    <mergeCell ref="AU2:AX2"/>
    <mergeCell ref="W2:Z2"/>
    <mergeCell ref="C2:F2"/>
    <mergeCell ref="G2:J2"/>
    <mergeCell ref="K2:N2"/>
    <mergeCell ref="O2:R2"/>
    <mergeCell ref="S2:V2"/>
    <mergeCell ref="AQ2:AT2"/>
    <mergeCell ref="AM2:AP2"/>
    <mergeCell ref="AI2:AL2"/>
    <mergeCell ref="AE2:AH2"/>
    <mergeCell ref="AA2:AD2"/>
  </mergeCells>
  <pageMargins left="0.70866141732283505" right="0.70866141732283505" top="0.74803149606299202" bottom="0.74803149606299202" header="0.31496062992126" footer="0.31496062992126"/>
  <pageSetup paperSize="9" scale="29" orientation="landscape" horizontalDpi="1200" verticalDpi="1200" r:id="rId5"/>
  <headerFooter>
    <oddFooter>&amp;L&amp;1#&amp;"Calibri"&amp;8&amp;K000000TAJEMNICA PRZEDSIĘBIORSTWA w rozumieniu art. 11 ust. 2 ustawy z dnia 16 kwietnia 1993 r. o zwalczaniu nieuczciwej konkurencji – DO UŻYTKU SŁUŻBOWEGO</oddFooter>
  </headerFooter>
  <ignoredErrors>
    <ignoredError sqref="AC35" formulaRange="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9"/>
  <sheetViews>
    <sheetView showGridLines="0" zoomScale="115" zoomScaleNormal="115" zoomScaleSheetLayoutView="70" workbookViewId="0">
      <pane xSplit="2" topLeftCell="BL1" activePane="topRight" state="frozen"/>
      <selection pane="topRight" activeCell="BT10" sqref="BT10"/>
    </sheetView>
  </sheetViews>
  <sheetFormatPr defaultColWidth="9" defaultRowHeight="12" outlineLevelCol="1"/>
  <cols>
    <col min="1" max="2" width="35.140625" style="456" customWidth="1"/>
    <col min="3" max="6" width="8.640625" style="456" customWidth="1"/>
    <col min="7" max="10" width="8.640625" style="456" customWidth="1" outlineLevel="1"/>
    <col min="11" max="11" width="8.640625" style="456" customWidth="1"/>
    <col min="12" max="15" width="8.640625" style="456" customWidth="1" outlineLevel="1"/>
    <col min="16" max="16" width="8.640625" style="456" customWidth="1"/>
    <col min="17" max="20" width="8.640625" style="456" customWidth="1" outlineLevel="1"/>
    <col min="21" max="62" width="8.640625" style="456" customWidth="1"/>
    <col min="63" max="65" width="9" style="456"/>
    <col min="66" max="67" width="8.640625" style="456" customWidth="1"/>
    <col min="68" max="70" width="9" style="456"/>
    <col min="71" max="72" width="8.640625" style="456" customWidth="1"/>
    <col min="73" max="16384" width="9" style="456"/>
  </cols>
  <sheetData>
    <row r="1" spans="1:72" ht="94.5" customHeight="1">
      <c r="A1" s="455"/>
      <c r="B1" s="455"/>
      <c r="AP1" s="504"/>
      <c r="AQ1" s="504"/>
      <c r="AR1" s="504"/>
      <c r="AS1" s="504"/>
      <c r="AT1" s="505"/>
      <c r="AU1" s="504"/>
      <c r="AV1" s="504"/>
      <c r="AW1" s="504"/>
      <c r="AX1" s="504"/>
      <c r="AY1" s="505"/>
      <c r="AZ1" s="504"/>
      <c r="BA1" s="504"/>
      <c r="BB1" s="504"/>
      <c r="BC1" s="504"/>
      <c r="BD1" s="505"/>
      <c r="BE1" s="504"/>
      <c r="BF1" s="504"/>
      <c r="BG1" s="504"/>
      <c r="BH1" s="504"/>
      <c r="BI1" s="505"/>
      <c r="BJ1" s="504"/>
      <c r="BK1" s="504"/>
      <c r="BL1" s="504"/>
      <c r="BM1" s="504"/>
      <c r="BN1" s="505"/>
      <c r="BO1" s="504"/>
      <c r="BP1" s="504"/>
      <c r="BQ1" s="504"/>
      <c r="BR1" s="504"/>
      <c r="BS1" s="505"/>
      <c r="BT1" s="504"/>
    </row>
    <row r="2" spans="1:72" s="461" customFormat="1" ht="41.6">
      <c r="A2" s="462" t="s">
        <v>468</v>
      </c>
      <c r="B2" s="457" t="s">
        <v>469</v>
      </c>
      <c r="C2" s="458">
        <v>2006</v>
      </c>
      <c r="D2" s="458">
        <v>2007</v>
      </c>
      <c r="E2" s="458">
        <v>2008</v>
      </c>
      <c r="F2" s="458">
        <v>2009</v>
      </c>
      <c r="G2" s="459" t="s">
        <v>470</v>
      </c>
      <c r="H2" s="459" t="s">
        <v>471</v>
      </c>
      <c r="I2" s="459" t="s">
        <v>472</v>
      </c>
      <c r="J2" s="459" t="s">
        <v>473</v>
      </c>
      <c r="K2" s="458">
        <v>2010</v>
      </c>
      <c r="L2" s="459" t="s">
        <v>474</v>
      </c>
      <c r="M2" s="459" t="s">
        <v>475</v>
      </c>
      <c r="N2" s="459" t="s">
        <v>476</v>
      </c>
      <c r="O2" s="459" t="s">
        <v>477</v>
      </c>
      <c r="P2" s="458">
        <v>2011</v>
      </c>
      <c r="Q2" s="459" t="s">
        <v>478</v>
      </c>
      <c r="R2" s="459" t="s">
        <v>479</v>
      </c>
      <c r="S2" s="459" t="s">
        <v>480</v>
      </c>
      <c r="T2" s="459" t="s">
        <v>481</v>
      </c>
      <c r="U2" s="458">
        <v>2012</v>
      </c>
      <c r="V2" s="459" t="s">
        <v>482</v>
      </c>
      <c r="W2" s="459" t="s">
        <v>483</v>
      </c>
      <c r="X2" s="459" t="s">
        <v>484</v>
      </c>
      <c r="Y2" s="459" t="s">
        <v>485</v>
      </c>
      <c r="Z2" s="458">
        <v>2013</v>
      </c>
      <c r="AA2" s="459" t="s">
        <v>486</v>
      </c>
      <c r="AB2" s="459" t="s">
        <v>487</v>
      </c>
      <c r="AC2" s="459" t="s">
        <v>488</v>
      </c>
      <c r="AD2" s="459" t="s">
        <v>489</v>
      </c>
      <c r="AE2" s="458">
        <v>2014</v>
      </c>
      <c r="AF2" s="459" t="s">
        <v>490</v>
      </c>
      <c r="AG2" s="459" t="s">
        <v>491</v>
      </c>
      <c r="AH2" s="459" t="s">
        <v>492</v>
      </c>
      <c r="AI2" s="459" t="s">
        <v>493</v>
      </c>
      <c r="AJ2" s="458">
        <v>2015</v>
      </c>
      <c r="AK2" s="459" t="s">
        <v>494</v>
      </c>
      <c r="AL2" s="459" t="s">
        <v>495</v>
      </c>
      <c r="AM2" s="459" t="s">
        <v>496</v>
      </c>
      <c r="AN2" s="459" t="s">
        <v>497</v>
      </c>
      <c r="AO2" s="458">
        <v>2016</v>
      </c>
      <c r="AP2" s="464" t="s">
        <v>498</v>
      </c>
      <c r="AQ2" s="464" t="s">
        <v>499</v>
      </c>
      <c r="AR2" s="464" t="s">
        <v>500</v>
      </c>
      <c r="AS2" s="464" t="s">
        <v>501</v>
      </c>
      <c r="AT2" s="465" t="s">
        <v>502</v>
      </c>
      <c r="AU2" s="464" t="s">
        <v>503</v>
      </c>
      <c r="AV2" s="464" t="s">
        <v>504</v>
      </c>
      <c r="AW2" s="464" t="s">
        <v>505</v>
      </c>
      <c r="AX2" s="464" t="s">
        <v>506</v>
      </c>
      <c r="AY2" s="465" t="s">
        <v>507</v>
      </c>
      <c r="AZ2" s="464" t="s">
        <v>508</v>
      </c>
      <c r="BA2" s="464" t="s">
        <v>509</v>
      </c>
      <c r="BB2" s="464" t="s">
        <v>510</v>
      </c>
      <c r="BC2" s="464" t="s">
        <v>510</v>
      </c>
      <c r="BD2" s="465" t="s">
        <v>511</v>
      </c>
      <c r="BE2" s="464" t="s">
        <v>512</v>
      </c>
      <c r="BF2" s="464" t="s">
        <v>513</v>
      </c>
      <c r="BG2" s="464" t="s">
        <v>514</v>
      </c>
      <c r="BH2" s="464" t="s">
        <v>515</v>
      </c>
      <c r="BI2" s="465" t="s">
        <v>516</v>
      </c>
      <c r="BJ2" s="464" t="s">
        <v>517</v>
      </c>
      <c r="BK2" s="464" t="s">
        <v>518</v>
      </c>
      <c r="BL2" s="464" t="s">
        <v>519</v>
      </c>
      <c r="BM2" s="464" t="s">
        <v>520</v>
      </c>
      <c r="BN2" s="465" t="s">
        <v>521</v>
      </c>
      <c r="BO2" s="464" t="s">
        <v>522</v>
      </c>
      <c r="BP2" s="464" t="s">
        <v>523</v>
      </c>
      <c r="BQ2" s="464" t="s">
        <v>524</v>
      </c>
      <c r="BR2" s="464" t="s">
        <v>525</v>
      </c>
      <c r="BS2" s="465" t="s">
        <v>526</v>
      </c>
      <c r="BT2" s="464" t="s">
        <v>527</v>
      </c>
    </row>
    <row r="3" spans="1:72" s="466" customFormat="1" ht="41.6">
      <c r="A3" s="462" t="s">
        <v>468</v>
      </c>
      <c r="B3" s="457" t="s">
        <v>469</v>
      </c>
      <c r="C3" s="463">
        <v>2006</v>
      </c>
      <c r="D3" s="463">
        <v>2007</v>
      </c>
      <c r="E3" s="463">
        <v>2008</v>
      </c>
      <c r="F3" s="463">
        <v>2009</v>
      </c>
      <c r="G3" s="464" t="s">
        <v>470</v>
      </c>
      <c r="H3" s="464" t="s">
        <v>471</v>
      </c>
      <c r="I3" s="464" t="s">
        <v>472</v>
      </c>
      <c r="J3" s="464" t="s">
        <v>473</v>
      </c>
      <c r="K3" s="463">
        <v>2010</v>
      </c>
      <c r="L3" s="464" t="s">
        <v>474</v>
      </c>
      <c r="M3" s="464" t="s">
        <v>475</v>
      </c>
      <c r="N3" s="464" t="s">
        <v>476</v>
      </c>
      <c r="O3" s="464" t="s">
        <v>477</v>
      </c>
      <c r="P3" s="463">
        <v>2011</v>
      </c>
      <c r="Q3" s="464" t="s">
        <v>478</v>
      </c>
      <c r="R3" s="464" t="s">
        <v>479</v>
      </c>
      <c r="S3" s="464" t="s">
        <v>480</v>
      </c>
      <c r="T3" s="464" t="s">
        <v>481</v>
      </c>
      <c r="U3" s="463">
        <v>2012</v>
      </c>
      <c r="V3" s="464" t="s">
        <v>482</v>
      </c>
      <c r="W3" s="464" t="s">
        <v>483</v>
      </c>
      <c r="X3" s="464" t="s">
        <v>484</v>
      </c>
      <c r="Y3" s="464" t="s">
        <v>485</v>
      </c>
      <c r="Z3" s="463">
        <v>2013</v>
      </c>
      <c r="AA3" s="464" t="s">
        <v>486</v>
      </c>
      <c r="AB3" s="464" t="s">
        <v>487</v>
      </c>
      <c r="AC3" s="464" t="s">
        <v>488</v>
      </c>
      <c r="AD3" s="464" t="s">
        <v>489</v>
      </c>
      <c r="AE3" s="463">
        <v>2014</v>
      </c>
      <c r="AF3" s="464" t="s">
        <v>490</v>
      </c>
      <c r="AG3" s="464" t="s">
        <v>491</v>
      </c>
      <c r="AH3" s="464" t="s">
        <v>492</v>
      </c>
      <c r="AI3" s="464" t="s">
        <v>493</v>
      </c>
      <c r="AJ3" s="463">
        <v>2015</v>
      </c>
      <c r="AK3" s="464" t="s">
        <v>494</v>
      </c>
      <c r="AL3" s="464" t="s">
        <v>495</v>
      </c>
      <c r="AM3" s="464" t="s">
        <v>496</v>
      </c>
      <c r="AN3" s="464" t="s">
        <v>497</v>
      </c>
      <c r="AO3" s="463">
        <v>2016</v>
      </c>
      <c r="AP3" s="459" t="s">
        <v>528</v>
      </c>
      <c r="AQ3" s="459" t="s">
        <v>529</v>
      </c>
      <c r="AR3" s="459" t="s">
        <v>530</v>
      </c>
      <c r="AS3" s="459" t="s">
        <v>531</v>
      </c>
      <c r="AT3" s="460" t="s">
        <v>532</v>
      </c>
      <c r="AU3" s="459" t="s">
        <v>533</v>
      </c>
      <c r="AV3" s="459" t="s">
        <v>534</v>
      </c>
      <c r="AW3" s="459" t="s">
        <v>535</v>
      </c>
      <c r="AX3" s="459" t="s">
        <v>536</v>
      </c>
      <c r="AY3" s="460" t="s">
        <v>537</v>
      </c>
      <c r="AZ3" s="459" t="s">
        <v>538</v>
      </c>
      <c r="BA3" s="459" t="s">
        <v>539</v>
      </c>
      <c r="BB3" s="459" t="s">
        <v>540</v>
      </c>
      <c r="BC3" s="459" t="s">
        <v>541</v>
      </c>
      <c r="BD3" s="460" t="s">
        <v>542</v>
      </c>
      <c r="BE3" s="459" t="s">
        <v>543</v>
      </c>
      <c r="BF3" s="459" t="s">
        <v>544</v>
      </c>
      <c r="BG3" s="459" t="s">
        <v>545</v>
      </c>
      <c r="BH3" s="459" t="s">
        <v>546</v>
      </c>
      <c r="BI3" s="460" t="s">
        <v>547</v>
      </c>
      <c r="BJ3" s="459" t="s">
        <v>548</v>
      </c>
      <c r="BK3" s="459" t="s">
        <v>549</v>
      </c>
      <c r="BL3" s="459" t="s">
        <v>550</v>
      </c>
      <c r="BM3" s="459" t="s">
        <v>551</v>
      </c>
      <c r="BN3" s="460" t="s">
        <v>552</v>
      </c>
      <c r="BO3" s="459" t="s">
        <v>553</v>
      </c>
      <c r="BP3" s="459" t="s">
        <v>554</v>
      </c>
      <c r="BQ3" s="459" t="s">
        <v>555</v>
      </c>
      <c r="BR3" s="459" t="s">
        <v>556</v>
      </c>
      <c r="BS3" s="460" t="s">
        <v>557</v>
      </c>
      <c r="BT3" s="459" t="s">
        <v>558</v>
      </c>
    </row>
    <row r="4" spans="1:72" s="470" customFormat="1" ht="24" customHeight="1">
      <c r="A4" s="467" t="s">
        <v>559</v>
      </c>
      <c r="B4" s="467" t="s">
        <v>560</v>
      </c>
      <c r="C4" s="468">
        <v>0.155</v>
      </c>
      <c r="D4" s="468">
        <v>0.21099999999999999</v>
      </c>
      <c r="E4" s="468">
        <v>0.317</v>
      </c>
      <c r="F4" s="468">
        <v>0.251</v>
      </c>
      <c r="G4" s="469">
        <v>0.32900000000000001</v>
      </c>
      <c r="H4" s="469">
        <v>0.29499999999999998</v>
      </c>
      <c r="I4" s="469">
        <v>0.28499999999999998</v>
      </c>
      <c r="J4" s="469">
        <v>0.191</v>
      </c>
      <c r="K4" s="468">
        <v>0.27500000000000002</v>
      </c>
      <c r="L4" s="469">
        <v>0.30870278738464518</v>
      </c>
      <c r="M4" s="469">
        <v>0.34613505621374752</v>
      </c>
      <c r="N4" s="469">
        <v>0.31878501150261895</v>
      </c>
      <c r="O4" s="469">
        <v>0.27406013939927337</v>
      </c>
      <c r="P4" s="468">
        <v>0.31073681541046316</v>
      </c>
      <c r="Q4" s="469">
        <v>0.38466527099742531</v>
      </c>
      <c r="R4" s="469">
        <v>0.3779041668709594</v>
      </c>
      <c r="S4" s="469">
        <v>0.4001250502295432</v>
      </c>
      <c r="T4" s="469">
        <v>0.32927622113037824</v>
      </c>
      <c r="U4" s="468">
        <v>0.37154971807437509</v>
      </c>
      <c r="V4" s="469">
        <v>0.3519157165072388</v>
      </c>
      <c r="W4" s="469">
        <v>0.34957890245592677</v>
      </c>
      <c r="X4" s="469">
        <v>0.3961214215056621</v>
      </c>
      <c r="Y4" s="469">
        <v>0.34405245121739447</v>
      </c>
      <c r="Z4" s="468">
        <v>0.35944885852796471</v>
      </c>
      <c r="AA4" s="469">
        <v>0.38927182921261261</v>
      </c>
      <c r="AB4" s="469">
        <v>0.40603700097370976</v>
      </c>
      <c r="AC4" s="469">
        <v>0.37613655149611497</v>
      </c>
      <c r="AD4" s="469">
        <v>0.33211693308476481</v>
      </c>
      <c r="AE4" s="468">
        <v>0.36954614772129168</v>
      </c>
      <c r="AF4" s="469">
        <v>0.38497209102619145</v>
      </c>
      <c r="AG4" s="469">
        <v>0.39567471245747615</v>
      </c>
      <c r="AH4" s="469">
        <v>0.3852747525777464</v>
      </c>
      <c r="AI4" s="469">
        <v>0.33759914172956829</v>
      </c>
      <c r="AJ4" s="468">
        <v>0.37515015779293487</v>
      </c>
      <c r="AK4" s="469">
        <v>0.35807952622673433</v>
      </c>
      <c r="AL4" s="469">
        <v>0.3827418232428671</v>
      </c>
      <c r="AM4" s="469">
        <v>0.4007873356227491</v>
      </c>
      <c r="AN4" s="469">
        <v>0.35592284328034396</v>
      </c>
      <c r="AO4" s="468">
        <v>0.37419063084544396</v>
      </c>
      <c r="AP4" s="469">
        <v>0.38914008205643491</v>
      </c>
      <c r="AQ4" s="469">
        <v>0.39017773998947319</v>
      </c>
      <c r="AR4" s="469">
        <v>0.35597473754653058</v>
      </c>
      <c r="AS4" s="469">
        <v>0.33836073200992561</v>
      </c>
      <c r="AT4" s="468">
        <v>0.36800765114054906</v>
      </c>
      <c r="AU4" s="469">
        <v>0.37938531054179631</v>
      </c>
      <c r="AV4" s="469">
        <v>0.36355255070682235</v>
      </c>
      <c r="AW4" s="469">
        <v>0.33638025594149901</v>
      </c>
      <c r="AX4" s="469">
        <v>0.31355762824783479</v>
      </c>
      <c r="AY4" s="468">
        <v>0.3460289535003418</v>
      </c>
      <c r="AZ4" s="469">
        <v>0.37193724029230529</v>
      </c>
      <c r="BA4" s="469">
        <v>0.36814916182004787</v>
      </c>
      <c r="BB4" s="469">
        <v>0.35282118655787575</v>
      </c>
      <c r="BC4" s="469">
        <v>0.34596461503372328</v>
      </c>
      <c r="BD4" s="468">
        <v>0.35942652084171944</v>
      </c>
      <c r="BE4" s="469">
        <v>0.36043139424960502</v>
      </c>
      <c r="BF4" s="469">
        <v>0.33534774862891703</v>
      </c>
      <c r="BG4" s="469">
        <v>0.35921425004161806</v>
      </c>
      <c r="BH4" s="469">
        <v>0.34673652177205838</v>
      </c>
      <c r="BI4" s="468">
        <v>0.35040486809552868</v>
      </c>
      <c r="BJ4" s="469">
        <f>'P&amp;L'!BG33</f>
        <v>0.36242217312713398</v>
      </c>
      <c r="BK4" s="469">
        <f>'P&amp;L'!BH33</f>
        <v>0.3610785834098173</v>
      </c>
      <c r="BL4" s="469">
        <f>'P&amp;L'!BI33</f>
        <v>1.5155513044625486</v>
      </c>
      <c r="BM4" s="469">
        <f>'P&amp;L'!BJ33</f>
        <v>0.2698315467075037</v>
      </c>
      <c r="BN4" s="468">
        <f>'P&amp;L'!BK33</f>
        <v>0.61873995499839274</v>
      </c>
      <c r="BO4" s="469">
        <f>'P&amp;L'!BL33</f>
        <v>0.25667124250845413</v>
      </c>
      <c r="BP4" s="469">
        <f>'P&amp;L'!BM33</f>
        <v>0.27672624763792941</v>
      </c>
      <c r="BQ4" s="469">
        <f>'P&amp;L'!BN33</f>
        <v>0.29135711883579463</v>
      </c>
      <c r="BR4" s="469">
        <f>'P&amp;L'!BO33</f>
        <v>0.2502624212736177</v>
      </c>
      <c r="BS4" s="468">
        <f>'P&amp;L'!BP33</f>
        <v>0.2687665017459912</v>
      </c>
      <c r="BT4" s="469">
        <f>'P&amp;L'!BQ33</f>
        <v>0.23792704654143107</v>
      </c>
    </row>
    <row r="5" spans="1:72" s="470" customFormat="1" ht="24" customHeight="1">
      <c r="A5" s="467" t="s">
        <v>561</v>
      </c>
      <c r="B5" s="467" t="s">
        <v>562</v>
      </c>
      <c r="C5" s="468">
        <v>0.11600000000000001</v>
      </c>
      <c r="D5" s="468">
        <v>0.14399999999999999</v>
      </c>
      <c r="E5" s="468">
        <v>0.246</v>
      </c>
      <c r="F5" s="468">
        <v>0.182</v>
      </c>
      <c r="G5" s="469">
        <v>0.23</v>
      </c>
      <c r="H5" s="469">
        <v>0.182</v>
      </c>
      <c r="I5" s="469">
        <v>0.188</v>
      </c>
      <c r="J5" s="469">
        <v>9.8000000000000004E-2</v>
      </c>
      <c r="K5" s="468">
        <v>0.17399999999999999</v>
      </c>
      <c r="L5" s="469">
        <v>0.18967721753120198</v>
      </c>
      <c r="M5" s="469">
        <v>0.1105688210628496</v>
      </c>
      <c r="N5" s="469" t="s">
        <v>563</v>
      </c>
      <c r="O5" s="469">
        <v>0.10608165132384817</v>
      </c>
      <c r="P5" s="468">
        <v>6.7707133573549461E-2</v>
      </c>
      <c r="Q5" s="469">
        <v>0.30649285055729641</v>
      </c>
      <c r="R5" s="469">
        <v>0.13939020375571728</v>
      </c>
      <c r="S5" s="469">
        <v>0.266952761732768</v>
      </c>
      <c r="T5" s="469">
        <v>0.1620322508446396</v>
      </c>
      <c r="U5" s="468">
        <v>0.21535338337745638</v>
      </c>
      <c r="V5" s="469">
        <v>0.13643419081993929</v>
      </c>
      <c r="W5" s="469">
        <v>0.10971771925199814</v>
      </c>
      <c r="X5" s="469">
        <v>0.26051734065642024</v>
      </c>
      <c r="Y5" s="469">
        <v>0.21631129917457795</v>
      </c>
      <c r="Z5" s="468">
        <v>0.18051820848101818</v>
      </c>
      <c r="AA5" s="469">
        <v>0.13582744164810381</v>
      </c>
      <c r="AB5" s="469">
        <v>7.5662981843175381E-2</v>
      </c>
      <c r="AC5" s="469">
        <v>1.9920648040998381E-2</v>
      </c>
      <c r="AD5" s="469">
        <v>5.5531315695532789E-3</v>
      </c>
      <c r="AE5" s="468">
        <v>3.94742169260043E-2</v>
      </c>
      <c r="AF5" s="469">
        <v>7.3336195792185463E-2</v>
      </c>
      <c r="AG5" s="469">
        <v>0.12331929369836385</v>
      </c>
      <c r="AH5" s="469">
        <v>0.20808315044101192</v>
      </c>
      <c r="AI5" s="469">
        <v>7.111383577914876E-2</v>
      </c>
      <c r="AJ5" s="468">
        <v>0.11843632291560617</v>
      </c>
      <c r="AK5" s="469">
        <v>7.5507614213197988E-2</v>
      </c>
      <c r="AL5" s="469">
        <v>9.4518809611527338E-2</v>
      </c>
      <c r="AM5" s="469">
        <v>0.11299103777535824</v>
      </c>
      <c r="AN5" s="469">
        <v>0.134827028519585</v>
      </c>
      <c r="AO5" s="468">
        <v>0.10493535324467103</v>
      </c>
      <c r="AP5" s="469">
        <v>0.11362304278656968</v>
      </c>
      <c r="AQ5" s="469">
        <v>0.11405320053443456</v>
      </c>
      <c r="AR5" s="469">
        <v>9.8247521853695272E-2</v>
      </c>
      <c r="AS5" s="469">
        <v>6.0949131513647663E-2</v>
      </c>
      <c r="AT5" s="468">
        <v>9.6168325092078288E-2</v>
      </c>
      <c r="AU5" s="469">
        <v>0.12455773903405941</v>
      </c>
      <c r="AV5" s="469">
        <v>8.8890596189305407E-2</v>
      </c>
      <c r="AW5" s="469">
        <v>8.3034734917733014E-2</v>
      </c>
      <c r="AX5" s="469">
        <v>2.1785476349100594E-2</v>
      </c>
      <c r="AY5" s="468">
        <v>7.6370237972693752E-2</v>
      </c>
      <c r="AZ5" s="469">
        <v>0.1064980656254476</v>
      </c>
      <c r="BA5" s="469">
        <v>9.1994526171741281E-2</v>
      </c>
      <c r="BB5" s="469">
        <v>8.1766007467846707E-2</v>
      </c>
      <c r="BC5" s="469">
        <v>0.10162588380958593</v>
      </c>
      <c r="BD5" s="468">
        <v>9.5459956663612081E-2</v>
      </c>
      <c r="BE5" s="469">
        <v>6.4521266111988732E-2</v>
      </c>
      <c r="BF5" s="469">
        <v>0.10154749013169415</v>
      </c>
      <c r="BG5" s="469">
        <v>0.11486598967870809</v>
      </c>
      <c r="BH5" s="469">
        <v>0.10056941383535499</v>
      </c>
      <c r="BI5" s="468">
        <v>9.5809410472377121E-2</v>
      </c>
      <c r="BJ5" s="469">
        <f>'P&amp;L'!BG28/'P&amp;L'!BG5</f>
        <v>0.13068219856731605</v>
      </c>
      <c r="BK5" s="469">
        <f>'P&amp;L'!BH28/'P&amp;L'!BH5</f>
        <v>0.17144032661328604</v>
      </c>
      <c r="BL5" s="469">
        <f>'P&amp;L'!BI28/'P&amp;L'!BI5</f>
        <v>1.0385236980111483</v>
      </c>
      <c r="BM5" s="469">
        <f>'P&amp;L'!BJ28/'P&amp;L'!BJ5</f>
        <v>0.10220520673813159</v>
      </c>
      <c r="BN5" s="468">
        <f>'P&amp;L'!BK28/'P&amp;L'!BK5</f>
        <v>0.35474927675988421</v>
      </c>
      <c r="BO5" s="469">
        <f>'P&amp;L'!BL28/'P&amp;L'!BL5</f>
        <v>7.1249204807982039E-2</v>
      </c>
      <c r="BP5" s="469">
        <f>'P&amp;L'!BM28/'P&amp;L'!BM5</f>
        <v>8.7574734363867243E-2</v>
      </c>
      <c r="BQ5" s="469">
        <f>'P&amp;L'!BN28/'P&amp;L'!BN5</f>
        <v>7.065333700204858E-2</v>
      </c>
      <c r="BR5" s="469">
        <f>'P&amp;L'!BO28/'P&amp;L'!BO5</f>
        <v>5.0880569162584259E-2</v>
      </c>
      <c r="BS5" s="468">
        <f>'P&amp;L'!BP28/'P&amp;L'!BP5</f>
        <v>6.9769962757349827E-2</v>
      </c>
      <c r="BT5" s="469">
        <f>'P&amp;L'!BQ28/'P&amp;L'!BQ5</f>
        <v>2.2192354577564022E-2</v>
      </c>
    </row>
    <row r="6" spans="1:72" s="4" customFormat="1" ht="24" customHeight="1">
      <c r="A6" s="4" t="s">
        <v>564</v>
      </c>
      <c r="B6" s="4" t="s">
        <v>565</v>
      </c>
      <c r="C6" s="468">
        <v>0.158</v>
      </c>
      <c r="D6" s="468">
        <v>0.191</v>
      </c>
      <c r="E6" s="468">
        <v>0.35599999999999998</v>
      </c>
      <c r="F6" s="468">
        <v>0.29699999999999999</v>
      </c>
      <c r="G6" s="469">
        <v>0.10100000000000001</v>
      </c>
      <c r="H6" s="469">
        <v>7.0999999999999994E-2</v>
      </c>
      <c r="I6" s="469">
        <v>6.9000000000000006E-2</v>
      </c>
      <c r="J6" s="469">
        <v>3.5999999999999997E-2</v>
      </c>
      <c r="K6" s="468">
        <v>0.255</v>
      </c>
      <c r="L6" s="469">
        <v>6.2271468324674333E-2</v>
      </c>
      <c r="M6" s="469">
        <v>1.3239521157757844E-2</v>
      </c>
      <c r="N6" s="469" t="s">
        <v>563</v>
      </c>
      <c r="O6" s="469">
        <v>1.4264993041101997E-2</v>
      </c>
      <c r="P6" s="468">
        <v>2.9950184610851395E-2</v>
      </c>
      <c r="Q6" s="469">
        <v>3.7273881405565285E-2</v>
      </c>
      <c r="R6" s="469">
        <v>1.7775372865166162E-2</v>
      </c>
      <c r="S6" s="469">
        <v>3.1199624869035991E-2</v>
      </c>
      <c r="T6" s="469">
        <v>2.1869529763033944E-2</v>
      </c>
      <c r="U6" s="468">
        <v>0.10758152928832863</v>
      </c>
      <c r="V6" s="469">
        <v>1.6894118349245417E-2</v>
      </c>
      <c r="W6" s="469">
        <v>1.4437552333780404E-2</v>
      </c>
      <c r="X6" s="469">
        <v>3.1520471398527435E-2</v>
      </c>
      <c r="Y6" s="469">
        <v>3.0503344649529706E-2</v>
      </c>
      <c r="Z6" s="468">
        <v>9.2569363820704936E-2</v>
      </c>
      <c r="AA6" s="469">
        <v>1.6778114005449145E-2</v>
      </c>
      <c r="AB6" s="469">
        <v>4.7471709233085704E-3</v>
      </c>
      <c r="AC6" s="469">
        <v>1.7539263205391209E-3</v>
      </c>
      <c r="AD6" s="469">
        <v>5.1209457655268075E-4</v>
      </c>
      <c r="AE6" s="468">
        <v>1.0699118831546462E-2</v>
      </c>
      <c r="AF6" s="469">
        <v>6.3051655844275677E-3</v>
      </c>
      <c r="AG6" s="469">
        <v>1.1218857997627276E-2</v>
      </c>
      <c r="AH6" s="469">
        <v>1.9220838831831989E-2</v>
      </c>
      <c r="AI6" s="469">
        <v>7.0063910668514045E-3</v>
      </c>
      <c r="AJ6" s="468">
        <v>4.3918294004175129E-2</v>
      </c>
      <c r="AK6" s="469">
        <v>6.2950750295357192E-3</v>
      </c>
      <c r="AL6" s="469">
        <v>8.3716748062985218E-3</v>
      </c>
      <c r="AM6" s="469">
        <v>9.8133713549945403E-3</v>
      </c>
      <c r="AN6" s="469">
        <v>1.232631187949209E-2</v>
      </c>
      <c r="AO6" s="468">
        <v>3.6820258715510319E-2</v>
      </c>
      <c r="AP6" s="469">
        <v>9.8500355675565938E-3</v>
      </c>
      <c r="AQ6" s="469">
        <v>1.0312071016747503E-2</v>
      </c>
      <c r="AR6" s="469">
        <v>8.7347448740545761E-3</v>
      </c>
      <c r="AS6" s="469">
        <v>5.6636402939904901E-3</v>
      </c>
      <c r="AT6" s="468">
        <v>3.4053898256232916E-2</v>
      </c>
      <c r="AU6" s="469">
        <v>1.0475220832855341E-2</v>
      </c>
      <c r="AV6" s="469">
        <v>7.7777329622608473E-3</v>
      </c>
      <c r="AW6" s="469">
        <v>7.4715498777771496E-3</v>
      </c>
      <c r="AX6" s="469">
        <v>2.1305152328581472E-3</v>
      </c>
      <c r="AY6" s="468">
        <v>2.658583305100215E-2</v>
      </c>
      <c r="AZ6" s="469">
        <v>9.4489540360668291E-3</v>
      </c>
      <c r="BA6" s="469">
        <v>8.5748360927574603E-3</v>
      </c>
      <c r="BB6" s="469">
        <v>7.5612976657490755E-3</v>
      </c>
      <c r="BC6" s="469">
        <v>9.5705378402926155E-3</v>
      </c>
      <c r="BD6" s="468">
        <v>3.4201094827797859E-2</v>
      </c>
      <c r="BE6" s="469">
        <v>5.6275610027343359E-3</v>
      </c>
      <c r="BF6" s="469">
        <v>8.9109457189450597E-3</v>
      </c>
      <c r="BG6" s="469">
        <v>1.0513773042685913E-2</v>
      </c>
      <c r="BH6" s="469">
        <v>9.8647008914389284E-3</v>
      </c>
      <c r="BI6" s="468">
        <v>3.4611456939151457E-2</v>
      </c>
      <c r="BJ6" s="469">
        <f>'P&amp;L'!BG28/'Balance sheet'!AM39</f>
        <v>1.1846637029844181E-2</v>
      </c>
      <c r="BK6" s="469">
        <f>'P&amp;L'!BH28/'Balance sheet'!AN39</f>
        <v>1.6453892954015972E-2</v>
      </c>
      <c r="BL6" s="469">
        <f>'P&amp;L'!BI28/'Balance sheet'!AO39</f>
        <v>8.7543164087479253E-2</v>
      </c>
      <c r="BM6" s="469">
        <f>'P&amp;L'!BJ28/'Balance sheet'!AP39</f>
        <v>1.0351459503055485E-2</v>
      </c>
      <c r="BN6" s="468">
        <f>'P&amp;L'!BK28/'Balance sheet'!AP39</f>
        <v>0.13693892111548836</v>
      </c>
      <c r="BO6" s="469">
        <f>'P&amp;L'!BL28/'Balance sheet'!AQ39</f>
        <v>6.671850309764478E-3</v>
      </c>
      <c r="BP6" s="469">
        <f>'P&amp;L'!BM28/'Balance sheet'!AR39</f>
        <v>8.8860250204312492E-3</v>
      </c>
      <c r="BQ6" s="469">
        <f>'P&amp;L'!BN28/'Balance sheet'!AS39</f>
        <v>7.2933958631833671E-3</v>
      </c>
      <c r="BR6" s="469">
        <f>'P&amp;L'!BO28/'Balance sheet'!AT39</f>
        <v>5.4013730940426705E-3</v>
      </c>
      <c r="BS6" s="468">
        <f>'P&amp;L'!BP28/'Balance sheet'!AT39</f>
        <v>2.7892133495942009E-2</v>
      </c>
      <c r="BT6" s="469">
        <f>'P&amp;L'!BQ28/'Balance sheet'!AU39</f>
        <v>2.1639348259404152E-3</v>
      </c>
    </row>
    <row r="7" spans="1:72" s="4" customFormat="1" ht="24" customHeight="1">
      <c r="A7" s="4" t="s">
        <v>566</v>
      </c>
      <c r="B7" s="4" t="s">
        <v>567</v>
      </c>
      <c r="C7" s="468" t="s">
        <v>563</v>
      </c>
      <c r="D7" s="468" t="s">
        <v>563</v>
      </c>
      <c r="E7" s="468">
        <v>11.443</v>
      </c>
      <c r="F7" s="468">
        <v>2.5009999999999999</v>
      </c>
      <c r="G7" s="469">
        <v>0.26700000000000002</v>
      </c>
      <c r="H7" s="469">
        <v>0.26200000000000001</v>
      </c>
      <c r="I7" s="469">
        <v>0.21199999999999999</v>
      </c>
      <c r="J7" s="469">
        <v>9.5000000000000001E-2</v>
      </c>
      <c r="K7" s="468">
        <v>1.5249999999999999</v>
      </c>
      <c r="L7" s="469">
        <v>0.17852586122288744</v>
      </c>
      <c r="M7" s="469">
        <v>3.8577428856174406E-2</v>
      </c>
      <c r="N7" s="469" t="s">
        <v>563</v>
      </c>
      <c r="O7" s="469">
        <v>4.1927279961049509E-2</v>
      </c>
      <c r="P7" s="468">
        <v>9.1999999999999998E-2</v>
      </c>
      <c r="Q7" s="469">
        <v>0.10877317095676947</v>
      </c>
      <c r="R7" s="469">
        <v>4.7546166174335783E-2</v>
      </c>
      <c r="S7" s="469">
        <v>7.8824364260900753E-2</v>
      </c>
      <c r="T7" s="469">
        <v>5.1825928219061103E-2</v>
      </c>
      <c r="U7" s="468">
        <v>0.31992749070239374</v>
      </c>
      <c r="V7" s="469">
        <v>3.854988705193179E-2</v>
      </c>
      <c r="W7" s="469">
        <v>3.1460520932769673E-2</v>
      </c>
      <c r="X7" s="469">
        <v>6.6607225701146078E-2</v>
      </c>
      <c r="Y7" s="469">
        <v>6.122340013627673E-2</v>
      </c>
      <c r="Z7" s="468">
        <v>0.21223515288993153</v>
      </c>
      <c r="AA7" s="469">
        <v>3.2613364596168266E-2</v>
      </c>
      <c r="AB7" s="469">
        <v>1.4743961784008204E-2</v>
      </c>
      <c r="AC7" s="469">
        <v>5.3069088907238835E-3</v>
      </c>
      <c r="AD7" s="469">
        <v>1.5445378522098774E-3</v>
      </c>
      <c r="AE7" s="468">
        <v>3.3292737061360989E-2</v>
      </c>
      <c r="AF7" s="469">
        <v>1.8684840992878312E-2</v>
      </c>
      <c r="AG7" s="469">
        <v>3.2907179060443298E-2</v>
      </c>
      <c r="AH7" s="469">
        <v>5.2576510593774481E-2</v>
      </c>
      <c r="AI7" s="469">
        <v>1.8441055193998745E-2</v>
      </c>
      <c r="AJ7" s="468">
        <v>0.12803327940836601</v>
      </c>
      <c r="AK7" s="469">
        <v>1.7454310774736723E-2</v>
      </c>
      <c r="AL7" s="469">
        <v>2.1926367667866348E-2</v>
      </c>
      <c r="AM7" s="469">
        <v>2.5065730185716849E-2</v>
      </c>
      <c r="AN7" s="469">
        <v>3.0971927726127686E-2</v>
      </c>
      <c r="AO7" s="468">
        <v>9.8584477531236128E-2</v>
      </c>
      <c r="AP7" s="469">
        <v>2.3855356028443631E-2</v>
      </c>
      <c r="AQ7" s="469">
        <v>2.4616809689427963E-2</v>
      </c>
      <c r="AR7" s="469">
        <v>2.003411513859275E-2</v>
      </c>
      <c r="AS7" s="469">
        <v>1.3144252316130978E-2</v>
      </c>
      <c r="AT7" s="468">
        <v>8.4607397328941306E-2</v>
      </c>
      <c r="AU7" s="469">
        <v>2.3166941519725995E-2</v>
      </c>
      <c r="AV7" s="469">
        <v>1.7500340326410829E-2</v>
      </c>
      <c r="AW7" s="469">
        <v>1.6879487446299284E-2</v>
      </c>
      <c r="AX7" s="469">
        <v>4.7357673536184428E-3</v>
      </c>
      <c r="AY7" s="468">
        <v>6.2492821097931937E-2</v>
      </c>
      <c r="AZ7" s="469">
        <v>2.1426563749972937E-2</v>
      </c>
      <c r="BA7" s="469">
        <v>1.9700210995193979E-2</v>
      </c>
      <c r="BB7" s="469">
        <v>1.6991651459198471E-2</v>
      </c>
      <c r="BC7" s="469">
        <v>2.2038353376764706E-2</v>
      </c>
      <c r="BD7" s="468">
        <v>8.3491262106832345E-2</v>
      </c>
      <c r="BE7" s="469">
        <v>1.2713485180485014E-2</v>
      </c>
      <c r="BF7" s="469">
        <v>1.9846661159394624E-2</v>
      </c>
      <c r="BG7" s="469">
        <v>2.412874257778895E-2</v>
      </c>
      <c r="BH7" s="469">
        <v>2.3157985929700729E-2</v>
      </c>
      <c r="BI7" s="468">
        <v>8.626396577458123E-2</v>
      </c>
      <c r="BJ7" s="469">
        <f>'P&amp;L'!BG28/('Balance sheet'!AM53-'P&amp;L'!BG28)</f>
        <v>2.6068550137220467E-2</v>
      </c>
      <c r="BK7" s="469">
        <f>'P&amp;L'!BH28/('Balance sheet'!AN53-'P&amp;L'!BH28)</f>
        <v>3.7564057223297066E-2</v>
      </c>
      <c r="BL7" s="469">
        <f>'P&amp;L'!BI28/('Balance sheet'!AO53-'P&amp;L'!BI28)</f>
        <v>0.21933753613597581</v>
      </c>
      <c r="BM7" s="469">
        <f>'P&amp;L'!BJ28/('Balance sheet'!AP53-'P&amp;L'!BJ28)</f>
        <v>2.2171431608740983E-2</v>
      </c>
      <c r="BN7" s="468">
        <f>'P&amp;L'!BK28/('Balance sheet'!AP53-'P&amp;L'!BK28)</f>
        <v>0.40241201082943617</v>
      </c>
      <c r="BO7" s="469">
        <f>'P&amp;L'!BL28/('Balance sheet'!AQ53-'P&amp;L'!BL28)</f>
        <v>1.3823477825920315E-2</v>
      </c>
      <c r="BP7" s="469">
        <f>'P&amp;L'!BM28/('Balance sheet'!AR53-'P&amp;L'!BM28)</f>
        <v>1.8669801414599018E-2</v>
      </c>
      <c r="BQ7" s="469">
        <f>'P&amp;L'!BN28/('Balance sheet'!AS53-'P&amp;L'!BN28)</f>
        <v>1.4983726026686772E-2</v>
      </c>
      <c r="BR7" s="469">
        <f>'P&amp;L'!BO28/('Balance sheet'!AT53-'P&amp;L'!BO28)</f>
        <v>1.1159929139246429E-2</v>
      </c>
      <c r="BS7" s="468">
        <f>'P&amp;L'!BP28/('Balance sheet'!AT53-'P&amp;L'!BP28)</f>
        <v>6.0437165067036912E-2</v>
      </c>
      <c r="BT7" s="469">
        <f>'P&amp;L'!BQ28/('Balance sheet'!AU53-'P&amp;L'!BQ28)</f>
        <v>4.4940406489141875E-3</v>
      </c>
    </row>
    <row r="8" spans="1:72" s="4" customFormat="1" ht="24" customHeight="1">
      <c r="A8" s="4" t="s">
        <v>568</v>
      </c>
      <c r="B8" s="4" t="s">
        <v>569</v>
      </c>
      <c r="C8" s="471">
        <v>0.6</v>
      </c>
      <c r="D8" s="471">
        <v>1.1000000000000001</v>
      </c>
      <c r="E8" s="471">
        <v>1.4</v>
      </c>
      <c r="F8" s="471">
        <v>1</v>
      </c>
      <c r="G8" s="472">
        <v>1.2</v>
      </c>
      <c r="H8" s="472">
        <v>0.9</v>
      </c>
      <c r="I8" s="472">
        <v>1</v>
      </c>
      <c r="J8" s="472">
        <v>0.9</v>
      </c>
      <c r="K8" s="471">
        <v>0.9</v>
      </c>
      <c r="L8" s="472">
        <v>0.99222253558666473</v>
      </c>
      <c r="M8" s="472">
        <v>1.1972812574503593</v>
      </c>
      <c r="N8" s="472">
        <v>1.1937547068795404</v>
      </c>
      <c r="O8" s="472">
        <v>1.1052998425278158</v>
      </c>
      <c r="P8" s="471">
        <v>1.1000000000000001</v>
      </c>
      <c r="Q8" s="472">
        <v>1.2520302028925108</v>
      </c>
      <c r="R8" s="472">
        <v>1.13470796163891</v>
      </c>
      <c r="S8" s="472">
        <v>1.0480052530350539</v>
      </c>
      <c r="T8" s="472">
        <v>1.0172641031890362</v>
      </c>
      <c r="U8" s="471">
        <v>1.0172641031890362</v>
      </c>
      <c r="V8" s="472">
        <v>1.1953668834873901</v>
      </c>
      <c r="W8" s="472">
        <v>1.1434662606816619</v>
      </c>
      <c r="X8" s="472">
        <v>1.2291320432164132</v>
      </c>
      <c r="Y8" s="472">
        <v>1.2518939180227138</v>
      </c>
      <c r="Z8" s="471">
        <v>1.2518939180227138</v>
      </c>
      <c r="AA8" s="472">
        <v>1.3919076872487033</v>
      </c>
      <c r="AB8" s="472">
        <v>1.1114925821972736</v>
      </c>
      <c r="AC8" s="472">
        <v>0.94501659921971548</v>
      </c>
      <c r="AD8" s="472">
        <v>0.95569502090756708</v>
      </c>
      <c r="AE8" s="471">
        <v>0.95569502090756708</v>
      </c>
      <c r="AF8" s="472">
        <v>0.95351583208829338</v>
      </c>
      <c r="AG8" s="472">
        <v>1.0069261213720315</v>
      </c>
      <c r="AH8" s="472">
        <v>0.47434112256006483</v>
      </c>
      <c r="AI8" s="472">
        <v>0.49948621035847135</v>
      </c>
      <c r="AJ8" s="471">
        <v>0.49948621035847135</v>
      </c>
      <c r="AK8" s="472">
        <v>0.92874645654158483</v>
      </c>
      <c r="AL8" s="472">
        <v>0.9143403550836332</v>
      </c>
      <c r="AM8" s="472">
        <v>0.99730487345250907</v>
      </c>
      <c r="AN8" s="472">
        <v>1.0242312289470821</v>
      </c>
      <c r="AO8" s="471">
        <v>1.0242312289470821</v>
      </c>
      <c r="AP8" s="472">
        <v>0.89580852038479164</v>
      </c>
      <c r="AQ8" s="472">
        <v>0.89208350653549495</v>
      </c>
      <c r="AR8" s="472">
        <v>0.91086116341294232</v>
      </c>
      <c r="AS8" s="472">
        <v>1.0040863235857489</v>
      </c>
      <c r="AT8" s="471">
        <v>1.0040863235857489</v>
      </c>
      <c r="AU8" s="472">
        <v>1.490674318507891</v>
      </c>
      <c r="AV8" s="472">
        <v>1.1393504531722054</v>
      </c>
      <c r="AW8" s="472">
        <v>1.1493006613900034</v>
      </c>
      <c r="AX8" s="472">
        <v>1.0805204638743873</v>
      </c>
      <c r="AY8" s="471">
        <v>1.0805204638743873</v>
      </c>
      <c r="AZ8" s="472">
        <v>1.0288783163318305</v>
      </c>
      <c r="BA8" s="472">
        <v>0.90459880771651757</v>
      </c>
      <c r="BB8" s="472">
        <v>0.8907010624311551</v>
      </c>
      <c r="BC8" s="472">
        <v>0.8494768412801198</v>
      </c>
      <c r="BD8" s="471">
        <v>0.8494768412801198</v>
      </c>
      <c r="BE8" s="472">
        <v>1.0446639929570576</v>
      </c>
      <c r="BF8" s="472">
        <v>1.4179311763798159</v>
      </c>
      <c r="BG8" s="472">
        <v>1.1340274796049807</v>
      </c>
      <c r="BH8" s="472">
        <v>1.0005308660700745</v>
      </c>
      <c r="BI8" s="471">
        <v>1.0005308660700745</v>
      </c>
      <c r="BJ8" s="472">
        <f>'Balance sheet'!AM36/'Balance sheet'!AM75</f>
        <v>1.2774572249281877</v>
      </c>
      <c r="BK8" s="472">
        <f>'Balance sheet'!AN36/'Balance sheet'!AN75</f>
        <v>1.0301228183581126</v>
      </c>
      <c r="BL8" s="472">
        <f>'Balance sheet'!AO36/'Balance sheet'!AO75</f>
        <v>1.7694467309501412</v>
      </c>
      <c r="BM8" s="472">
        <f>'Balance sheet'!AP36/'Balance sheet'!AP75</f>
        <v>1.4356326537866806</v>
      </c>
      <c r="BN8" s="471">
        <f>'Balance sheet'!AP36/'Balance sheet'!AP75</f>
        <v>1.4356326537866806</v>
      </c>
      <c r="BO8" s="472">
        <f>'Balance sheet'!AQ36/'Balance sheet'!AQ75</f>
        <v>1.4459542259866642</v>
      </c>
      <c r="BP8" s="472">
        <f>'Balance sheet'!AR36/'Balance sheet'!AR75</f>
        <v>1.0795776506819179</v>
      </c>
      <c r="BQ8" s="472">
        <f>'Balance sheet'!AS36/'Balance sheet'!AS75</f>
        <v>1.2105886363228622</v>
      </c>
      <c r="BR8" s="472">
        <f>'Balance sheet'!AT36/'Balance sheet'!AT75</f>
        <v>1.0139658612281091</v>
      </c>
      <c r="BS8" s="471">
        <f>'Balance sheet'!AT36/'Balance sheet'!AT75</f>
        <v>1.0139658612281091</v>
      </c>
      <c r="BT8" s="472">
        <f>'Balance sheet'!AU36/'Balance sheet'!AU75</f>
        <v>1.1551395360405923</v>
      </c>
    </row>
    <row r="9" spans="1:72" s="4" customFormat="1" ht="24" customHeight="1">
      <c r="A9" s="486" t="s">
        <v>570</v>
      </c>
      <c r="B9" s="486" t="s">
        <v>571</v>
      </c>
      <c r="C9" s="487">
        <v>1.177</v>
      </c>
      <c r="D9" s="487">
        <v>0.89700000000000002</v>
      </c>
      <c r="E9" s="487">
        <v>0.61299999999999999</v>
      </c>
      <c r="F9" s="487">
        <v>0.58399999999999996</v>
      </c>
      <c r="G9" s="488">
        <v>0.52300000000000002</v>
      </c>
      <c r="H9" s="488">
        <v>0.65900000000000003</v>
      </c>
      <c r="I9" s="488">
        <v>0.60299999999999998</v>
      </c>
      <c r="J9" s="488">
        <v>0.57799999999999996</v>
      </c>
      <c r="K9" s="487">
        <v>0.57799999999999996</v>
      </c>
      <c r="L9" s="488">
        <v>0.58891930091111089</v>
      </c>
      <c r="M9" s="488">
        <v>0.64356702219385198</v>
      </c>
      <c r="N9" s="488">
        <v>0.66091379189163646</v>
      </c>
      <c r="O9" s="488">
        <v>0.64550322816584982</v>
      </c>
      <c r="P9" s="487">
        <v>0.64600000000000002</v>
      </c>
      <c r="Q9" s="488">
        <v>0.6200507963830475</v>
      </c>
      <c r="R9" s="488">
        <v>0.60836960799428208</v>
      </c>
      <c r="S9" s="488">
        <v>0.57298843092335383</v>
      </c>
      <c r="T9" s="488">
        <v>0.55614999608907556</v>
      </c>
      <c r="U9" s="487">
        <v>0.55614999608907556</v>
      </c>
      <c r="V9" s="488">
        <v>0.54486547055728474</v>
      </c>
      <c r="W9" s="488">
        <v>0.52665229914601286</v>
      </c>
      <c r="X9" s="488">
        <v>0.49525051978561557</v>
      </c>
      <c r="Y9" s="488">
        <v>0.47126649202023174</v>
      </c>
      <c r="Z9" s="487">
        <v>0.47126649202023174</v>
      </c>
      <c r="AA9" s="488">
        <v>0.46876671667355413</v>
      </c>
      <c r="AB9" s="488">
        <v>0.67327892593910244</v>
      </c>
      <c r="AC9" s="488">
        <v>0.66774740549903211</v>
      </c>
      <c r="AD9" s="488">
        <v>0.66793699017975172</v>
      </c>
      <c r="AE9" s="487">
        <v>0.66793699017975172</v>
      </c>
      <c r="AF9" s="488">
        <v>0.65624665453377584</v>
      </c>
      <c r="AG9" s="488">
        <v>0.64785681126528083</v>
      </c>
      <c r="AH9" s="488">
        <v>0.61520071910800012</v>
      </c>
      <c r="AI9" s="488">
        <v>0.61305921834949684</v>
      </c>
      <c r="AJ9" s="487">
        <v>0.61305921834949684</v>
      </c>
      <c r="AK9" s="488">
        <v>0.63304473558921559</v>
      </c>
      <c r="AL9" s="488">
        <v>0.60981976788452963</v>
      </c>
      <c r="AM9" s="488">
        <v>0.59868152930210516</v>
      </c>
      <c r="AN9" s="488">
        <v>0.58969032755965733</v>
      </c>
      <c r="AO9" s="487">
        <v>0.58969032755965733</v>
      </c>
      <c r="AP9" s="488">
        <v>0.57724329660438722</v>
      </c>
      <c r="AQ9" s="488">
        <v>0.57078429578109258</v>
      </c>
      <c r="AR9" s="488">
        <v>0.55527171043335344</v>
      </c>
      <c r="AS9" s="488">
        <v>0.56345294711053473</v>
      </c>
      <c r="AT9" s="487">
        <v>0.56345294711053473</v>
      </c>
      <c r="AU9" s="488">
        <v>0.53736233796030752</v>
      </c>
      <c r="AV9" s="488">
        <v>0.54778902647252581</v>
      </c>
      <c r="AW9" s="488">
        <v>0.54988764710333504</v>
      </c>
      <c r="AX9" s="488">
        <v>0.54799197310468839</v>
      </c>
      <c r="AY9" s="487">
        <v>0.54799197310468839</v>
      </c>
      <c r="AZ9" s="488">
        <v>0.5495585402907468</v>
      </c>
      <c r="BA9" s="488">
        <v>0.55615895813668714</v>
      </c>
      <c r="BB9" s="488">
        <v>0.54743795100023351</v>
      </c>
      <c r="BC9" s="488">
        <v>0.5561620885190367</v>
      </c>
      <c r="BD9" s="487">
        <v>0.5561620885190367</v>
      </c>
      <c r="BE9" s="488">
        <v>0.55172741107270029</v>
      </c>
      <c r="BF9" s="488">
        <v>0.54209939061024826</v>
      </c>
      <c r="BG9" s="488">
        <v>0.55374976001170229</v>
      </c>
      <c r="BH9" s="488">
        <v>0.56436056167899751</v>
      </c>
      <c r="BI9" s="487">
        <v>0.56436056167899751</v>
      </c>
      <c r="BJ9" s="488">
        <f>'Balance sheet'!AM78/'Balance sheet'!AM39</f>
        <v>0.53371163270570032</v>
      </c>
      <c r="BK9" s="488">
        <f>'Balance sheet'!AN78/'Balance sheet'!AN39</f>
        <v>0.54552385465171038</v>
      </c>
      <c r="BL9" s="488">
        <f>'Balance sheet'!AO78/'Balance sheet'!AO39</f>
        <v>0.51333151687361345</v>
      </c>
      <c r="BM9" s="488">
        <f>'Balance sheet'!AP78/'Balance sheet'!AP39</f>
        <v>0.52276576604522751</v>
      </c>
      <c r="BN9" s="487">
        <f>'Balance sheet'!AP78/'Balance sheet'!AP39</f>
        <v>0.52276576604522751</v>
      </c>
      <c r="BO9" s="488">
        <f>'Balance sheet'!AQ78/'Balance sheet'!AQ39</f>
        <v>0.51068185808522926</v>
      </c>
      <c r="BP9" s="488">
        <f>'Balance sheet'!AR78/'Balance sheet'!AR39</f>
        <v>0.51515684918589311</v>
      </c>
      <c r="BQ9" s="488">
        <f>'Balance sheet'!AS78/'Balance sheet'!AS39</f>
        <v>0.50595211795671313</v>
      </c>
      <c r="BR9" s="488">
        <f>'Balance sheet'!AT78/'Balance sheet'!AT39</f>
        <v>0.51060154890951082</v>
      </c>
      <c r="BS9" s="487">
        <f>'Balance sheet'!AT78/'Balance sheet'!AT39</f>
        <v>0.51060154890951082</v>
      </c>
      <c r="BT9" s="488">
        <f>'Balance sheet'!AU78/'Balance sheet'!AU39</f>
        <v>0.51632399285596731</v>
      </c>
    </row>
    <row r="13" spans="1:72" s="474" customFormat="1" ht="13.3">
      <c r="A13" s="473" t="s">
        <v>572</v>
      </c>
      <c r="B13" s="473" t="s">
        <v>573</v>
      </c>
    </row>
    <row r="14" spans="1:72" s="474" customFormat="1" ht="13.3">
      <c r="A14" s="473" t="s">
        <v>574</v>
      </c>
      <c r="B14" s="473" t="s">
        <v>575</v>
      </c>
    </row>
    <row r="15" spans="1:72" s="474" customFormat="1" ht="13.3">
      <c r="A15" s="473" t="s">
        <v>576</v>
      </c>
      <c r="B15" s="473" t="s">
        <v>577</v>
      </c>
    </row>
    <row r="16" spans="1:72" s="474" customFormat="1" ht="13.3">
      <c r="A16" s="473" t="s">
        <v>578</v>
      </c>
      <c r="B16" s="473" t="s">
        <v>579</v>
      </c>
    </row>
    <row r="17" spans="1:2" s="474" customFormat="1" ht="13.3">
      <c r="A17" s="473" t="s">
        <v>580</v>
      </c>
      <c r="B17" s="473" t="s">
        <v>581</v>
      </c>
    </row>
    <row r="18" spans="1:2" s="474" customFormat="1" ht="13.3">
      <c r="A18" s="473" t="s">
        <v>582</v>
      </c>
      <c r="B18" s="473" t="s">
        <v>583</v>
      </c>
    </row>
    <row r="19" spans="1:2" s="474" customFormat="1" ht="13.3">
      <c r="A19" s="473" t="s">
        <v>584</v>
      </c>
      <c r="B19" s="473" t="s">
        <v>585</v>
      </c>
    </row>
  </sheetData>
  <pageMargins left="0.70866141732283472" right="0.70866141732283472" top="0.74803149606299213" bottom="0.74803149606299213" header="0.31496062992125984" footer="0.31496062992125984"/>
  <pageSetup paperSize="9" scale="19"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9"/>
  <sheetViews>
    <sheetView showGridLines="0" zoomScale="115" zoomScaleNormal="115" zoomScaleSheetLayoutView="85" workbookViewId="0">
      <pane xSplit="1" topLeftCell="S1" activePane="topRight" state="frozen"/>
      <selection pane="topRight" activeCell="AC9" sqref="AC9"/>
    </sheetView>
  </sheetViews>
  <sheetFormatPr defaultColWidth="9" defaultRowHeight="28.5" customHeight="1"/>
  <cols>
    <col min="1" max="2" width="40.640625" style="602" customWidth="1"/>
    <col min="3" max="5" width="9" style="602"/>
    <col min="6" max="6" width="10.640625" style="602" customWidth="1"/>
    <col min="7" max="16384" width="9" style="602"/>
  </cols>
  <sheetData>
    <row r="1" spans="1:28" s="582" customFormat="1" ht="89.25" customHeight="1">
      <c r="A1" s="581"/>
      <c r="B1" s="581"/>
      <c r="H1" s="583"/>
      <c r="I1" s="583"/>
      <c r="L1" s="583"/>
      <c r="M1" s="583"/>
      <c r="P1" s="583"/>
      <c r="Q1" s="583"/>
      <c r="T1" s="583"/>
      <c r="U1" s="583"/>
      <c r="V1" s="801"/>
      <c r="X1" s="583"/>
      <c r="Y1" s="583"/>
      <c r="Z1" s="801"/>
    </row>
    <row r="2" spans="1:28" s="585" customFormat="1" ht="12">
      <c r="A2" s="920"/>
      <c r="B2" s="920"/>
      <c r="C2" s="584"/>
      <c r="D2" s="584"/>
      <c r="E2" s="584"/>
      <c r="F2" s="584"/>
      <c r="G2" s="584"/>
      <c r="H2" s="584"/>
      <c r="I2" s="584"/>
      <c r="J2" s="584"/>
      <c r="K2" s="584"/>
      <c r="L2" s="584"/>
      <c r="M2" s="584"/>
      <c r="N2" s="584"/>
      <c r="O2" s="584"/>
      <c r="P2" s="584"/>
      <c r="Q2" s="584"/>
      <c r="S2" s="584"/>
      <c r="T2" s="584"/>
      <c r="U2" s="584"/>
      <c r="W2" s="584"/>
      <c r="X2" s="584"/>
      <c r="Y2" s="584"/>
    </row>
    <row r="3" spans="1:28" s="587" customFormat="1" ht="20.149999999999999" customHeight="1">
      <c r="A3" s="586" t="s">
        <v>586</v>
      </c>
      <c r="B3" s="586" t="s">
        <v>587</v>
      </c>
      <c r="C3" s="918">
        <v>2018</v>
      </c>
      <c r="D3" s="918"/>
      <c r="E3" s="918"/>
      <c r="F3" s="918"/>
      <c r="G3" s="917">
        <v>2019</v>
      </c>
      <c r="H3" s="918"/>
      <c r="I3" s="918"/>
      <c r="J3" s="919"/>
      <c r="K3" s="918">
        <v>2020</v>
      </c>
      <c r="L3" s="918"/>
      <c r="M3" s="918"/>
      <c r="N3" s="918"/>
      <c r="O3" s="917">
        <v>2021</v>
      </c>
      <c r="P3" s="918"/>
      <c r="Q3" s="918"/>
      <c r="R3" s="919"/>
      <c r="S3" s="917">
        <v>2022</v>
      </c>
      <c r="T3" s="918"/>
      <c r="U3" s="918"/>
      <c r="V3" s="919"/>
      <c r="W3" s="917">
        <v>2023</v>
      </c>
      <c r="X3" s="918"/>
      <c r="Y3" s="918"/>
      <c r="Z3" s="919"/>
    </row>
    <row r="4" spans="1:28" s="587" customFormat="1" ht="21.75" customHeight="1">
      <c r="A4" s="586"/>
      <c r="B4" s="586"/>
      <c r="C4" s="588" t="s">
        <v>588</v>
      </c>
      <c r="D4" s="588" t="s">
        <v>589</v>
      </c>
      <c r="E4" s="588" t="s">
        <v>590</v>
      </c>
      <c r="F4" s="588" t="s">
        <v>591</v>
      </c>
      <c r="G4" s="589" t="str">
        <f t="shared" ref="G4:R4" si="0">C4</f>
        <v>1Q</v>
      </c>
      <c r="H4" s="588" t="str">
        <f t="shared" si="0"/>
        <v>2Q</v>
      </c>
      <c r="I4" s="588" t="str">
        <f t="shared" si="0"/>
        <v>3Q</v>
      </c>
      <c r="J4" s="590" t="str">
        <f t="shared" si="0"/>
        <v>4Q</v>
      </c>
      <c r="K4" s="588" t="str">
        <f t="shared" si="0"/>
        <v>1Q</v>
      </c>
      <c r="L4" s="588" t="str">
        <f t="shared" si="0"/>
        <v>2Q</v>
      </c>
      <c r="M4" s="588" t="str">
        <f t="shared" si="0"/>
        <v>3Q</v>
      </c>
      <c r="N4" s="588" t="str">
        <f t="shared" si="0"/>
        <v>4Q</v>
      </c>
      <c r="O4" s="589" t="str">
        <f t="shared" si="0"/>
        <v>1Q</v>
      </c>
      <c r="P4" s="588" t="str">
        <f t="shared" si="0"/>
        <v>2Q</v>
      </c>
      <c r="Q4" s="588" t="str">
        <f t="shared" si="0"/>
        <v>3Q</v>
      </c>
      <c r="R4" s="590" t="str">
        <f t="shared" si="0"/>
        <v>4Q</v>
      </c>
      <c r="S4" s="589" t="str">
        <f t="shared" ref="S4" si="1">O4</f>
        <v>1Q</v>
      </c>
      <c r="T4" s="588" t="str">
        <f t="shared" ref="T4" si="2">P4</f>
        <v>2Q</v>
      </c>
      <c r="U4" s="588" t="str">
        <f t="shared" ref="U4" si="3">Q4</f>
        <v>3Q</v>
      </c>
      <c r="V4" s="590" t="str">
        <f t="shared" ref="V4" si="4">R4</f>
        <v>4Q</v>
      </c>
      <c r="W4" s="589" t="str">
        <f t="shared" ref="W4" si="5">S4</f>
        <v>1Q</v>
      </c>
      <c r="X4" s="588" t="str">
        <f t="shared" ref="X4" si="6">T4</f>
        <v>2Q</v>
      </c>
      <c r="Y4" s="588" t="str">
        <f t="shared" ref="Y4" si="7">U4</f>
        <v>3Q</v>
      </c>
      <c r="Z4" s="590" t="str">
        <f t="shared" ref="Z4" si="8">V4</f>
        <v>4Q</v>
      </c>
    </row>
    <row r="5" spans="1:28" s="595" customFormat="1" ht="20.149999999999999" customHeight="1">
      <c r="A5" s="591" t="s">
        <v>592</v>
      </c>
      <c r="B5" s="591" t="s">
        <v>593</v>
      </c>
      <c r="C5" s="592"/>
      <c r="D5" s="592"/>
      <c r="E5" s="592"/>
      <c r="F5" s="592"/>
      <c r="G5" s="593"/>
      <c r="H5" s="592"/>
      <c r="I5" s="592"/>
      <c r="J5" s="592"/>
      <c r="K5" s="594"/>
      <c r="L5" s="592"/>
      <c r="M5" s="592"/>
      <c r="N5" s="592"/>
      <c r="O5" s="593"/>
      <c r="P5" s="592"/>
      <c r="Q5" s="592"/>
      <c r="R5" s="682"/>
      <c r="S5" s="593"/>
      <c r="T5" s="592"/>
      <c r="U5" s="592"/>
      <c r="V5" s="682"/>
      <c r="W5" s="593"/>
      <c r="X5" s="592"/>
      <c r="Y5" s="592"/>
      <c r="Z5" s="682"/>
    </row>
    <row r="6" spans="1:28" ht="20.149999999999999" customHeight="1">
      <c r="A6" s="596" t="s">
        <v>594</v>
      </c>
      <c r="B6" s="597" t="s">
        <v>595</v>
      </c>
      <c r="C6" s="598">
        <f t="shared" ref="C6:R6" si="9">SUM(C7:C9)</f>
        <v>12361.7</v>
      </c>
      <c r="D6" s="598">
        <f t="shared" si="9"/>
        <v>12435.4</v>
      </c>
      <c r="E6" s="598">
        <f t="shared" si="9"/>
        <v>12508</v>
      </c>
      <c r="F6" s="598">
        <f t="shared" si="9"/>
        <v>12646.4</v>
      </c>
      <c r="G6" s="599">
        <f t="shared" si="9"/>
        <v>12677.4</v>
      </c>
      <c r="H6" s="598">
        <f t="shared" si="9"/>
        <v>12715.1</v>
      </c>
      <c r="I6" s="598">
        <f t="shared" si="9"/>
        <v>12793.1</v>
      </c>
      <c r="J6" s="598">
        <f t="shared" si="9"/>
        <v>12901.7</v>
      </c>
      <c r="K6" s="600">
        <f t="shared" si="9"/>
        <v>12907.6</v>
      </c>
      <c r="L6" s="598">
        <f t="shared" si="9"/>
        <v>12984.099999999999</v>
      </c>
      <c r="M6" s="598">
        <f t="shared" si="9"/>
        <v>13084</v>
      </c>
      <c r="N6" s="598">
        <f>SUM(N7:N9)</f>
        <v>13169.3</v>
      </c>
      <c r="O6" s="599">
        <f t="shared" si="9"/>
        <v>13172</v>
      </c>
      <c r="P6" s="598">
        <f t="shared" si="9"/>
        <v>13188</v>
      </c>
      <c r="Q6" s="598">
        <f t="shared" si="9"/>
        <v>13494</v>
      </c>
      <c r="R6" s="683">
        <f t="shared" si="9"/>
        <v>13465</v>
      </c>
      <c r="S6" s="599">
        <f t="shared" ref="S6:U6" si="10">SUM(S7:S9)</f>
        <v>13379</v>
      </c>
      <c r="T6" s="598">
        <f t="shared" si="10"/>
        <v>13349</v>
      </c>
      <c r="U6" s="598">
        <f t="shared" si="10"/>
        <v>13341</v>
      </c>
      <c r="V6" s="683">
        <f>SUM(V7:V9)</f>
        <v>13285</v>
      </c>
      <c r="W6" s="599">
        <f t="shared" ref="W6:Y6" si="11">SUM(W7:W9)</f>
        <v>13163</v>
      </c>
      <c r="X6" s="598">
        <f t="shared" si="11"/>
        <v>0</v>
      </c>
      <c r="Y6" s="598">
        <f t="shared" si="11"/>
        <v>0</v>
      </c>
      <c r="Z6" s="683">
        <f>SUM(Z7:Z9)</f>
        <v>0</v>
      </c>
      <c r="AA6" s="601"/>
      <c r="AB6" s="891"/>
    </row>
    <row r="7" spans="1:28" ht="20.149999999999999" customHeight="1">
      <c r="A7" s="603" t="s">
        <v>596</v>
      </c>
      <c r="B7" s="603" t="s">
        <v>597</v>
      </c>
      <c r="C7" s="604">
        <v>5220.5</v>
      </c>
      <c r="D7" s="604">
        <v>5270</v>
      </c>
      <c r="E7" s="604">
        <v>5288.3</v>
      </c>
      <c r="F7" s="604">
        <v>5358.7</v>
      </c>
      <c r="G7" s="605">
        <v>5345.9</v>
      </c>
      <c r="H7" s="604">
        <v>5334.3</v>
      </c>
      <c r="I7" s="604">
        <v>5317.8</v>
      </c>
      <c r="J7" s="606">
        <v>5336</v>
      </c>
      <c r="K7" s="604">
        <v>5300.7</v>
      </c>
      <c r="L7" s="604">
        <v>5319.4</v>
      </c>
      <c r="M7" s="604">
        <v>5339.7</v>
      </c>
      <c r="N7" s="604">
        <v>5355.3</v>
      </c>
      <c r="O7" s="605">
        <v>5344</v>
      </c>
      <c r="P7" s="604">
        <v>5332</v>
      </c>
      <c r="Q7" s="604">
        <v>5306</v>
      </c>
      <c r="R7" s="684">
        <v>5264</v>
      </c>
      <c r="S7" s="605">
        <v>5177</v>
      </c>
      <c r="T7" s="604">
        <v>5117</v>
      </c>
      <c r="U7" s="604">
        <v>5106</v>
      </c>
      <c r="V7" s="688">
        <v>5049</v>
      </c>
      <c r="W7" s="605">
        <v>4951</v>
      </c>
      <c r="X7" s="604"/>
      <c r="Y7" s="604"/>
      <c r="Z7" s="688"/>
      <c r="AA7" s="601"/>
      <c r="AB7" s="891"/>
    </row>
    <row r="8" spans="1:28" ht="20.149999999999999" customHeight="1">
      <c r="A8" s="603" t="s">
        <v>598</v>
      </c>
      <c r="B8" s="603" t="s">
        <v>599</v>
      </c>
      <c r="C8" s="604">
        <v>5109</v>
      </c>
      <c r="D8" s="604">
        <v>5150.6000000000004</v>
      </c>
      <c r="E8" s="604">
        <v>5212.2</v>
      </c>
      <c r="F8" s="604">
        <v>5271.2</v>
      </c>
      <c r="G8" s="605">
        <v>5334.6</v>
      </c>
      <c r="H8" s="604">
        <v>5396.4</v>
      </c>
      <c r="I8" s="604">
        <v>5494.2</v>
      </c>
      <c r="J8" s="606">
        <v>5578.1</v>
      </c>
      <c r="K8" s="604">
        <v>5628.3</v>
      </c>
      <c r="L8" s="604">
        <v>5683.4</v>
      </c>
      <c r="M8" s="604">
        <v>5760.6</v>
      </c>
      <c r="N8" s="604">
        <v>5810.2</v>
      </c>
      <c r="O8" s="605">
        <v>5832</v>
      </c>
      <c r="P8" s="604">
        <v>5864</v>
      </c>
      <c r="Q8" s="604">
        <v>6182</v>
      </c>
      <c r="R8" s="684">
        <v>6195</v>
      </c>
      <c r="S8" s="605">
        <v>6205</v>
      </c>
      <c r="T8" s="604">
        <v>6230</v>
      </c>
      <c r="U8" s="604">
        <v>6232</v>
      </c>
      <c r="V8" s="688">
        <v>6238</v>
      </c>
      <c r="W8" s="605">
        <v>6232</v>
      </c>
      <c r="X8" s="604"/>
      <c r="Y8" s="604"/>
      <c r="Z8" s="688"/>
      <c r="AA8" s="601"/>
      <c r="AB8" s="891"/>
    </row>
    <row r="9" spans="1:28" ht="20.149999999999999" customHeight="1">
      <c r="A9" s="603" t="s">
        <v>600</v>
      </c>
      <c r="B9" s="603" t="s">
        <v>601</v>
      </c>
      <c r="C9" s="604">
        <v>2032.2</v>
      </c>
      <c r="D9" s="604">
        <v>2014.8</v>
      </c>
      <c r="E9" s="604">
        <v>2007.5</v>
      </c>
      <c r="F9" s="604">
        <v>2016.5</v>
      </c>
      <c r="G9" s="605">
        <v>1996.9</v>
      </c>
      <c r="H9" s="604">
        <v>1984.4</v>
      </c>
      <c r="I9" s="604">
        <v>1981.1</v>
      </c>
      <c r="J9" s="606">
        <v>1987.6</v>
      </c>
      <c r="K9" s="604">
        <v>1978.6</v>
      </c>
      <c r="L9" s="604">
        <v>1981.3</v>
      </c>
      <c r="M9" s="604">
        <v>1983.7</v>
      </c>
      <c r="N9" s="604">
        <v>2003.8</v>
      </c>
      <c r="O9" s="605">
        <v>1996</v>
      </c>
      <c r="P9" s="604">
        <v>1992</v>
      </c>
      <c r="Q9" s="604">
        <v>2006</v>
      </c>
      <c r="R9" s="684">
        <v>2006</v>
      </c>
      <c r="S9" s="605">
        <v>1997</v>
      </c>
      <c r="T9" s="604">
        <v>2002</v>
      </c>
      <c r="U9" s="604">
        <v>2003</v>
      </c>
      <c r="V9" s="688">
        <v>1998</v>
      </c>
      <c r="W9" s="605">
        <v>1980</v>
      </c>
      <c r="X9" s="604"/>
      <c r="Y9" s="604"/>
      <c r="Z9" s="688"/>
      <c r="AA9" s="601"/>
      <c r="AB9" s="891"/>
    </row>
    <row r="10" spans="1:28" s="607" customFormat="1" ht="20.149999999999999" customHeight="1">
      <c r="A10" s="596" t="s">
        <v>602</v>
      </c>
      <c r="B10" s="597" t="s">
        <v>603</v>
      </c>
      <c r="C10" s="598">
        <v>6252</v>
      </c>
      <c r="D10" s="598">
        <v>6217</v>
      </c>
      <c r="E10" s="598">
        <v>6192</v>
      </c>
      <c r="F10" s="598">
        <v>6176.3</v>
      </c>
      <c r="G10" s="599">
        <v>6133.1</v>
      </c>
      <c r="H10" s="598">
        <v>6100.4</v>
      </c>
      <c r="I10" s="598">
        <v>6082.7</v>
      </c>
      <c r="J10" s="598">
        <v>6086.7</v>
      </c>
      <c r="K10" s="600">
        <v>6046.1</v>
      </c>
      <c r="L10" s="598">
        <v>6033</v>
      </c>
      <c r="M10" s="598">
        <v>6018.3</v>
      </c>
      <c r="N10" s="598">
        <v>6003.6</v>
      </c>
      <c r="O10" s="599">
        <v>5962</v>
      </c>
      <c r="P10" s="598">
        <v>5932</v>
      </c>
      <c r="Q10" s="598">
        <v>6069</v>
      </c>
      <c r="R10" s="683">
        <v>6047</v>
      </c>
      <c r="S10" s="599">
        <v>6012</v>
      </c>
      <c r="T10" s="598">
        <v>5990</v>
      </c>
      <c r="U10" s="598">
        <v>5967</v>
      </c>
      <c r="V10" s="683">
        <v>5934</v>
      </c>
      <c r="W10" s="605">
        <v>5887</v>
      </c>
      <c r="X10" s="598"/>
      <c r="Y10" s="598"/>
      <c r="Z10" s="683"/>
      <c r="AA10" s="601"/>
      <c r="AB10" s="891"/>
    </row>
    <row r="11" spans="1:28" s="613" customFormat="1" ht="20.149999999999999" customHeight="1">
      <c r="A11" s="608" t="s">
        <v>604</v>
      </c>
      <c r="B11" s="609" t="s">
        <v>605</v>
      </c>
      <c r="C11" s="610">
        <v>60.6</v>
      </c>
      <c r="D11" s="610">
        <v>61.3</v>
      </c>
      <c r="E11" s="610">
        <v>62.5</v>
      </c>
      <c r="F11" s="610">
        <v>62.6</v>
      </c>
      <c r="G11" s="611">
        <v>62</v>
      </c>
      <c r="H11" s="610">
        <v>62.2</v>
      </c>
      <c r="I11" s="610">
        <v>63.4</v>
      </c>
      <c r="J11" s="610">
        <v>63.8</v>
      </c>
      <c r="K11" s="612">
        <v>63.3</v>
      </c>
      <c r="L11" s="610">
        <v>63.3</v>
      </c>
      <c r="M11" s="610">
        <v>64.900000000000006</v>
      </c>
      <c r="N11" s="610">
        <v>66.2</v>
      </c>
      <c r="O11" s="611">
        <v>67.2</v>
      </c>
      <c r="P11" s="610">
        <v>67.8</v>
      </c>
      <c r="Q11" s="610">
        <v>68.599999999999994</v>
      </c>
      <c r="R11" s="685">
        <v>69.099999999999994</v>
      </c>
      <c r="S11" s="611">
        <v>69.8</v>
      </c>
      <c r="T11" s="610">
        <v>70.2</v>
      </c>
      <c r="U11" s="610">
        <v>71.3</v>
      </c>
      <c r="V11" s="685">
        <v>71.7</v>
      </c>
      <c r="W11" s="611">
        <v>71.400000000000006</v>
      </c>
      <c r="X11" s="610"/>
      <c r="Y11" s="610"/>
      <c r="Z11" s="685"/>
      <c r="AB11" s="891"/>
    </row>
    <row r="12" spans="1:28" s="613" customFormat="1" ht="20.149999999999999" customHeight="1">
      <c r="A12" s="608" t="s">
        <v>606</v>
      </c>
      <c r="B12" s="609" t="s">
        <v>607</v>
      </c>
      <c r="C12" s="610">
        <v>60.6</v>
      </c>
      <c r="D12" s="610">
        <v>60.9</v>
      </c>
      <c r="E12" s="610">
        <v>61.5</v>
      </c>
      <c r="F12" s="610">
        <v>61.8</v>
      </c>
      <c r="G12" s="611">
        <v>62</v>
      </c>
      <c r="H12" s="610">
        <v>62.1</v>
      </c>
      <c r="I12" s="610">
        <v>62.5</v>
      </c>
      <c r="J12" s="610">
        <v>62.9</v>
      </c>
      <c r="K12" s="612">
        <v>63.3</v>
      </c>
      <c r="L12" s="610">
        <v>63.3</v>
      </c>
      <c r="M12" s="610">
        <v>63.9</v>
      </c>
      <c r="N12" s="610">
        <v>64.5</v>
      </c>
      <c r="O12" s="611">
        <v>67.2</v>
      </c>
      <c r="P12" s="610">
        <v>67.5</v>
      </c>
      <c r="Q12" s="610">
        <v>67.900000000000006</v>
      </c>
      <c r="R12" s="685">
        <v>68.2</v>
      </c>
      <c r="S12" s="611">
        <v>69.8</v>
      </c>
      <c r="T12" s="610">
        <v>70</v>
      </c>
      <c r="U12" s="610">
        <v>70.400000000000006</v>
      </c>
      <c r="V12" s="685">
        <v>70.8</v>
      </c>
      <c r="W12" s="611">
        <v>71.400000000000006</v>
      </c>
      <c r="X12" s="610"/>
      <c r="Y12" s="610"/>
      <c r="Z12" s="685"/>
      <c r="AB12" s="891"/>
    </row>
    <row r="13" spans="1:28" ht="20.149999999999999" customHeight="1">
      <c r="A13" s="614" t="s">
        <v>608</v>
      </c>
      <c r="B13" s="614" t="s">
        <v>609</v>
      </c>
      <c r="C13" s="615" t="s">
        <v>610</v>
      </c>
      <c r="D13" s="615" t="s">
        <v>610</v>
      </c>
      <c r="E13" s="615" t="s">
        <v>610</v>
      </c>
      <c r="F13" s="615" t="s">
        <v>610</v>
      </c>
      <c r="G13" s="616">
        <v>7.9000000000000001E-2</v>
      </c>
      <c r="H13" s="615">
        <v>7.6999999999999999E-2</v>
      </c>
      <c r="I13" s="615">
        <v>7.3999999999999996E-2</v>
      </c>
      <c r="J13" s="615">
        <v>7.1999999999999995E-2</v>
      </c>
      <c r="K13" s="617">
        <v>7.1999999999999995E-2</v>
      </c>
      <c r="L13" s="615">
        <v>6.9000000000000006E-2</v>
      </c>
      <c r="M13" s="615">
        <v>6.7000000000000004E-2</v>
      </c>
      <c r="N13" s="615">
        <v>6.9000000000000006E-2</v>
      </c>
      <c r="O13" s="616">
        <v>7.0999999999999994E-2</v>
      </c>
      <c r="P13" s="615">
        <v>7.2999999999999995E-2</v>
      </c>
      <c r="Q13" s="615">
        <v>6.9000000000000006E-2</v>
      </c>
      <c r="R13" s="686">
        <v>6.9000000000000006E-2</v>
      </c>
      <c r="S13" s="616">
        <v>6.8000000000000005E-2</v>
      </c>
      <c r="T13" s="615">
        <v>6.8000000000000005E-2</v>
      </c>
      <c r="U13" s="615">
        <v>6.8000000000000005E-2</v>
      </c>
      <c r="V13" s="686">
        <v>7.0000000000000007E-2</v>
      </c>
      <c r="W13" s="616">
        <v>7.1999999999999995E-2</v>
      </c>
      <c r="X13" s="615"/>
      <c r="Y13" s="615"/>
      <c r="Z13" s="686"/>
      <c r="AA13" s="601"/>
      <c r="AB13" s="891"/>
    </row>
    <row r="14" spans="1:28" ht="20.149999999999999" customHeight="1">
      <c r="A14" s="614" t="s">
        <v>611</v>
      </c>
      <c r="B14" s="614" t="s">
        <v>612</v>
      </c>
      <c r="C14" s="618">
        <v>1.98</v>
      </c>
      <c r="D14" s="618">
        <v>2</v>
      </c>
      <c r="E14" s="618">
        <v>2.02</v>
      </c>
      <c r="F14" s="618">
        <v>2.0499999999999998</v>
      </c>
      <c r="G14" s="619">
        <v>2.0699999999999998</v>
      </c>
      <c r="H14" s="618">
        <v>2.08</v>
      </c>
      <c r="I14" s="618">
        <v>2.1</v>
      </c>
      <c r="J14" s="618">
        <v>2.12</v>
      </c>
      <c r="K14" s="620">
        <v>2.13</v>
      </c>
      <c r="L14" s="618">
        <v>2.15</v>
      </c>
      <c r="M14" s="618">
        <v>2.17</v>
      </c>
      <c r="N14" s="618">
        <v>2.19</v>
      </c>
      <c r="O14" s="619">
        <v>2.21</v>
      </c>
      <c r="P14" s="618">
        <v>2.2200000000000002</v>
      </c>
      <c r="Q14" s="618">
        <v>2.2200000000000002</v>
      </c>
      <c r="R14" s="687">
        <v>2.23</v>
      </c>
      <c r="S14" s="619">
        <v>2.23</v>
      </c>
      <c r="T14" s="618">
        <v>2.23</v>
      </c>
      <c r="U14" s="618">
        <v>2.2400000000000002</v>
      </c>
      <c r="V14" s="687">
        <v>2.2400000000000002</v>
      </c>
      <c r="W14" s="619">
        <v>2.2400000000000002</v>
      </c>
      <c r="X14" s="618"/>
      <c r="Y14" s="618"/>
      <c r="Z14" s="687"/>
      <c r="AA14" s="892"/>
      <c r="AB14" s="891"/>
    </row>
    <row r="15" spans="1:28" s="595" customFormat="1" ht="20.149999999999999" customHeight="1">
      <c r="A15" s="591" t="s">
        <v>613</v>
      </c>
      <c r="B15" s="591" t="s">
        <v>614</v>
      </c>
      <c r="C15" s="592"/>
      <c r="D15" s="592"/>
      <c r="E15" s="592"/>
      <c r="F15" s="592"/>
      <c r="G15" s="593"/>
      <c r="H15" s="592"/>
      <c r="I15" s="592"/>
      <c r="J15" s="592"/>
      <c r="K15" s="594"/>
      <c r="L15" s="592"/>
      <c r="M15" s="592"/>
      <c r="N15" s="592"/>
      <c r="O15" s="593"/>
      <c r="P15" s="592"/>
      <c r="Q15" s="592"/>
      <c r="R15" s="682"/>
      <c r="S15" s="593"/>
      <c r="T15" s="592"/>
      <c r="U15" s="592"/>
      <c r="V15" s="682"/>
      <c r="W15" s="593"/>
      <c r="X15" s="592"/>
      <c r="Y15" s="592"/>
      <c r="Z15" s="682"/>
      <c r="AA15" s="601"/>
      <c r="AB15" s="891"/>
    </row>
    <row r="16" spans="1:28" s="601" customFormat="1" ht="20.149999999999999" customHeight="1">
      <c r="A16" s="621" t="s">
        <v>615</v>
      </c>
      <c r="B16" s="622" t="s">
        <v>616</v>
      </c>
      <c r="C16" s="598">
        <f t="shared" ref="C16:R16" si="12">SUM(C17:C19)</f>
        <v>2783.2</v>
      </c>
      <c r="D16" s="598">
        <f t="shared" si="12"/>
        <v>2768.7</v>
      </c>
      <c r="E16" s="598">
        <f t="shared" si="12"/>
        <v>2794.2000000000003</v>
      </c>
      <c r="F16" s="598">
        <f t="shared" si="12"/>
        <v>2646.9</v>
      </c>
      <c r="G16" s="599">
        <f t="shared" si="12"/>
        <v>2642.7999999999997</v>
      </c>
      <c r="H16" s="598">
        <f t="shared" si="12"/>
        <v>2607.4</v>
      </c>
      <c r="I16" s="598">
        <f t="shared" si="12"/>
        <v>2678.9</v>
      </c>
      <c r="J16" s="598">
        <f t="shared" si="12"/>
        <v>2657.5</v>
      </c>
      <c r="K16" s="600">
        <f t="shared" si="12"/>
        <v>2638.7000000000003</v>
      </c>
      <c r="L16" s="598">
        <f t="shared" si="12"/>
        <v>2525.1999999999998</v>
      </c>
      <c r="M16" s="598">
        <f t="shared" si="12"/>
        <v>2671.2</v>
      </c>
      <c r="N16" s="598">
        <f t="shared" si="12"/>
        <v>2617.8000000000002</v>
      </c>
      <c r="O16" s="599">
        <f t="shared" si="12"/>
        <v>2736</v>
      </c>
      <c r="P16" s="598">
        <f t="shared" si="12"/>
        <v>2596</v>
      </c>
      <c r="Q16" s="598">
        <f t="shared" si="12"/>
        <v>2773</v>
      </c>
      <c r="R16" s="683">
        <f t="shared" si="12"/>
        <v>2665.6990000000001</v>
      </c>
      <c r="S16" s="599">
        <f t="shared" ref="S16:V16" si="13">SUM(S17:S19)</f>
        <v>2832</v>
      </c>
      <c r="T16" s="598">
        <f t="shared" si="13"/>
        <v>2772</v>
      </c>
      <c r="U16" s="598">
        <f t="shared" si="13"/>
        <v>2832</v>
      </c>
      <c r="V16" s="683">
        <f t="shared" si="13"/>
        <v>2691</v>
      </c>
      <c r="W16" s="599">
        <f t="shared" ref="W16:Z16" si="14">SUM(W17:W19)</f>
        <v>2693</v>
      </c>
      <c r="X16" s="598">
        <f t="shared" si="14"/>
        <v>0</v>
      </c>
      <c r="Y16" s="598">
        <f t="shared" si="14"/>
        <v>0</v>
      </c>
      <c r="Z16" s="683">
        <f t="shared" si="14"/>
        <v>0</v>
      </c>
      <c r="AB16" s="891"/>
    </row>
    <row r="17" spans="1:28" s="601" customFormat="1" ht="20.149999999999999" customHeight="1">
      <c r="A17" s="623" t="s">
        <v>617</v>
      </c>
      <c r="B17" s="623" t="s">
        <v>618</v>
      </c>
      <c r="C17" s="624">
        <v>75.2</v>
      </c>
      <c r="D17" s="624">
        <v>59.7</v>
      </c>
      <c r="E17" s="624">
        <v>91.3</v>
      </c>
      <c r="F17" s="624">
        <v>95.7</v>
      </c>
      <c r="G17" s="625">
        <v>144.6</v>
      </c>
      <c r="H17" s="624">
        <v>87.2</v>
      </c>
      <c r="I17" s="624">
        <v>142.9</v>
      </c>
      <c r="J17" s="624">
        <v>161.19999999999999</v>
      </c>
      <c r="K17" s="626">
        <v>172</v>
      </c>
      <c r="L17" s="624">
        <v>93.3</v>
      </c>
      <c r="M17" s="624">
        <v>158.1</v>
      </c>
      <c r="N17" s="624">
        <v>114.4</v>
      </c>
      <c r="O17" s="625">
        <v>225</v>
      </c>
      <c r="P17" s="624">
        <v>135</v>
      </c>
      <c r="Q17" s="624">
        <v>145</v>
      </c>
      <c r="R17" s="688">
        <v>89.698999999999998</v>
      </c>
      <c r="S17" s="625">
        <v>129</v>
      </c>
      <c r="T17" s="624">
        <v>81</v>
      </c>
      <c r="U17" s="624">
        <v>161</v>
      </c>
      <c r="V17" s="688">
        <v>82</v>
      </c>
      <c r="W17" s="625">
        <v>121</v>
      </c>
      <c r="X17" s="624"/>
      <c r="Y17" s="624"/>
      <c r="Z17" s="688"/>
      <c r="AB17" s="891"/>
    </row>
    <row r="18" spans="1:28" s="601" customFormat="1" ht="20.149999999999999" customHeight="1">
      <c r="A18" s="623" t="s">
        <v>598</v>
      </c>
      <c r="B18" s="623" t="s">
        <v>619</v>
      </c>
      <c r="C18" s="624">
        <v>2539.4</v>
      </c>
      <c r="D18" s="624">
        <v>2545.6999999999998</v>
      </c>
      <c r="E18" s="624">
        <v>2550.4</v>
      </c>
      <c r="F18" s="624">
        <v>2423.8000000000002</v>
      </c>
      <c r="G18" s="625">
        <v>2387.6999999999998</v>
      </c>
      <c r="H18" s="624">
        <v>2418.4</v>
      </c>
      <c r="I18" s="624">
        <v>2443.3000000000002</v>
      </c>
      <c r="J18" s="624">
        <v>2415.8000000000002</v>
      </c>
      <c r="K18" s="626">
        <v>2393.4</v>
      </c>
      <c r="L18" s="624">
        <v>2364.1999999999998</v>
      </c>
      <c r="M18" s="624">
        <v>2449.1999999999998</v>
      </c>
      <c r="N18" s="624">
        <v>2445.9</v>
      </c>
      <c r="O18" s="625">
        <v>2458</v>
      </c>
      <c r="P18" s="624">
        <v>2414</v>
      </c>
      <c r="Q18" s="624">
        <v>2584</v>
      </c>
      <c r="R18" s="688">
        <v>2537</v>
      </c>
      <c r="S18" s="625">
        <v>2666</v>
      </c>
      <c r="T18" s="624">
        <v>2655</v>
      </c>
      <c r="U18" s="624">
        <v>2636</v>
      </c>
      <c r="V18" s="688">
        <v>2578</v>
      </c>
      <c r="W18" s="625">
        <v>2542</v>
      </c>
      <c r="X18" s="624"/>
      <c r="Y18" s="624"/>
      <c r="Z18" s="688"/>
      <c r="AB18" s="891"/>
    </row>
    <row r="19" spans="1:28" s="601" customFormat="1" ht="20.149999999999999" customHeight="1">
      <c r="A19" s="623" t="s">
        <v>620</v>
      </c>
      <c r="B19" s="623" t="s">
        <v>621</v>
      </c>
      <c r="C19" s="624">
        <v>168.6</v>
      </c>
      <c r="D19" s="624">
        <v>163.30000000000001</v>
      </c>
      <c r="E19" s="624">
        <v>152.5</v>
      </c>
      <c r="F19" s="624">
        <v>127.4</v>
      </c>
      <c r="G19" s="625">
        <v>110.5</v>
      </c>
      <c r="H19" s="624">
        <v>101.8</v>
      </c>
      <c r="I19" s="624">
        <v>92.7</v>
      </c>
      <c r="J19" s="624">
        <v>80.5</v>
      </c>
      <c r="K19" s="626">
        <v>73.3</v>
      </c>
      <c r="L19" s="624">
        <v>67.7</v>
      </c>
      <c r="M19" s="624">
        <v>63.9</v>
      </c>
      <c r="N19" s="624">
        <v>57.5</v>
      </c>
      <c r="O19" s="625">
        <v>53</v>
      </c>
      <c r="P19" s="624">
        <v>47</v>
      </c>
      <c r="Q19" s="624">
        <v>44</v>
      </c>
      <c r="R19" s="688">
        <v>39</v>
      </c>
      <c r="S19" s="625">
        <v>37</v>
      </c>
      <c r="T19" s="624">
        <v>36</v>
      </c>
      <c r="U19" s="624">
        <v>35</v>
      </c>
      <c r="V19" s="688">
        <v>31</v>
      </c>
      <c r="W19" s="625">
        <v>30</v>
      </c>
      <c r="X19" s="624"/>
      <c r="Y19" s="624"/>
      <c r="Z19" s="688"/>
      <c r="AB19" s="891"/>
    </row>
    <row r="20" spans="1:28" s="613" customFormat="1" ht="20.149999999999999" customHeight="1">
      <c r="A20" s="608" t="s">
        <v>622</v>
      </c>
      <c r="B20" s="609" t="s">
        <v>623</v>
      </c>
      <c r="C20" s="610">
        <v>15.1</v>
      </c>
      <c r="D20" s="610">
        <v>15.4</v>
      </c>
      <c r="E20" s="610">
        <v>15.9</v>
      </c>
      <c r="F20" s="610">
        <v>15.2</v>
      </c>
      <c r="G20" s="611">
        <v>15</v>
      </c>
      <c r="H20" s="610">
        <v>15.5</v>
      </c>
      <c r="I20" s="610">
        <v>15.7</v>
      </c>
      <c r="J20" s="610">
        <v>15.2</v>
      </c>
      <c r="K20" s="612">
        <v>15.1</v>
      </c>
      <c r="L20" s="610">
        <v>15.2</v>
      </c>
      <c r="M20" s="610">
        <v>15.9</v>
      </c>
      <c r="N20" s="610">
        <v>15.8</v>
      </c>
      <c r="O20" s="611">
        <v>15.6</v>
      </c>
      <c r="P20" s="610">
        <v>16</v>
      </c>
      <c r="Q20" s="610">
        <v>16.399999999999999</v>
      </c>
      <c r="R20" s="685">
        <v>16.600000000000001</v>
      </c>
      <c r="S20" s="611">
        <v>17.2</v>
      </c>
      <c r="T20" s="610">
        <v>17.399999999999999</v>
      </c>
      <c r="U20" s="610">
        <v>17.899999999999999</v>
      </c>
      <c r="V20" s="685">
        <v>17.399999999999999</v>
      </c>
      <c r="W20" s="611">
        <v>17.100000000000001</v>
      </c>
      <c r="X20" s="610"/>
      <c r="Y20" s="610"/>
      <c r="Z20" s="685"/>
      <c r="AB20" s="891"/>
    </row>
    <row r="21" spans="1:28" s="613" customFormat="1" ht="20.149999999999999" customHeight="1" thickBot="1">
      <c r="A21" s="627" t="s">
        <v>624</v>
      </c>
      <c r="B21" s="628" t="s">
        <v>625</v>
      </c>
      <c r="C21" s="629">
        <v>15.1</v>
      </c>
      <c r="D21" s="629">
        <v>15.3</v>
      </c>
      <c r="E21" s="629">
        <v>15.5</v>
      </c>
      <c r="F21" s="629">
        <v>15.4</v>
      </c>
      <c r="G21" s="630">
        <v>15</v>
      </c>
      <c r="H21" s="629">
        <v>15.3</v>
      </c>
      <c r="I21" s="629">
        <v>15.4</v>
      </c>
      <c r="J21" s="629">
        <v>15.4</v>
      </c>
      <c r="K21" s="631">
        <v>15.1</v>
      </c>
      <c r="L21" s="629">
        <v>15.1</v>
      </c>
      <c r="M21" s="629">
        <v>15.4</v>
      </c>
      <c r="N21" s="629">
        <v>15.5</v>
      </c>
      <c r="O21" s="630">
        <v>15.6</v>
      </c>
      <c r="P21" s="629">
        <v>15.8</v>
      </c>
      <c r="Q21" s="629">
        <v>16</v>
      </c>
      <c r="R21" s="689">
        <v>16.2</v>
      </c>
      <c r="S21" s="630">
        <v>17.2</v>
      </c>
      <c r="T21" s="629">
        <v>17.3</v>
      </c>
      <c r="U21" s="629">
        <v>17.5</v>
      </c>
      <c r="V21" s="689">
        <v>17.5</v>
      </c>
      <c r="W21" s="630">
        <v>17.100000000000001</v>
      </c>
      <c r="X21" s="629"/>
      <c r="Y21" s="629"/>
      <c r="Z21" s="689"/>
      <c r="AA21" s="601"/>
      <c r="AB21" s="891"/>
    </row>
    <row r="22" spans="1:28" s="595" customFormat="1" ht="20.149999999999999" customHeight="1">
      <c r="A22" s="591" t="s">
        <v>626</v>
      </c>
      <c r="B22" s="591" t="s">
        <v>627</v>
      </c>
      <c r="C22" s="592"/>
      <c r="D22" s="592"/>
      <c r="E22" s="592"/>
      <c r="F22" s="592"/>
      <c r="G22" s="593"/>
      <c r="H22" s="592"/>
      <c r="I22" s="592"/>
      <c r="J22" s="592"/>
      <c r="K22" s="594"/>
      <c r="L22" s="592"/>
      <c r="M22" s="592"/>
      <c r="N22" s="592"/>
      <c r="O22" s="593"/>
      <c r="P22" s="592"/>
      <c r="Q22" s="592"/>
      <c r="R22" s="682"/>
      <c r="S22" s="593"/>
      <c r="T22" s="592"/>
      <c r="U22" s="592"/>
      <c r="V22" s="682"/>
      <c r="W22" s="593"/>
      <c r="X22" s="592"/>
      <c r="Y22" s="592"/>
      <c r="Z22" s="682"/>
      <c r="AA22" s="601"/>
      <c r="AB22" s="891"/>
    </row>
    <row r="23" spans="1:28" s="613" customFormat="1" ht="20.149999999999999" customHeight="1">
      <c r="A23" s="608" t="s">
        <v>628</v>
      </c>
      <c r="B23" s="609" t="s">
        <v>629</v>
      </c>
      <c r="C23" s="610">
        <v>68.2</v>
      </c>
      <c r="D23" s="610">
        <v>68</v>
      </c>
      <c r="E23" s="610">
        <v>68.099999999999994</v>
      </c>
      <c r="F23" s="610">
        <v>68.2</v>
      </c>
      <c r="G23" s="611">
        <v>68.2</v>
      </c>
      <c r="H23" s="610">
        <v>68.2</v>
      </c>
      <c r="I23" s="610">
        <v>68.400000000000006</v>
      </c>
      <c r="J23" s="610">
        <v>68.7</v>
      </c>
      <c r="K23" s="612">
        <v>68.900000000000006</v>
      </c>
      <c r="L23" s="610">
        <v>68.599999999999994</v>
      </c>
      <c r="M23" s="610">
        <v>68.900000000000006</v>
      </c>
      <c r="N23" s="610">
        <v>69.3</v>
      </c>
      <c r="O23" s="611">
        <v>68.8</v>
      </c>
      <c r="P23" s="610">
        <v>68.3</v>
      </c>
      <c r="Q23" s="610">
        <v>68.8</v>
      </c>
      <c r="R23" s="685">
        <v>68.900000000000006</v>
      </c>
      <c r="S23" s="611">
        <v>68.900000000000006</v>
      </c>
      <c r="T23" s="610">
        <v>68.8</v>
      </c>
      <c r="U23" s="610">
        <v>69.099999999999994</v>
      </c>
      <c r="V23" s="685">
        <v>69.099999999999994</v>
      </c>
      <c r="W23" s="611">
        <v>69.3</v>
      </c>
      <c r="X23" s="610"/>
      <c r="Y23" s="610"/>
      <c r="Z23" s="685"/>
      <c r="AB23" s="891"/>
    </row>
    <row r="24" spans="1:28" ht="20.149999999999999" customHeight="1">
      <c r="A24" s="608" t="s">
        <v>630</v>
      </c>
      <c r="B24" s="609" t="s">
        <v>631</v>
      </c>
      <c r="C24" s="624">
        <v>1412.8</v>
      </c>
      <c r="D24" s="624">
        <v>1438.5</v>
      </c>
      <c r="E24" s="624">
        <v>1442.3</v>
      </c>
      <c r="F24" s="624">
        <v>1408.8</v>
      </c>
      <c r="G24" s="625">
        <v>1391.3</v>
      </c>
      <c r="H24" s="624">
        <v>1384.2</v>
      </c>
      <c r="I24" s="624">
        <v>1409.9</v>
      </c>
      <c r="J24" s="624">
        <v>1413.9</v>
      </c>
      <c r="K24" s="626">
        <v>1392.9</v>
      </c>
      <c r="L24" s="624">
        <v>1376.1</v>
      </c>
      <c r="M24" s="624">
        <v>1368.6</v>
      </c>
      <c r="N24" s="624">
        <v>1384.2</v>
      </c>
      <c r="O24" s="625">
        <v>1404</v>
      </c>
      <c r="P24" s="624">
        <v>1387</v>
      </c>
      <c r="Q24" s="624">
        <v>1367</v>
      </c>
      <c r="R24" s="688">
        <v>1403</v>
      </c>
      <c r="S24" s="625">
        <v>1392</v>
      </c>
      <c r="T24" s="624">
        <v>1378</v>
      </c>
      <c r="U24" s="624">
        <v>1425</v>
      </c>
      <c r="V24" s="688">
        <v>1427</v>
      </c>
      <c r="W24" s="625">
        <v>1434</v>
      </c>
      <c r="X24" s="624"/>
      <c r="Y24" s="624"/>
      <c r="Z24" s="688"/>
      <c r="AA24" s="613"/>
      <c r="AB24" s="891"/>
    </row>
    <row r="25" spans="1:28" ht="20.149999999999999" customHeight="1" thickBot="1">
      <c r="A25" s="632" t="s">
        <v>632</v>
      </c>
      <c r="B25" s="633" t="s">
        <v>633</v>
      </c>
      <c r="C25" s="634">
        <v>1412.8</v>
      </c>
      <c r="D25" s="634">
        <v>1425.6</v>
      </c>
      <c r="E25" s="634">
        <v>1431.2</v>
      </c>
      <c r="F25" s="634">
        <v>1425.6</v>
      </c>
      <c r="G25" s="635">
        <v>1391.3</v>
      </c>
      <c r="H25" s="634">
        <v>1387.8</v>
      </c>
      <c r="I25" s="634">
        <v>1395.1</v>
      </c>
      <c r="J25" s="634">
        <v>1399.9</v>
      </c>
      <c r="K25" s="636">
        <v>1392.9</v>
      </c>
      <c r="L25" s="634">
        <v>1384.5</v>
      </c>
      <c r="M25" s="634">
        <v>1379.2</v>
      </c>
      <c r="N25" s="634">
        <v>1380.5</v>
      </c>
      <c r="O25" s="635">
        <v>1404</v>
      </c>
      <c r="P25" s="634">
        <v>1396</v>
      </c>
      <c r="Q25" s="634">
        <v>1386</v>
      </c>
      <c r="R25" s="690">
        <v>1390</v>
      </c>
      <c r="S25" s="635">
        <v>1392</v>
      </c>
      <c r="T25" s="634">
        <v>1385</v>
      </c>
      <c r="U25" s="634">
        <v>1398</v>
      </c>
      <c r="V25" s="690">
        <v>1406</v>
      </c>
      <c r="W25" s="635">
        <v>1434</v>
      </c>
      <c r="X25" s="634"/>
      <c r="Y25" s="634"/>
      <c r="Z25" s="690"/>
      <c r="AA25" s="601"/>
      <c r="AB25" s="891"/>
    </row>
    <row r="26" spans="1:28" ht="20.149999999999999" customHeight="1">
      <c r="C26" s="613"/>
      <c r="D26" s="613"/>
      <c r="E26" s="613"/>
      <c r="F26" s="613"/>
      <c r="G26" s="613"/>
      <c r="H26" s="613"/>
      <c r="I26" s="613"/>
      <c r="J26" s="613"/>
      <c r="K26" s="613"/>
      <c r="L26" s="613"/>
      <c r="M26" s="613"/>
      <c r="N26" s="613"/>
      <c r="O26" s="613"/>
      <c r="P26" s="613"/>
      <c r="Q26" s="613"/>
      <c r="S26" s="613"/>
      <c r="T26" s="613"/>
      <c r="U26" s="613"/>
      <c r="W26" s="613"/>
      <c r="X26" s="613"/>
      <c r="Y26" s="613"/>
    </row>
    <row r="27" spans="1:28" ht="60">
      <c r="A27" s="637" t="s">
        <v>634</v>
      </c>
      <c r="B27" s="638" t="s">
        <v>635</v>
      </c>
      <c r="C27" s="639"/>
      <c r="D27" s="639"/>
      <c r="E27" s="639"/>
      <c r="F27" s="639"/>
      <c r="G27" s="639"/>
      <c r="H27" s="639"/>
      <c r="I27" s="639"/>
      <c r="J27" s="639"/>
      <c r="K27" s="639"/>
      <c r="L27" s="639"/>
      <c r="M27" s="639"/>
      <c r="N27" s="639"/>
      <c r="O27" s="639"/>
      <c r="P27" s="639"/>
      <c r="Q27" s="639"/>
      <c r="S27" s="639"/>
      <c r="T27" s="639"/>
      <c r="U27" s="639"/>
      <c r="W27" s="639"/>
      <c r="X27" s="639"/>
      <c r="Y27" s="639"/>
    </row>
    <row r="28" spans="1:28" ht="60">
      <c r="A28" s="637" t="s">
        <v>636</v>
      </c>
      <c r="B28" s="638" t="s">
        <v>637</v>
      </c>
      <c r="C28" s="640"/>
      <c r="D28" s="640"/>
      <c r="E28" s="640"/>
      <c r="F28" s="640"/>
      <c r="G28" s="641"/>
      <c r="H28" s="641"/>
      <c r="I28" s="641"/>
      <c r="J28" s="641"/>
      <c r="K28" s="641"/>
      <c r="L28" s="641"/>
      <c r="M28" s="641"/>
      <c r="N28" s="641"/>
      <c r="O28" s="641"/>
      <c r="P28" s="641"/>
      <c r="Q28" s="722"/>
      <c r="R28" s="722"/>
      <c r="S28" s="723"/>
      <c r="T28" s="724"/>
      <c r="U28" s="641"/>
      <c r="W28" s="723"/>
      <c r="X28" s="724"/>
      <c r="Y28" s="641"/>
    </row>
    <row r="29" spans="1:28" ht="36">
      <c r="A29" s="642" t="s">
        <v>638</v>
      </c>
      <c r="B29" s="638" t="s">
        <v>639</v>
      </c>
      <c r="C29" s="640"/>
      <c r="D29" s="640"/>
      <c r="E29" s="640"/>
      <c r="F29" s="640"/>
      <c r="G29" s="641"/>
      <c r="H29" s="641"/>
      <c r="I29" s="641"/>
      <c r="J29" s="641"/>
      <c r="K29" s="641"/>
      <c r="L29" s="641"/>
      <c r="M29" s="641"/>
      <c r="N29" s="641"/>
      <c r="O29" s="641"/>
      <c r="P29" s="641"/>
      <c r="Q29" s="722"/>
      <c r="S29" s="723"/>
      <c r="T29" s="724"/>
      <c r="U29" s="641"/>
      <c r="W29" s="723"/>
      <c r="X29" s="724"/>
      <c r="Y29" s="641"/>
    </row>
    <row r="30" spans="1:28" ht="132" customHeight="1">
      <c r="A30" s="642" t="s">
        <v>640</v>
      </c>
      <c r="B30" s="638" t="s">
        <v>641</v>
      </c>
      <c r="G30" s="641"/>
      <c r="H30" s="641"/>
      <c r="I30" s="641"/>
      <c r="J30" s="641"/>
      <c r="K30" s="641"/>
      <c r="L30" s="641"/>
      <c r="M30" s="641"/>
      <c r="N30" s="641"/>
      <c r="O30" s="641"/>
      <c r="P30" s="641"/>
      <c r="Q30" s="641"/>
      <c r="S30" s="641"/>
      <c r="T30" s="641"/>
      <c r="U30" s="641"/>
      <c r="W30" s="641"/>
      <c r="X30" s="641"/>
      <c r="Y30" s="641"/>
    </row>
    <row r="31" spans="1:28" ht="36">
      <c r="A31" s="642" t="s">
        <v>642</v>
      </c>
      <c r="B31" s="638" t="s">
        <v>643</v>
      </c>
      <c r="C31" s="640"/>
      <c r="D31" s="640"/>
      <c r="E31" s="640"/>
      <c r="F31" s="640"/>
    </row>
    <row r="32" spans="1:28" ht="12">
      <c r="A32" s="643"/>
      <c r="B32" s="638"/>
    </row>
    <row r="33" ht="20.149999999999999" customHeight="1"/>
    <row r="34" ht="20.149999999999999" customHeight="1"/>
    <row r="35" ht="20.149999999999999" customHeight="1"/>
    <row r="36" ht="20.149999999999999" customHeight="1"/>
    <row r="37" ht="20.149999999999999" customHeight="1"/>
    <row r="38" ht="20.149999999999999" customHeight="1"/>
    <row r="39" ht="20.149999999999999" customHeight="1"/>
    <row r="40" ht="20.149999999999999" customHeight="1"/>
    <row r="41" ht="20.149999999999999" customHeight="1"/>
    <row r="42" ht="20.149999999999999" customHeight="1"/>
    <row r="43" ht="20.149999999999999" customHeight="1"/>
    <row r="44" ht="20.149999999999999" customHeight="1"/>
    <row r="45" ht="20.149999999999999" customHeight="1"/>
    <row r="46" ht="20.149999999999999" customHeight="1"/>
    <row r="47" ht="20.149999999999999" customHeight="1"/>
    <row r="48" ht="20.149999999999999" customHeight="1"/>
    <row r="49" ht="20.149999999999999" customHeight="1"/>
  </sheetData>
  <mergeCells count="7">
    <mergeCell ref="W3:Z3"/>
    <mergeCell ref="S3:V3"/>
    <mergeCell ref="A2:B2"/>
    <mergeCell ref="C3:F3"/>
    <mergeCell ref="G3:J3"/>
    <mergeCell ref="K3:N3"/>
    <mergeCell ref="O3:R3"/>
  </mergeCells>
  <pageMargins left="0.7" right="0.7" top="0.75" bottom="0.75" header="0.3" footer="0.3"/>
  <pageSetup paperSize="9" scale="45" orientation="landscape" horizontalDpi="4294967294"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67"/>
  <sheetViews>
    <sheetView showGridLines="0" zoomScaleNormal="100" workbookViewId="0">
      <pane xSplit="2" ySplit="3" topLeftCell="BA4" activePane="bottomRight" state="frozen"/>
      <selection pane="topRight" activeCell="C1" sqref="C1"/>
      <selection pane="bottomLeft" activeCell="A4" sqref="A4"/>
      <selection pane="bottomRight" activeCell="BK7" sqref="BK7"/>
    </sheetView>
  </sheetViews>
  <sheetFormatPr defaultColWidth="9" defaultRowHeight="14.15"/>
  <cols>
    <col min="1" max="1" width="1.640625" style="136" customWidth="1"/>
    <col min="2" max="2" width="35" customWidth="1"/>
    <col min="3" max="3" width="35.140625" customWidth="1"/>
    <col min="4" max="32" width="3.2109375" hidden="1" customWidth="1"/>
    <col min="33" max="38" width="8.7109375" customWidth="1"/>
    <col min="39" max="40" width="8.7109375" style="136" customWidth="1"/>
    <col min="41" max="44" width="8.7109375" customWidth="1"/>
    <col min="45" max="45" width="6.640625" bestFit="1" customWidth="1"/>
    <col min="46" max="48" width="8.7109375" customWidth="1"/>
    <col min="49" max="49" width="9.2109375" customWidth="1"/>
    <col min="50" max="62" width="8.7109375" customWidth="1"/>
  </cols>
  <sheetData>
    <row r="1" spans="1:64" s="136" customFormat="1" ht="89.25" customHeight="1" thickBot="1">
      <c r="B1" s="2"/>
      <c r="C1" s="2"/>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K1"/>
      <c r="AP1"/>
      <c r="AU1"/>
      <c r="AZ1"/>
      <c r="BE1"/>
      <c r="BJ1"/>
    </row>
    <row r="2" spans="1:64" ht="20.25" customHeight="1" thickBot="1">
      <c r="A2"/>
      <c r="B2" s="939"/>
      <c r="C2" s="939"/>
      <c r="D2" s="933"/>
      <c r="E2" s="934"/>
      <c r="F2" s="934"/>
      <c r="G2" s="935"/>
      <c r="H2" s="933"/>
      <c r="I2" s="934"/>
      <c r="J2" s="934"/>
      <c r="K2" s="934"/>
      <c r="L2" s="935"/>
      <c r="M2" s="933"/>
      <c r="N2" s="934"/>
      <c r="O2" s="934"/>
      <c r="P2" s="934"/>
      <c r="Q2" s="935"/>
      <c r="R2" s="933"/>
      <c r="S2" s="934"/>
      <c r="T2" s="934"/>
      <c r="U2" s="934"/>
      <c r="V2" s="935"/>
      <c r="W2" s="933"/>
      <c r="X2" s="934"/>
      <c r="Y2" s="934"/>
      <c r="Z2" s="934"/>
      <c r="AA2" s="935"/>
      <c r="AB2" s="933"/>
      <c r="AC2" s="934"/>
      <c r="AD2" s="934"/>
      <c r="AE2" s="934"/>
      <c r="AF2" s="935"/>
      <c r="AG2" s="923">
        <v>2018</v>
      </c>
      <c r="AH2" s="924"/>
      <c r="AI2" s="924"/>
      <c r="AJ2" s="924"/>
      <c r="AK2" s="937">
        <v>2018</v>
      </c>
      <c r="AL2" s="923">
        <v>2019</v>
      </c>
      <c r="AM2" s="924"/>
      <c r="AN2" s="924"/>
      <c r="AO2" s="924"/>
      <c r="AP2" s="921">
        <v>2019</v>
      </c>
      <c r="AQ2" s="923">
        <v>2020</v>
      </c>
      <c r="AR2" s="924"/>
      <c r="AS2" s="924"/>
      <c r="AT2" s="924"/>
      <c r="AU2" s="921">
        <v>2020</v>
      </c>
      <c r="AV2" s="923">
        <v>2021</v>
      </c>
      <c r="AW2" s="924"/>
      <c r="AX2" s="924"/>
      <c r="AY2" s="924"/>
      <c r="AZ2" s="921" t="s">
        <v>644</v>
      </c>
      <c r="BA2" s="923">
        <v>2022</v>
      </c>
      <c r="BB2" s="924"/>
      <c r="BC2" s="924"/>
      <c r="BD2" s="924"/>
      <c r="BE2" s="921" t="s">
        <v>645</v>
      </c>
      <c r="BF2" s="923">
        <v>2023</v>
      </c>
      <c r="BG2" s="924"/>
      <c r="BH2" s="924"/>
      <c r="BI2" s="924"/>
      <c r="BJ2" s="921" t="s">
        <v>646</v>
      </c>
    </row>
    <row r="3" spans="1:64" s="342" customFormat="1" ht="20.25" customHeight="1" thickBot="1">
      <c r="B3" s="940"/>
      <c r="C3" s="940"/>
      <c r="D3" s="343"/>
      <c r="E3" s="344"/>
      <c r="F3" s="344"/>
      <c r="G3" s="936"/>
      <c r="H3" s="343"/>
      <c r="I3" s="344"/>
      <c r="J3" s="344"/>
      <c r="K3" s="344"/>
      <c r="L3" s="936"/>
      <c r="M3" s="343"/>
      <c r="N3" s="344"/>
      <c r="O3" s="344"/>
      <c r="P3" s="344"/>
      <c r="Q3" s="936"/>
      <c r="R3" s="343"/>
      <c r="S3" s="344"/>
      <c r="T3" s="344"/>
      <c r="U3" s="344"/>
      <c r="V3" s="936"/>
      <c r="W3" s="343"/>
      <c r="X3" s="344"/>
      <c r="Y3" s="344"/>
      <c r="Z3" s="344"/>
      <c r="AA3" s="936"/>
      <c r="AB3" s="343"/>
      <c r="AC3" s="344"/>
      <c r="AD3" s="344"/>
      <c r="AE3" s="344"/>
      <c r="AF3" s="936"/>
      <c r="AG3" s="359" t="s">
        <v>588</v>
      </c>
      <c r="AH3" s="360" t="s">
        <v>589</v>
      </c>
      <c r="AI3" s="360" t="s">
        <v>590</v>
      </c>
      <c r="AJ3" s="360" t="s">
        <v>591</v>
      </c>
      <c r="AK3" s="938"/>
      <c r="AL3" s="359" t="s">
        <v>588</v>
      </c>
      <c r="AM3" s="360" t="s">
        <v>589</v>
      </c>
      <c r="AN3" s="360" t="s">
        <v>590</v>
      </c>
      <c r="AO3" s="360" t="s">
        <v>591</v>
      </c>
      <c r="AP3" s="922"/>
      <c r="AQ3" s="359" t="s">
        <v>588</v>
      </c>
      <c r="AR3" s="360" t="s">
        <v>589</v>
      </c>
      <c r="AS3" s="360" t="s">
        <v>590</v>
      </c>
      <c r="AT3" s="360" t="s">
        <v>591</v>
      </c>
      <c r="AU3" s="922"/>
      <c r="AV3" s="359" t="s">
        <v>588</v>
      </c>
      <c r="AW3" s="360" t="s">
        <v>589</v>
      </c>
      <c r="AX3" s="360" t="s">
        <v>590</v>
      </c>
      <c r="AY3" s="360" t="s">
        <v>591</v>
      </c>
      <c r="AZ3" s="922"/>
      <c r="BA3" s="359" t="s">
        <v>588</v>
      </c>
      <c r="BB3" s="360" t="s">
        <v>589</v>
      </c>
      <c r="BC3" s="360" t="s">
        <v>590</v>
      </c>
      <c r="BD3" s="360" t="s">
        <v>591</v>
      </c>
      <c r="BE3" s="922"/>
      <c r="BF3" s="359" t="s">
        <v>588</v>
      </c>
      <c r="BG3" s="360" t="s">
        <v>589</v>
      </c>
      <c r="BH3" s="360" t="s">
        <v>590</v>
      </c>
      <c r="BI3" s="360" t="s">
        <v>591</v>
      </c>
      <c r="BJ3" s="922"/>
    </row>
    <row r="4" spans="1:64" ht="20.25" customHeight="1" thickBot="1">
      <c r="A4"/>
      <c r="B4" s="363" t="s">
        <v>647</v>
      </c>
      <c r="C4" s="364" t="s">
        <v>648</v>
      </c>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5"/>
      <c r="AH4" s="365"/>
      <c r="AI4" s="365"/>
      <c r="AJ4" s="365"/>
      <c r="AK4" s="506"/>
      <c r="AL4" s="365"/>
      <c r="AM4" s="365"/>
      <c r="AN4" s="365"/>
      <c r="AO4" s="365"/>
      <c r="AP4" s="506"/>
      <c r="AQ4" s="365"/>
      <c r="AR4" s="365"/>
      <c r="AS4" s="365"/>
      <c r="AT4" s="365"/>
      <c r="AU4" s="506"/>
      <c r="AV4" s="365"/>
      <c r="AW4" s="365"/>
      <c r="AX4" s="365"/>
      <c r="AY4" s="365"/>
      <c r="AZ4" s="506"/>
      <c r="BA4" s="365"/>
      <c r="BB4" s="365"/>
      <c r="BC4" s="365"/>
      <c r="BD4" s="365"/>
      <c r="BE4" s="506"/>
      <c r="BF4" s="365"/>
      <c r="BG4" s="365"/>
      <c r="BH4" s="365"/>
      <c r="BI4" s="365"/>
      <c r="BJ4" s="506"/>
    </row>
    <row r="5" spans="1:64" ht="25.5" customHeight="1" thickBot="1">
      <c r="A5"/>
      <c r="B5" s="366" t="s">
        <v>649</v>
      </c>
      <c r="C5" s="366" t="s">
        <v>650</v>
      </c>
      <c r="D5" s="367"/>
      <c r="E5" s="367"/>
      <c r="F5" s="368"/>
      <c r="G5" s="369"/>
      <c r="H5" s="367"/>
      <c r="I5" s="367"/>
      <c r="J5" s="367"/>
      <c r="K5" s="368"/>
      <c r="L5" s="369"/>
      <c r="M5" s="367"/>
      <c r="N5" s="367"/>
      <c r="O5" s="367"/>
      <c r="P5" s="368"/>
      <c r="Q5" s="369"/>
      <c r="R5" s="367"/>
      <c r="S5" s="367"/>
      <c r="T5" s="367"/>
      <c r="U5" s="368"/>
      <c r="V5" s="369"/>
      <c r="W5" s="367"/>
      <c r="X5" s="367"/>
      <c r="Y5" s="367"/>
      <c r="Z5" s="368"/>
      <c r="AA5" s="369"/>
      <c r="AB5" s="367"/>
      <c r="AC5" s="367"/>
      <c r="AD5" s="367"/>
      <c r="AE5" s="368"/>
      <c r="AF5" s="369"/>
      <c r="AG5" s="370">
        <v>0.2392</v>
      </c>
      <c r="AH5" s="367">
        <v>0.24160000000000001</v>
      </c>
      <c r="AI5" s="367">
        <v>0.25054333360988129</v>
      </c>
      <c r="AJ5" s="367">
        <v>0.24169975469679564</v>
      </c>
      <c r="AK5" s="507">
        <v>0.24299999999999999</v>
      </c>
      <c r="AL5" s="370">
        <v>0.23364792536680987</v>
      </c>
      <c r="AM5" s="367">
        <v>0.24935000000000002</v>
      </c>
      <c r="AN5" s="367">
        <v>0.24822427628137333</v>
      </c>
      <c r="AO5" s="367">
        <v>0.24182527254608499</v>
      </c>
      <c r="AP5" s="507">
        <v>0.2429</v>
      </c>
      <c r="AQ5" s="370">
        <v>0.23250381468797382</v>
      </c>
      <c r="AR5" s="367">
        <v>0.23040912825290802</v>
      </c>
      <c r="AS5" s="367">
        <v>0.24614294127335679</v>
      </c>
      <c r="AT5" s="368">
        <v>0.24959999999999999</v>
      </c>
      <c r="AU5" s="507">
        <v>0.2394</v>
      </c>
      <c r="AV5" s="367">
        <v>0.24402895821124099</v>
      </c>
      <c r="AW5" s="367">
        <v>0.25085533390902925</v>
      </c>
      <c r="AX5" s="367">
        <v>0.24971187343000292</v>
      </c>
      <c r="AY5" s="368">
        <v>0.24015232926794333</v>
      </c>
      <c r="AZ5" s="507">
        <v>0.2457</v>
      </c>
      <c r="BA5" s="367">
        <v>0.23194245292240989</v>
      </c>
      <c r="BB5" s="367">
        <v>0.22814234798524977</v>
      </c>
      <c r="BC5" s="367">
        <v>0.22469900811855634</v>
      </c>
      <c r="BD5" s="368">
        <v>0.21629999999999999</v>
      </c>
      <c r="BE5" s="507">
        <v>0.2253</v>
      </c>
      <c r="BF5" s="367">
        <v>0.2185</v>
      </c>
      <c r="BG5" s="367"/>
      <c r="BH5" s="367"/>
      <c r="BI5" s="368"/>
      <c r="BJ5" s="507">
        <f>AVERAGE(BF5:BI5)</f>
        <v>0.2185</v>
      </c>
    </row>
    <row r="6" spans="1:64" s="781" customFormat="1" ht="25.5" customHeight="1">
      <c r="B6" s="188" t="s">
        <v>651</v>
      </c>
      <c r="C6" s="188" t="s">
        <v>652</v>
      </c>
      <c r="D6" s="141"/>
      <c r="E6" s="141"/>
      <c r="F6" s="137"/>
      <c r="G6" s="347"/>
      <c r="H6" s="141"/>
      <c r="I6" s="141"/>
      <c r="J6" s="141"/>
      <c r="K6" s="137"/>
      <c r="L6" s="347"/>
      <c r="M6" s="141"/>
      <c r="N6" s="141"/>
      <c r="O6" s="141"/>
      <c r="P6" s="137"/>
      <c r="Q6" s="347"/>
      <c r="R6" s="141"/>
      <c r="S6" s="141"/>
      <c r="T6" s="141"/>
      <c r="U6" s="137"/>
      <c r="V6" s="347"/>
      <c r="W6" s="141"/>
      <c r="X6" s="141"/>
      <c r="Y6" s="141"/>
      <c r="Z6" s="137"/>
      <c r="AA6" s="347"/>
      <c r="AB6" s="141"/>
      <c r="AC6" s="141"/>
      <c r="AD6" s="141"/>
      <c r="AE6" s="137"/>
      <c r="AF6" s="347"/>
      <c r="AG6" s="142">
        <v>0.1187</v>
      </c>
      <c r="AH6" s="141">
        <v>0.1114</v>
      </c>
      <c r="AI6" s="141">
        <v>0.1133</v>
      </c>
      <c r="AJ6" s="141">
        <v>0.11070000000000001</v>
      </c>
      <c r="AK6" s="508">
        <v>0.1137</v>
      </c>
      <c r="AL6" s="142">
        <v>0.112</v>
      </c>
      <c r="AM6" s="141">
        <v>0.1138</v>
      </c>
      <c r="AN6" s="141">
        <v>0.1099</v>
      </c>
      <c r="AO6" s="141">
        <v>0.1043</v>
      </c>
      <c r="AP6" s="508">
        <v>0.1099</v>
      </c>
      <c r="AQ6" s="142">
        <v>9.9000000000000005E-2</v>
      </c>
      <c r="AR6" s="141">
        <v>9.1800000000000007E-2</v>
      </c>
      <c r="AS6" s="141">
        <v>9.3799999999999994E-2</v>
      </c>
      <c r="AT6" s="189">
        <v>9.5500000000000002E-2</v>
      </c>
      <c r="AU6" s="508">
        <v>9.5100000000000004E-2</v>
      </c>
      <c r="AV6" s="141">
        <v>9.2155000000000001E-2</v>
      </c>
      <c r="AW6" s="141">
        <v>8.9494000000000004E-2</v>
      </c>
      <c r="AX6" s="141">
        <v>8.7143507332248127E-2</v>
      </c>
      <c r="AY6" s="189">
        <v>8.8921403903550189E-2</v>
      </c>
      <c r="AZ6" s="508">
        <v>8.9530308836228353E-2</v>
      </c>
      <c r="BA6" s="141">
        <v>8.3168000000000006E-2</v>
      </c>
      <c r="BB6" s="141">
        <v>7.6904E-2</v>
      </c>
      <c r="BC6" s="141">
        <v>7.5086E-2</v>
      </c>
      <c r="BD6" s="189">
        <v>7.8100000000000003E-2</v>
      </c>
      <c r="BE6" s="508">
        <v>7.8522999999999996E-2</v>
      </c>
      <c r="BF6" s="141">
        <v>7.9980999999999997E-2</v>
      </c>
      <c r="BG6" s="141"/>
      <c r="BH6" s="141"/>
      <c r="BI6" s="189"/>
      <c r="BJ6" s="508">
        <f>AVERAGE(BF6:BI6)</f>
        <v>7.9980999999999997E-2</v>
      </c>
    </row>
    <row r="7" spans="1:64" s="781" customFormat="1" ht="25.5" customHeight="1">
      <c r="B7" s="188" t="s">
        <v>653</v>
      </c>
      <c r="C7" s="190" t="s">
        <v>654</v>
      </c>
      <c r="D7" s="141"/>
      <c r="E7" s="141"/>
      <c r="F7" s="189"/>
      <c r="G7" s="347"/>
      <c r="H7" s="141"/>
      <c r="I7" s="141"/>
      <c r="J7" s="141"/>
      <c r="K7" s="189"/>
      <c r="L7" s="347"/>
      <c r="M7" s="141"/>
      <c r="N7" s="141"/>
      <c r="O7" s="141"/>
      <c r="P7" s="189"/>
      <c r="Q7" s="347"/>
      <c r="R7" s="141"/>
      <c r="S7" s="141"/>
      <c r="T7" s="141"/>
      <c r="U7" s="189"/>
      <c r="V7" s="347"/>
      <c r="W7" s="141"/>
      <c r="X7" s="141"/>
      <c r="Y7" s="141"/>
      <c r="Z7" s="189"/>
      <c r="AA7" s="347"/>
      <c r="AB7" s="141"/>
      <c r="AC7" s="141"/>
      <c r="AD7" s="141"/>
      <c r="AE7" s="189"/>
      <c r="AF7" s="347"/>
      <c r="AG7" s="142">
        <v>0.1205</v>
      </c>
      <c r="AH7" s="141">
        <v>0.13009999999999999</v>
      </c>
      <c r="AI7" s="141">
        <v>0.13726561528746634</v>
      </c>
      <c r="AJ7" s="141">
        <v>0.13099975469679564</v>
      </c>
      <c r="AK7" s="509">
        <v>0.12939999999999999</v>
      </c>
      <c r="AL7" s="142">
        <v>0.1216</v>
      </c>
      <c r="AM7" s="141">
        <v>0.13550000000000001</v>
      </c>
      <c r="AN7" s="141">
        <v>0.13844127269311104</v>
      </c>
      <c r="AO7" s="141">
        <v>0.13762187191363667</v>
      </c>
      <c r="AP7" s="509">
        <v>0.13300000000000001</v>
      </c>
      <c r="AQ7" s="142">
        <v>0.13355841310577754</v>
      </c>
      <c r="AR7" s="141">
        <v>0.13863586912018128</v>
      </c>
      <c r="AS7" s="141">
        <v>0.15230242840291572</v>
      </c>
      <c r="AT7" s="189">
        <v>0.15409999999999999</v>
      </c>
      <c r="AU7" s="509">
        <v>0.14419999999999999</v>
      </c>
      <c r="AV7" s="141">
        <v>0.15187354531355715</v>
      </c>
      <c r="AW7" s="141">
        <v>0.16135533390902926</v>
      </c>
      <c r="AX7" s="141">
        <v>0.16261187343000294</v>
      </c>
      <c r="AY7" s="189">
        <v>0.15123092536439314</v>
      </c>
      <c r="AZ7" s="509">
        <v>0.15635797009177527</v>
      </c>
      <c r="BA7" s="141">
        <v>0.14877267548397363</v>
      </c>
      <c r="BB7" s="141">
        <v>0.15123834798524977</v>
      </c>
      <c r="BC7" s="141">
        <v>0.14961300811855632</v>
      </c>
      <c r="BD7" s="189">
        <v>0.13819999999999999</v>
      </c>
      <c r="BE7" s="509">
        <v>0.14677699999999999</v>
      </c>
      <c r="BF7" s="141">
        <v>0.138519</v>
      </c>
      <c r="BG7" s="141"/>
      <c r="BH7" s="141"/>
      <c r="BI7" s="189"/>
      <c r="BJ7" s="509">
        <f>AVERAGE(BF7:BI7)</f>
        <v>0.138519</v>
      </c>
    </row>
    <row r="8" spans="1:64" s="138" customFormat="1" ht="25.5" customHeight="1">
      <c r="B8" s="139" t="s">
        <v>655</v>
      </c>
      <c r="C8" s="139" t="s">
        <v>656</v>
      </c>
      <c r="D8" s="348"/>
      <c r="E8" s="348"/>
      <c r="F8" s="140"/>
      <c r="G8" s="349"/>
      <c r="H8" s="348"/>
      <c r="I8" s="348"/>
      <c r="J8" s="348"/>
      <c r="K8" s="140"/>
      <c r="L8" s="349"/>
      <c r="M8" s="348"/>
      <c r="N8" s="348"/>
      <c r="O8" s="348"/>
      <c r="P8" s="140"/>
      <c r="Q8" s="349"/>
      <c r="R8" s="348"/>
      <c r="S8" s="348"/>
      <c r="T8" s="348"/>
      <c r="U8" s="140"/>
      <c r="V8" s="349"/>
      <c r="W8" s="348"/>
      <c r="X8" s="348"/>
      <c r="Y8" s="348"/>
      <c r="Z8" s="140"/>
      <c r="AA8" s="349"/>
      <c r="AB8" s="348"/>
      <c r="AC8" s="348"/>
      <c r="AD8" s="348"/>
      <c r="AE8" s="140"/>
      <c r="AF8" s="349"/>
      <c r="AG8" s="141">
        <v>0.27055000000000001</v>
      </c>
      <c r="AH8" s="141">
        <v>0.26307285482727094</v>
      </c>
      <c r="AI8" s="141">
        <v>0.27107489405369956</v>
      </c>
      <c r="AJ8" s="141">
        <v>0.2799015081566204</v>
      </c>
      <c r="AK8" s="509">
        <v>0.27143265306764186</v>
      </c>
      <c r="AL8" s="142">
        <v>0.27277595774888108</v>
      </c>
      <c r="AM8" s="142">
        <v>0.26956701442344921</v>
      </c>
      <c r="AN8" s="142">
        <v>0.25968869690122404</v>
      </c>
      <c r="AO8" s="142">
        <v>0.26098146875847023</v>
      </c>
      <c r="AP8" s="509">
        <v>0.2659147690729412</v>
      </c>
      <c r="AQ8" s="142">
        <v>0.2642789018622998</v>
      </c>
      <c r="AR8" s="142">
        <v>0.27327354861641062</v>
      </c>
      <c r="AS8" s="142">
        <v>0.25869999999999999</v>
      </c>
      <c r="AT8" s="142">
        <v>0.26550000000000001</v>
      </c>
      <c r="AU8" s="509">
        <v>0.26569999999999999</v>
      </c>
      <c r="AV8" s="141">
        <v>0.24552122777620281</v>
      </c>
      <c r="AW8" s="142">
        <v>0.24025279408748573</v>
      </c>
      <c r="AX8" s="142">
        <v>0.24019199288108664</v>
      </c>
      <c r="AY8" s="142">
        <v>0.24716767238182133</v>
      </c>
      <c r="AZ8" s="509">
        <v>0.24349999999999999</v>
      </c>
      <c r="BA8" s="141">
        <v>0.24870403561745946</v>
      </c>
      <c r="BB8" s="141">
        <v>0.24280764993354145</v>
      </c>
      <c r="BC8" s="141">
        <v>0.23386616909621943</v>
      </c>
      <c r="BD8" s="141">
        <v>0.22439999999999999</v>
      </c>
      <c r="BE8" s="509">
        <v>0.23760000000000001</v>
      </c>
      <c r="BF8" s="141">
        <v>0.2334</v>
      </c>
      <c r="BG8" s="141"/>
      <c r="BH8" s="141"/>
      <c r="BI8" s="141"/>
      <c r="BJ8" s="509">
        <f>AVERAGE(BF8:BI8)</f>
        <v>0.2334</v>
      </c>
    </row>
    <row r="9" spans="1:64" s="138" customFormat="1" ht="25.5" customHeight="1" thickBot="1">
      <c r="B9" s="139" t="s">
        <v>657</v>
      </c>
      <c r="C9" s="139" t="s">
        <v>658</v>
      </c>
      <c r="D9" s="348"/>
      <c r="E9" s="348"/>
      <c r="F9" s="140"/>
      <c r="G9" s="349"/>
      <c r="H9" s="348"/>
      <c r="I9" s="348"/>
      <c r="J9" s="348"/>
      <c r="K9" s="140"/>
      <c r="L9" s="349"/>
      <c r="M9" s="348"/>
      <c r="N9" s="348"/>
      <c r="O9" s="348"/>
      <c r="P9" s="140"/>
      <c r="Q9" s="349"/>
      <c r="R9" s="348"/>
      <c r="S9" s="348"/>
      <c r="T9" s="348"/>
      <c r="U9" s="140"/>
      <c r="V9" s="349"/>
      <c r="W9" s="348"/>
      <c r="X9" s="348"/>
      <c r="Y9" s="348"/>
      <c r="Z9" s="140"/>
      <c r="AA9" s="349"/>
      <c r="AB9" s="348"/>
      <c r="AC9" s="348"/>
      <c r="AD9" s="348"/>
      <c r="AE9" s="140"/>
      <c r="AF9" s="349"/>
      <c r="AG9" s="141">
        <v>0.21878</v>
      </c>
      <c r="AH9" s="141">
        <v>0.22343613004529736</v>
      </c>
      <c r="AI9" s="141">
        <v>0.20803558567084823</v>
      </c>
      <c r="AJ9" s="141">
        <v>0.20762155694075871</v>
      </c>
      <c r="AK9" s="510">
        <v>0.21439941200856841</v>
      </c>
      <c r="AL9" s="142">
        <v>0.21973490554611111</v>
      </c>
      <c r="AM9" s="142">
        <v>0.20743316354782532</v>
      </c>
      <c r="AN9" s="142">
        <v>0.21547125280795693</v>
      </c>
      <c r="AO9" s="142">
        <v>0.21739933081273113</v>
      </c>
      <c r="AP9" s="510">
        <v>0.21521707371036924</v>
      </c>
      <c r="AQ9" s="142">
        <v>0.21964706993225061</v>
      </c>
      <c r="AR9" s="142">
        <v>0.19273450590189634</v>
      </c>
      <c r="AS9" s="142">
        <v>0.19040000000000001</v>
      </c>
      <c r="AT9" s="142">
        <v>0.19350000000000001</v>
      </c>
      <c r="AU9" s="510">
        <v>0.19969999999999999</v>
      </c>
      <c r="AV9" s="141">
        <v>0.2145969192163136</v>
      </c>
      <c r="AW9" s="142">
        <v>0.21298580449377358</v>
      </c>
      <c r="AX9" s="142">
        <v>0.21154341175910182</v>
      </c>
      <c r="AY9" s="142">
        <v>0.21409536596163978</v>
      </c>
      <c r="AZ9" s="510">
        <v>0.21340000000000001</v>
      </c>
      <c r="BA9" s="141">
        <v>0.20908218103661699</v>
      </c>
      <c r="BB9" s="141">
        <v>0.20999839993245734</v>
      </c>
      <c r="BC9" s="141">
        <v>0.22115991782587144</v>
      </c>
      <c r="BD9" s="141">
        <v>0.23910000000000001</v>
      </c>
      <c r="BE9" s="510">
        <v>0.2198</v>
      </c>
      <c r="BF9" s="141">
        <v>0.2049</v>
      </c>
      <c r="BG9" s="141"/>
      <c r="BH9" s="141"/>
      <c r="BI9" s="141"/>
      <c r="BJ9" s="510">
        <f>AVERAGE(BF9:BI9)</f>
        <v>0.2049</v>
      </c>
    </row>
    <row r="10" spans="1:64" ht="20.25" customHeight="1">
      <c r="A10"/>
      <c r="B10" s="358" t="s">
        <v>659</v>
      </c>
      <c r="C10" s="346" t="s">
        <v>660</v>
      </c>
      <c r="D10" s="346"/>
      <c r="E10" s="346"/>
      <c r="F10" s="346"/>
      <c r="G10" s="346"/>
      <c r="H10" s="346"/>
      <c r="I10" s="346"/>
      <c r="J10" s="346"/>
      <c r="K10" s="346"/>
      <c r="L10" s="346"/>
      <c r="M10" s="346"/>
      <c r="N10" s="346"/>
      <c r="O10" s="346"/>
      <c r="P10" s="346"/>
      <c r="Q10" s="346"/>
      <c r="R10" s="346"/>
      <c r="S10" s="346"/>
      <c r="T10" s="346"/>
      <c r="U10" s="346"/>
      <c r="V10" s="346"/>
      <c r="W10" s="346"/>
      <c r="X10" s="346"/>
      <c r="Y10" s="346"/>
      <c r="Z10" s="346"/>
      <c r="AA10" s="346"/>
      <c r="AB10" s="346"/>
      <c r="AC10" s="346"/>
      <c r="AD10" s="346"/>
      <c r="AE10" s="346"/>
      <c r="AF10" s="346"/>
      <c r="AG10" s="356"/>
      <c r="AH10" s="356"/>
      <c r="AI10" s="356"/>
      <c r="AJ10" s="356"/>
      <c r="AK10" s="511"/>
      <c r="AL10" s="356"/>
      <c r="AM10" s="356"/>
      <c r="AN10" s="356"/>
      <c r="AO10" s="356"/>
      <c r="AP10" s="511"/>
      <c r="AQ10" s="356"/>
      <c r="AR10" s="356"/>
      <c r="AS10" s="356"/>
      <c r="AT10" s="356"/>
      <c r="AU10" s="511"/>
      <c r="AV10" s="356"/>
      <c r="AW10" s="356"/>
      <c r="AX10" s="356"/>
      <c r="AY10" s="356"/>
      <c r="AZ10" s="511"/>
      <c r="BA10" s="356"/>
      <c r="BB10" s="356"/>
      <c r="BC10" s="356"/>
      <c r="BD10" s="356"/>
      <c r="BE10" s="511"/>
      <c r="BF10" s="356"/>
      <c r="BG10" s="356"/>
      <c r="BH10" s="356"/>
      <c r="BI10" s="356"/>
      <c r="BJ10" s="511"/>
    </row>
    <row r="11" spans="1:64" ht="31.3" thickBot="1">
      <c r="A11"/>
      <c r="B11" s="644" t="s">
        <v>661</v>
      </c>
      <c r="C11" s="644" t="s">
        <v>662</v>
      </c>
      <c r="D11" s="144"/>
      <c r="E11" s="144"/>
      <c r="F11" s="145"/>
      <c r="G11" s="645"/>
      <c r="H11" s="144"/>
      <c r="I11" s="144"/>
      <c r="J11" s="144"/>
      <c r="K11" s="145"/>
      <c r="L11" s="645"/>
      <c r="M11" s="144"/>
      <c r="N11" s="144"/>
      <c r="O11" s="144"/>
      <c r="P11" s="145"/>
      <c r="Q11" s="645"/>
      <c r="R11" s="144"/>
      <c r="S11" s="144"/>
      <c r="T11" s="144"/>
      <c r="U11" s="145"/>
      <c r="V11" s="645"/>
      <c r="W11" s="144"/>
      <c r="X11" s="144"/>
      <c r="Y11" s="144"/>
      <c r="Z11" s="145"/>
      <c r="AA11" s="645"/>
      <c r="AB11" s="144"/>
      <c r="AC11" s="144"/>
      <c r="AD11" s="144"/>
      <c r="AE11" s="145"/>
      <c r="AF11" s="645"/>
      <c r="AG11" s="143">
        <v>996.4</v>
      </c>
      <c r="AH11" s="144">
        <v>1201.9000000000001</v>
      </c>
      <c r="AI11" s="144">
        <v>871.7</v>
      </c>
      <c r="AJ11" s="144">
        <v>1328.2</v>
      </c>
      <c r="AK11" s="512">
        <v>4398.2</v>
      </c>
      <c r="AL11" s="143">
        <v>965.6</v>
      </c>
      <c r="AM11" s="144">
        <v>1203.5999999999999</v>
      </c>
      <c r="AN11" s="144">
        <v>888.2</v>
      </c>
      <c r="AO11" s="144">
        <v>1324.059</v>
      </c>
      <c r="AP11" s="512">
        <v>4381.5060000000003</v>
      </c>
      <c r="AQ11" s="143">
        <v>933.12800000000004</v>
      </c>
      <c r="AR11" s="144">
        <v>778.1</v>
      </c>
      <c r="AS11" s="144">
        <v>894.93439594398706</v>
      </c>
      <c r="AT11" s="144">
        <v>1387.066</v>
      </c>
      <c r="AU11" s="512">
        <f>SUM(AQ11:AT11)</f>
        <v>3993.2283959439874</v>
      </c>
      <c r="AV11" s="144">
        <v>955.63900000000001</v>
      </c>
      <c r="AW11" s="144">
        <v>1193.1590000000001</v>
      </c>
      <c r="AX11" s="144">
        <v>947.99099999999999</v>
      </c>
      <c r="AY11" s="144">
        <v>1450.482</v>
      </c>
      <c r="AZ11" s="512">
        <f>SUM(AV11:AY11)</f>
        <v>4547.2710000000006</v>
      </c>
      <c r="BA11" s="144">
        <v>970.04899999999998</v>
      </c>
      <c r="BB11" s="144">
        <v>1154.3510000000001</v>
      </c>
      <c r="BC11" s="144">
        <v>936.14599999999996</v>
      </c>
      <c r="BD11" s="144">
        <v>1446.424</v>
      </c>
      <c r="BE11" s="512">
        <f>BA11+BB11+BC11+BD11</f>
        <v>4506.97</v>
      </c>
      <c r="BF11" s="144">
        <v>1008.907</v>
      </c>
      <c r="BG11" s="144"/>
      <c r="BH11" s="144"/>
      <c r="BI11" s="144"/>
      <c r="BJ11" s="512">
        <f>BF11+BG11+BH11+BI11</f>
        <v>1008.907</v>
      </c>
      <c r="BL11" s="769"/>
    </row>
    <row r="12" spans="1:64" s="148" customFormat="1" ht="31.3" thickBot="1">
      <c r="B12" s="374" t="s">
        <v>663</v>
      </c>
      <c r="C12" s="374" t="s">
        <v>664</v>
      </c>
      <c r="D12" s="375"/>
      <c r="E12" s="375"/>
      <c r="F12" s="376"/>
      <c r="G12" s="377"/>
      <c r="H12" s="375"/>
      <c r="I12" s="375"/>
      <c r="J12" s="375"/>
      <c r="K12" s="376"/>
      <c r="L12" s="377"/>
      <c r="M12" s="375"/>
      <c r="N12" s="375"/>
      <c r="O12" s="375"/>
      <c r="P12" s="376"/>
      <c r="Q12" s="377"/>
      <c r="R12" s="375"/>
      <c r="S12" s="375"/>
      <c r="T12" s="375"/>
      <c r="U12" s="376"/>
      <c r="V12" s="377"/>
      <c r="W12" s="375"/>
      <c r="X12" s="375"/>
      <c r="Y12" s="375"/>
      <c r="Z12" s="376"/>
      <c r="AA12" s="377"/>
      <c r="AB12" s="375"/>
      <c r="AC12" s="375"/>
      <c r="AD12" s="375"/>
      <c r="AE12" s="376"/>
      <c r="AF12" s="377"/>
      <c r="AG12" s="378">
        <v>269.10000000000002</v>
      </c>
      <c r="AH12" s="375">
        <v>321.39999999999998</v>
      </c>
      <c r="AI12" s="375">
        <v>240.8</v>
      </c>
      <c r="AJ12" s="375">
        <v>369.9</v>
      </c>
      <c r="AK12" s="513">
        <v>1201.3</v>
      </c>
      <c r="AL12" s="378">
        <v>270.60000000000002</v>
      </c>
      <c r="AM12" s="375">
        <v>324.89999999999998</v>
      </c>
      <c r="AN12" s="375">
        <v>249.9</v>
      </c>
      <c r="AO12" s="375">
        <v>379</v>
      </c>
      <c r="AP12" s="513">
        <v>1224.4000000000001</v>
      </c>
      <c r="AQ12" s="378">
        <v>262.54000000000002</v>
      </c>
      <c r="AR12" s="375">
        <v>212.9</v>
      </c>
      <c r="AS12" s="375">
        <v>252</v>
      </c>
      <c r="AT12" s="376">
        <v>396.08300000000003</v>
      </c>
      <c r="AU12" s="513">
        <v>1123.538</v>
      </c>
      <c r="AV12" s="376">
        <v>271.495</v>
      </c>
      <c r="AW12" s="376">
        <v>330.48700000000002</v>
      </c>
      <c r="AX12" s="376">
        <v>267.33800000000002</v>
      </c>
      <c r="AY12" s="376">
        <v>402.26600000000002</v>
      </c>
      <c r="AZ12" s="513">
        <f>SUM(AV12:AY12)</f>
        <v>1271.586</v>
      </c>
      <c r="BA12" s="376">
        <v>273.03399999999999</v>
      </c>
      <c r="BB12" s="376">
        <v>330.09300000000002</v>
      </c>
      <c r="BC12" s="376">
        <v>275.01</v>
      </c>
      <c r="BD12" s="376">
        <v>410.49900000000002</v>
      </c>
      <c r="BE12" s="513">
        <f>BA12+BB12+BC12+BD12</f>
        <v>1288.636</v>
      </c>
      <c r="BF12" s="376">
        <v>284.25200000000001</v>
      </c>
      <c r="BG12" s="376"/>
      <c r="BH12" s="376"/>
      <c r="BI12" s="376"/>
      <c r="BJ12" s="513">
        <f>BF12+BG12+BH12+BI12</f>
        <v>284.25200000000001</v>
      </c>
      <c r="BL12" s="769"/>
    </row>
    <row r="13" spans="1:64" ht="16.75" thickBot="1">
      <c r="A13"/>
      <c r="B13" s="366" t="s">
        <v>665</v>
      </c>
      <c r="C13" s="366" t="s">
        <v>666</v>
      </c>
      <c r="D13" s="367"/>
      <c r="E13" s="367"/>
      <c r="F13" s="368"/>
      <c r="G13" s="369"/>
      <c r="H13" s="367"/>
      <c r="I13" s="367"/>
      <c r="J13" s="367"/>
      <c r="K13" s="368"/>
      <c r="L13" s="369"/>
      <c r="M13" s="367"/>
      <c r="N13" s="367"/>
      <c r="O13" s="367"/>
      <c r="P13" s="368"/>
      <c r="Q13" s="369"/>
      <c r="R13" s="367"/>
      <c r="S13" s="367"/>
      <c r="T13" s="367"/>
      <c r="U13" s="368"/>
      <c r="V13" s="369"/>
      <c r="W13" s="367"/>
      <c r="X13" s="367"/>
      <c r="Y13" s="367"/>
      <c r="Z13" s="368"/>
      <c r="AA13" s="369"/>
      <c r="AB13" s="367"/>
      <c r="AC13" s="367"/>
      <c r="AD13" s="367"/>
      <c r="AE13" s="368"/>
      <c r="AF13" s="369"/>
      <c r="AG13" s="371">
        <f>AG12/AG11</f>
        <v>0.27007226013649138</v>
      </c>
      <c r="AH13" s="372">
        <f t="shared" ref="AH13:AT13" si="0">AH12/AH11</f>
        <v>0.26740993427073795</v>
      </c>
      <c r="AI13" s="372">
        <f t="shared" si="0"/>
        <v>0.27624182631639327</v>
      </c>
      <c r="AJ13" s="372">
        <f t="shared" si="0"/>
        <v>0.27849721427495855</v>
      </c>
      <c r="AK13" s="506">
        <f t="shared" si="0"/>
        <v>0.27313446409894959</v>
      </c>
      <c r="AL13" s="371">
        <f t="shared" si="0"/>
        <v>0.28024026512013256</v>
      </c>
      <c r="AM13" s="372">
        <f t="shared" si="0"/>
        <v>0.26994017946161514</v>
      </c>
      <c r="AN13" s="372">
        <f t="shared" si="0"/>
        <v>0.28135555055167755</v>
      </c>
      <c r="AO13" s="372">
        <f t="shared" si="0"/>
        <v>0.28624102098169341</v>
      </c>
      <c r="AP13" s="506">
        <f t="shared" si="0"/>
        <v>0.27944729506247395</v>
      </c>
      <c r="AQ13" s="371">
        <f t="shared" si="0"/>
        <v>0.28135475518899872</v>
      </c>
      <c r="AR13" s="372">
        <f t="shared" si="0"/>
        <v>0.27361521655314225</v>
      </c>
      <c r="AS13" s="372">
        <f t="shared" si="0"/>
        <v>0.28158488615714394</v>
      </c>
      <c r="AT13" s="373">
        <f t="shared" si="0"/>
        <v>0.28555454462873431</v>
      </c>
      <c r="AU13" s="506">
        <f>AU12/AU11</f>
        <v>0.28136081601072532</v>
      </c>
      <c r="AV13" s="372">
        <f t="shared" ref="AV13:AY13" si="1">AV12/AV11</f>
        <v>0.28409786540733478</v>
      </c>
      <c r="AW13" s="372">
        <f>ROUNDUP(AW12/AW11,3)</f>
        <v>0.27700000000000002</v>
      </c>
      <c r="AX13" s="372">
        <f t="shared" si="1"/>
        <v>0.28200478696527714</v>
      </c>
      <c r="AY13" s="373">
        <f t="shared" si="1"/>
        <v>0.27733263839192768</v>
      </c>
      <c r="AZ13" s="506">
        <f t="shared" ref="AZ13:BE13" si="2">AZ12/AZ11</f>
        <v>0.27963717139356764</v>
      </c>
      <c r="BA13" s="372">
        <f t="shared" si="2"/>
        <v>0.28146413222424849</v>
      </c>
      <c r="BB13" s="372">
        <f t="shared" si="2"/>
        <v>0.28595548494348771</v>
      </c>
      <c r="BC13" s="372">
        <f t="shared" si="2"/>
        <v>0.29376827973414404</v>
      </c>
      <c r="BD13" s="372">
        <f t="shared" si="2"/>
        <v>0.28380267473437942</v>
      </c>
      <c r="BE13" s="506">
        <f t="shared" si="2"/>
        <v>0.28592069616616039</v>
      </c>
      <c r="BF13" s="372">
        <f t="shared" ref="BF13:BJ13" si="3">BF12/BF11</f>
        <v>0.28174251937988337</v>
      </c>
      <c r="BG13" s="372" t="e">
        <f t="shared" si="3"/>
        <v>#DIV/0!</v>
      </c>
      <c r="BH13" s="372" t="e">
        <f t="shared" si="3"/>
        <v>#DIV/0!</v>
      </c>
      <c r="BI13" s="372" t="e">
        <f t="shared" si="3"/>
        <v>#DIV/0!</v>
      </c>
      <c r="BJ13" s="506">
        <f t="shared" si="3"/>
        <v>0.28174251937988337</v>
      </c>
      <c r="BL13" s="769"/>
    </row>
    <row r="14" spans="1:64" ht="14.6">
      <c r="A14"/>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147"/>
      <c r="AB14" s="147"/>
      <c r="AC14" s="147"/>
      <c r="AD14" s="147"/>
      <c r="AE14" s="147"/>
      <c r="AF14" s="147"/>
      <c r="AG14" s="148"/>
      <c r="AH14" s="148"/>
      <c r="AI14" s="148"/>
      <c r="AJ14" s="148"/>
      <c r="AK14" s="148"/>
      <c r="AL14" s="148"/>
      <c r="AM14" s="148"/>
      <c r="AN14" s="148"/>
      <c r="AO14" s="148"/>
      <c r="AP14" s="148"/>
      <c r="AQ14" s="148"/>
      <c r="AR14" s="148"/>
      <c r="AS14" s="148"/>
      <c r="AT14" s="148"/>
      <c r="AU14" s="148"/>
      <c r="AV14" s="192"/>
      <c r="AW14" s="148"/>
      <c r="AX14" s="148"/>
      <c r="AY14" s="148"/>
      <c r="AZ14" s="148"/>
      <c r="BA14" s="192"/>
      <c r="BB14" s="148"/>
      <c r="BC14" s="148"/>
      <c r="BD14" s="148"/>
      <c r="BE14" s="148"/>
      <c r="BF14" s="192"/>
      <c r="BG14" s="148"/>
      <c r="BH14" s="148"/>
      <c r="BI14" s="148"/>
      <c r="BJ14" s="148"/>
    </row>
    <row r="15" spans="1:64" s="136" customFormat="1" hidden="1">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c r="AP15"/>
      <c r="AU15"/>
      <c r="AV15" s="193"/>
      <c r="AZ15"/>
      <c r="BA15" s="193"/>
      <c r="BE15"/>
      <c r="BF15" s="193"/>
      <c r="BJ15"/>
    </row>
    <row r="16" spans="1:64" s="136" customFormat="1" hidden="1">
      <c r="B16" s="150"/>
      <c r="C16" s="150"/>
      <c r="D16" s="352"/>
      <c r="E16" s="352"/>
      <c r="F16" s="352"/>
      <c r="G16" s="352"/>
      <c r="H16" s="352"/>
      <c r="I16" s="352"/>
      <c r="J16" s="352"/>
      <c r="K16" s="352"/>
      <c r="L16" s="352"/>
      <c r="M16" s="352"/>
      <c r="N16" s="352"/>
      <c r="O16" s="352"/>
      <c r="P16" s="352"/>
      <c r="Q16" s="352"/>
      <c r="R16" s="352"/>
      <c r="S16" s="352"/>
      <c r="T16" s="352"/>
      <c r="U16" s="352"/>
      <c r="V16" s="352"/>
      <c r="W16" s="352"/>
      <c r="X16" s="352"/>
      <c r="Y16" s="352"/>
      <c r="Z16" s="352"/>
      <c r="AA16" s="352"/>
      <c r="AB16" s="352"/>
      <c r="AC16" s="352"/>
      <c r="AD16" s="352"/>
      <c r="AE16" s="352"/>
      <c r="AF16" s="352"/>
      <c r="AG16" s="150"/>
      <c r="AH16" s="150"/>
      <c r="AI16" s="150"/>
      <c r="AK16"/>
      <c r="AP16"/>
      <c r="AU16"/>
      <c r="AZ16"/>
      <c r="BE16"/>
      <c r="BJ16"/>
    </row>
    <row r="17" spans="2:62" s="151" customFormat="1" ht="27.75" customHeight="1">
      <c r="B17" s="379" t="s">
        <v>667</v>
      </c>
      <c r="C17" s="379" t="s">
        <v>668</v>
      </c>
      <c r="D17" s="345"/>
      <c r="E17" s="345"/>
      <c r="F17" s="345"/>
      <c r="G17" s="345"/>
      <c r="H17" s="345"/>
      <c r="I17" s="345"/>
      <c r="J17" s="345"/>
      <c r="K17" s="345"/>
      <c r="L17" s="345"/>
      <c r="M17" s="345"/>
      <c r="N17" s="345"/>
      <c r="O17" s="345"/>
      <c r="P17" s="345"/>
      <c r="Q17" s="345"/>
      <c r="R17" s="345"/>
      <c r="S17" s="345"/>
      <c r="T17" s="345"/>
      <c r="U17" s="345"/>
      <c r="V17" s="345"/>
      <c r="W17" s="345"/>
      <c r="X17" s="345"/>
      <c r="Y17" s="345"/>
      <c r="Z17" s="345"/>
      <c r="AA17" s="345"/>
      <c r="AB17" s="345"/>
      <c r="AC17" s="345"/>
      <c r="AD17" s="345"/>
      <c r="AE17" s="345"/>
      <c r="AF17" s="345"/>
      <c r="AG17" s="2"/>
      <c r="AH17" s="2"/>
      <c r="AI17" s="2"/>
      <c r="AJ17" s="136"/>
      <c r="AK17"/>
      <c r="AL17" s="136"/>
      <c r="AM17" s="136"/>
      <c r="AN17" s="136"/>
      <c r="AO17" s="136"/>
      <c r="AP17"/>
      <c r="AU17" s="357"/>
      <c r="AZ17" s="357"/>
      <c r="BE17" s="357"/>
      <c r="BJ17" s="357"/>
    </row>
    <row r="18" spans="2:62" s="151" customFormat="1" ht="27.75" customHeight="1" thickBot="1">
      <c r="B18" s="152" t="s">
        <v>669</v>
      </c>
      <c r="C18" s="152" t="s">
        <v>670</v>
      </c>
      <c r="D18" s="353"/>
      <c r="E18" s="353"/>
      <c r="F18" s="353"/>
      <c r="G18" s="353"/>
      <c r="H18" s="353"/>
      <c r="I18" s="353"/>
      <c r="J18" s="353"/>
      <c r="K18" s="353"/>
      <c r="L18" s="353"/>
      <c r="M18" s="353"/>
      <c r="N18" s="353"/>
      <c r="O18" s="353"/>
      <c r="P18" s="353"/>
      <c r="Q18" s="353"/>
      <c r="R18" s="353"/>
      <c r="S18" s="353"/>
      <c r="T18" s="353"/>
      <c r="U18" s="353"/>
      <c r="V18" s="353"/>
      <c r="W18" s="353"/>
      <c r="X18" s="353"/>
      <c r="Y18" s="353"/>
      <c r="Z18" s="353"/>
      <c r="AA18" s="353"/>
      <c r="AB18" s="353"/>
      <c r="AC18" s="353"/>
      <c r="AD18" s="353"/>
      <c r="AE18" s="353"/>
      <c r="AF18" s="353"/>
      <c r="AG18" s="2"/>
      <c r="AH18" s="2"/>
      <c r="AI18" s="2"/>
      <c r="AJ18" s="136"/>
      <c r="AK18"/>
      <c r="AL18" s="136"/>
      <c r="AM18" s="136"/>
      <c r="AN18" s="136"/>
      <c r="AO18" s="136"/>
      <c r="AP18"/>
      <c r="AU18" s="357"/>
      <c r="AZ18" s="357"/>
      <c r="BE18" s="357"/>
      <c r="BJ18" s="357"/>
    </row>
    <row r="19" spans="2:62" s="380" customFormat="1" ht="20.25" customHeight="1" thickBot="1">
      <c r="B19" s="925" t="s">
        <v>671</v>
      </c>
      <c r="C19" s="931" t="s">
        <v>672</v>
      </c>
      <c r="D19" s="927"/>
      <c r="E19" s="928"/>
      <c r="F19" s="928"/>
      <c r="G19" s="929"/>
      <c r="H19" s="927"/>
      <c r="I19" s="928"/>
      <c r="J19" s="928"/>
      <c r="K19" s="928"/>
      <c r="L19" s="929"/>
      <c r="M19" s="927"/>
      <c r="N19" s="928"/>
      <c r="O19" s="928"/>
      <c r="P19" s="928"/>
      <c r="Q19" s="929"/>
      <c r="R19" s="927"/>
      <c r="S19" s="928"/>
      <c r="T19" s="928"/>
      <c r="U19" s="928"/>
      <c r="V19" s="929"/>
      <c r="W19" s="927"/>
      <c r="X19" s="928"/>
      <c r="Y19" s="928"/>
      <c r="Z19" s="928"/>
      <c r="AA19" s="929"/>
      <c r="AB19" s="927"/>
      <c r="AC19" s="928"/>
      <c r="AD19" s="928"/>
      <c r="AE19" s="928"/>
      <c r="AF19" s="929"/>
      <c r="AG19" s="923">
        <v>2018</v>
      </c>
      <c r="AH19" s="924"/>
      <c r="AI19" s="924"/>
      <c r="AJ19" s="924"/>
      <c r="AK19" s="921">
        <v>2018</v>
      </c>
      <c r="AL19" s="923">
        <v>2019</v>
      </c>
      <c r="AM19" s="924"/>
      <c r="AN19" s="924"/>
      <c r="AO19" s="924"/>
      <c r="AP19" s="921">
        <v>2019</v>
      </c>
      <c r="AQ19" s="923">
        <v>2020</v>
      </c>
      <c r="AR19" s="924"/>
      <c r="AS19" s="924"/>
      <c r="AT19" s="924"/>
      <c r="AU19" s="921">
        <v>2020</v>
      </c>
      <c r="AV19" s="923">
        <f>AV2</f>
        <v>2021</v>
      </c>
      <c r="AW19" s="924"/>
      <c r="AX19" s="924"/>
      <c r="AY19" s="924"/>
      <c r="AZ19" s="921" t="s">
        <v>644</v>
      </c>
      <c r="BA19" s="923">
        <f>BA2</f>
        <v>2022</v>
      </c>
      <c r="BB19" s="924"/>
      <c r="BC19" s="924"/>
      <c r="BD19" s="924"/>
      <c r="BE19" s="921" t="s">
        <v>645</v>
      </c>
      <c r="BF19" s="923">
        <f>BF2</f>
        <v>2023</v>
      </c>
      <c r="BG19" s="924"/>
      <c r="BH19" s="924"/>
      <c r="BI19" s="924"/>
      <c r="BJ19" s="921" t="s">
        <v>646</v>
      </c>
    </row>
    <row r="20" spans="2:62" s="381" customFormat="1" ht="20.25" customHeight="1" thickBot="1">
      <c r="B20" s="926"/>
      <c r="C20" s="932"/>
      <c r="D20" s="361"/>
      <c r="E20" s="362"/>
      <c r="F20" s="362"/>
      <c r="G20" s="930"/>
      <c r="H20" s="361"/>
      <c r="I20" s="362"/>
      <c r="J20" s="362"/>
      <c r="K20" s="362"/>
      <c r="L20" s="930"/>
      <c r="M20" s="361"/>
      <c r="N20" s="362"/>
      <c r="O20" s="362"/>
      <c r="P20" s="362"/>
      <c r="Q20" s="930"/>
      <c r="R20" s="361"/>
      <c r="S20" s="362"/>
      <c r="T20" s="362"/>
      <c r="U20" s="362"/>
      <c r="V20" s="930"/>
      <c r="W20" s="361"/>
      <c r="X20" s="362"/>
      <c r="Y20" s="362"/>
      <c r="Z20" s="362"/>
      <c r="AA20" s="930"/>
      <c r="AB20" s="361"/>
      <c r="AC20" s="362"/>
      <c r="AD20" s="362"/>
      <c r="AE20" s="362"/>
      <c r="AF20" s="930"/>
      <c r="AG20" s="359" t="s">
        <v>588</v>
      </c>
      <c r="AH20" s="360" t="s">
        <v>589</v>
      </c>
      <c r="AI20" s="360" t="s">
        <v>590</v>
      </c>
      <c r="AJ20" s="360" t="s">
        <v>591</v>
      </c>
      <c r="AK20" s="922"/>
      <c r="AL20" s="359" t="s">
        <v>588</v>
      </c>
      <c r="AM20" s="360" t="s">
        <v>589</v>
      </c>
      <c r="AN20" s="360" t="s">
        <v>590</v>
      </c>
      <c r="AO20" s="360" t="s">
        <v>591</v>
      </c>
      <c r="AP20" s="922"/>
      <c r="AQ20" s="359" t="s">
        <v>588</v>
      </c>
      <c r="AR20" s="360" t="s">
        <v>589</v>
      </c>
      <c r="AS20" s="360" t="s">
        <v>590</v>
      </c>
      <c r="AT20" s="360" t="s">
        <v>591</v>
      </c>
      <c r="AU20" s="922"/>
      <c r="AV20" s="359" t="s">
        <v>588</v>
      </c>
      <c r="AW20" s="360" t="s">
        <v>589</v>
      </c>
      <c r="AX20" s="360" t="s">
        <v>590</v>
      </c>
      <c r="AY20" s="360" t="s">
        <v>591</v>
      </c>
      <c r="AZ20" s="922"/>
      <c r="BA20" s="359" t="s">
        <v>588</v>
      </c>
      <c r="BB20" s="360" t="s">
        <v>589</v>
      </c>
      <c r="BC20" s="360" t="s">
        <v>590</v>
      </c>
      <c r="BD20" s="360" t="s">
        <v>591</v>
      </c>
      <c r="BE20" s="922"/>
      <c r="BF20" s="359" t="s">
        <v>588</v>
      </c>
      <c r="BG20" s="360" t="s">
        <v>589</v>
      </c>
      <c r="BH20" s="360" t="s">
        <v>590</v>
      </c>
      <c r="BI20" s="360" t="s">
        <v>591</v>
      </c>
      <c r="BJ20" s="922"/>
    </row>
    <row r="21" spans="2:62" s="158" customFormat="1" ht="23.15" customHeight="1">
      <c r="B21" s="153" t="s">
        <v>673</v>
      </c>
      <c r="C21" s="153" t="s">
        <v>674</v>
      </c>
      <c r="D21" s="155"/>
      <c r="E21" s="155"/>
      <c r="F21" s="155"/>
      <c r="G21" s="350"/>
      <c r="H21" s="155"/>
      <c r="I21" s="155"/>
      <c r="J21" s="155"/>
      <c r="K21" s="155"/>
      <c r="L21" s="350"/>
      <c r="M21" s="155"/>
      <c r="N21" s="155"/>
      <c r="O21" s="155"/>
      <c r="P21" s="155"/>
      <c r="Q21" s="350"/>
      <c r="R21" s="155"/>
      <c r="S21" s="155"/>
      <c r="T21" s="155"/>
      <c r="U21" s="155"/>
      <c r="V21" s="350"/>
      <c r="W21" s="155"/>
      <c r="X21" s="155"/>
      <c r="Y21" s="155"/>
      <c r="Z21" s="155"/>
      <c r="AA21" s="350"/>
      <c r="AB21" s="155"/>
      <c r="AC21" s="155"/>
      <c r="AD21" s="155"/>
      <c r="AE21" s="155"/>
      <c r="AF21" s="350"/>
      <c r="AG21" s="156">
        <v>8.9575186666666706</v>
      </c>
      <c r="AH21" s="156">
        <v>9.2269073333333296</v>
      </c>
      <c r="AI21" s="156">
        <v>8.9584399999999995</v>
      </c>
      <c r="AJ21" s="156">
        <v>8.6488606666666694</v>
      </c>
      <c r="AK21" s="514">
        <v>8.9479316666666708</v>
      </c>
      <c r="AL21" s="156">
        <v>9.0586716666666707</v>
      </c>
      <c r="AM21" s="156">
        <v>9.5436246666666662</v>
      </c>
      <c r="AN21" s="156">
        <v>9.9339253333333346</v>
      </c>
      <c r="AO21" s="156">
        <v>9.897098333333334</v>
      </c>
      <c r="AP21" s="514">
        <v>9.6083300000000005</v>
      </c>
      <c r="AQ21" s="156">
        <v>9.8268776666666646</v>
      </c>
      <c r="AR21" s="156">
        <v>10.836056000000001</v>
      </c>
      <c r="AS21" s="157">
        <v>18.484831</v>
      </c>
      <c r="AT21" s="164">
        <v>19.728791999999999</v>
      </c>
      <c r="AU21" s="514">
        <f>AVERAGE(AQ21:AT21)</f>
        <v>14.719139166666666</v>
      </c>
      <c r="AV21" s="157">
        <v>20.181743999999998</v>
      </c>
      <c r="AW21" s="157">
        <v>20.329488000000001</v>
      </c>
      <c r="AX21" s="157">
        <v>19.864871999999998</v>
      </c>
      <c r="AY21" s="157">
        <v>20.539062000000001</v>
      </c>
      <c r="AZ21" s="517">
        <f>AVERAGE(AV21:AY21)</f>
        <v>20.2287915</v>
      </c>
      <c r="BA21" s="157">
        <v>21.168755999999998</v>
      </c>
      <c r="BB21" s="157">
        <v>20.781953999999999</v>
      </c>
      <c r="BC21" s="157">
        <v>20.450285999999998</v>
      </c>
      <c r="BD21" s="157">
        <v>21.187601999999998</v>
      </c>
      <c r="BE21" s="821">
        <f>AVERAGE(BA21:BD21)</f>
        <v>20.897149499999998</v>
      </c>
      <c r="BF21" s="157">
        <v>21.172428</v>
      </c>
      <c r="BG21" s="157"/>
      <c r="BH21" s="157"/>
      <c r="BI21" s="157"/>
      <c r="BJ21" s="821">
        <f>AVERAGE(BF21:BI21)</f>
        <v>21.172428</v>
      </c>
    </row>
    <row r="22" spans="2:62" s="160" customFormat="1" ht="23.15" customHeight="1">
      <c r="B22" s="782" t="s">
        <v>675</v>
      </c>
      <c r="C22" s="782" t="s">
        <v>676</v>
      </c>
      <c r="D22" s="146"/>
      <c r="E22" s="146"/>
      <c r="F22" s="146"/>
      <c r="G22" s="350"/>
      <c r="H22" s="146"/>
      <c r="I22" s="146"/>
      <c r="J22" s="146"/>
      <c r="K22" s="146"/>
      <c r="L22" s="350"/>
      <c r="M22" s="146"/>
      <c r="N22" s="146"/>
      <c r="O22" s="146"/>
      <c r="P22" s="146"/>
      <c r="Q22" s="350"/>
      <c r="R22" s="146"/>
      <c r="S22" s="146"/>
      <c r="T22" s="146"/>
      <c r="U22" s="146"/>
      <c r="V22" s="350"/>
      <c r="W22" s="146"/>
      <c r="X22" s="146"/>
      <c r="Y22" s="146"/>
      <c r="Z22" s="146"/>
      <c r="AA22" s="350"/>
      <c r="AB22" s="146"/>
      <c r="AC22" s="146"/>
      <c r="AD22" s="146"/>
      <c r="AE22" s="146"/>
      <c r="AF22" s="350"/>
      <c r="AG22" s="159">
        <v>21.2333173333333</v>
      </c>
      <c r="AH22" s="159">
        <v>20.898015999999998</v>
      </c>
      <c r="AI22" s="159">
        <v>20.942602666666701</v>
      </c>
      <c r="AJ22" s="159">
        <v>21.839365666666701</v>
      </c>
      <c r="AK22" s="515">
        <v>21.228325416666699</v>
      </c>
      <c r="AL22" s="159">
        <v>22.457554666666667</v>
      </c>
      <c r="AM22" s="159">
        <v>21.564558000000002</v>
      </c>
      <c r="AN22" s="159">
        <v>20.811750666666669</v>
      </c>
      <c r="AO22" s="159">
        <v>21.400824666666669</v>
      </c>
      <c r="AP22" s="515">
        <v>21.558671999999998</v>
      </c>
      <c r="AQ22" s="159">
        <v>21.740159999999999</v>
      </c>
      <c r="AR22" s="159">
        <v>21.146581999999999</v>
      </c>
      <c r="AS22" s="159">
        <v>20.966215666666667</v>
      </c>
      <c r="AT22" s="165">
        <v>21.769559999999998</v>
      </c>
      <c r="AU22" s="515">
        <f>AVERAGE(AQ22:AT22)</f>
        <v>21.405629416666667</v>
      </c>
      <c r="AV22" s="159">
        <v>21.706271999999998</v>
      </c>
      <c r="AW22" s="159">
        <v>21.781169999999999</v>
      </c>
      <c r="AX22" s="159">
        <v>21.017016000000002</v>
      </c>
      <c r="AY22" s="159">
        <v>21.063780000000001</v>
      </c>
      <c r="AZ22" s="515">
        <f>AVERAGE(AV22:AY22)</f>
        <v>21.392059500000002</v>
      </c>
      <c r="BA22" s="159">
        <v>22.066668</v>
      </c>
      <c r="BB22" s="159">
        <v>21.783384000000002</v>
      </c>
      <c r="BC22" s="159">
        <v>22.015961999999998</v>
      </c>
      <c r="BD22" s="159">
        <v>22.645872000000001</v>
      </c>
      <c r="BE22" s="515">
        <f>AVERAGE(BA22:BD22)</f>
        <v>22.127971500000001</v>
      </c>
      <c r="BF22" s="159">
        <v>23.164596</v>
      </c>
      <c r="BG22" s="159"/>
      <c r="BH22" s="159"/>
      <c r="BI22" s="159"/>
      <c r="BJ22" s="515">
        <f>AVERAGE(BF22:BI22)</f>
        <v>23.164596</v>
      </c>
    </row>
    <row r="23" spans="2:62" s="160" customFormat="1" ht="23.15" customHeight="1">
      <c r="B23" s="782" t="s">
        <v>677</v>
      </c>
      <c r="C23" s="782" t="s">
        <v>678</v>
      </c>
      <c r="D23" s="140"/>
      <c r="E23" s="140"/>
      <c r="F23" s="140"/>
      <c r="G23" s="350"/>
      <c r="H23" s="140"/>
      <c r="I23" s="140"/>
      <c r="J23" s="140"/>
      <c r="K23" s="140"/>
      <c r="L23" s="350"/>
      <c r="M23" s="140"/>
      <c r="N23" s="140"/>
      <c r="O23" s="140"/>
      <c r="P23" s="140"/>
      <c r="Q23" s="350"/>
      <c r="R23" s="140"/>
      <c r="S23" s="140"/>
      <c r="T23" s="140"/>
      <c r="U23" s="140"/>
      <c r="V23" s="350"/>
      <c r="W23" s="140"/>
      <c r="X23" s="140"/>
      <c r="Y23" s="140"/>
      <c r="Z23" s="140"/>
      <c r="AA23" s="350"/>
      <c r="AB23" s="140"/>
      <c r="AC23" s="140"/>
      <c r="AD23" s="140"/>
      <c r="AE23" s="140"/>
      <c r="AF23" s="350"/>
      <c r="AG23" s="159">
        <v>21.468349</v>
      </c>
      <c r="AH23" s="159">
        <v>20.808209333333298</v>
      </c>
      <c r="AI23" s="159">
        <v>20.612301333333299</v>
      </c>
      <c r="AJ23" s="159">
        <v>21.082352</v>
      </c>
      <c r="AK23" s="515">
        <v>20.992802916666701</v>
      </c>
      <c r="AL23" s="159">
        <v>21.450856666666667</v>
      </c>
      <c r="AM23" s="159">
        <v>20.752137333333334</v>
      </c>
      <c r="AN23" s="159">
        <v>20.033246999999999</v>
      </c>
      <c r="AO23" s="159">
        <v>20.897084333333332</v>
      </c>
      <c r="AP23" s="515">
        <v>20.783331333333333</v>
      </c>
      <c r="AQ23" s="159">
        <v>21.910613000000001</v>
      </c>
      <c r="AR23" s="159">
        <v>21.920766666666665</v>
      </c>
      <c r="AS23" s="159">
        <v>20.933972666666669</v>
      </c>
      <c r="AT23" s="165">
        <v>21.592872</v>
      </c>
      <c r="AU23" s="515">
        <f t="shared" ref="AU23:AU25" si="4">AVERAGE(AQ23:AT23)</f>
        <v>21.589556083333335</v>
      </c>
      <c r="AV23" s="159">
        <v>21.562200000000001</v>
      </c>
      <c r="AW23" s="159">
        <v>21.70017</v>
      </c>
      <c r="AX23" s="159">
        <v>22.279806000000001</v>
      </c>
      <c r="AY23" s="159">
        <v>23.346792000000001</v>
      </c>
      <c r="AZ23" s="515">
        <f t="shared" ref="AZ23:AZ25" si="5">AVERAGE(AV23:AY23)</f>
        <v>22.222242000000001</v>
      </c>
      <c r="BA23" s="159">
        <v>22.519566000000001</v>
      </c>
      <c r="BB23" s="159">
        <v>21.660533999999998</v>
      </c>
      <c r="BC23" s="159">
        <v>21.742937999999999</v>
      </c>
      <c r="BD23" s="159">
        <v>22.101606</v>
      </c>
      <c r="BE23" s="515">
        <f>AVERAGE(BA23:BD23)</f>
        <v>22.006160999999999</v>
      </c>
      <c r="BF23" s="159">
        <v>22.138757999999999</v>
      </c>
      <c r="BG23" s="159"/>
      <c r="BH23" s="159"/>
      <c r="BI23" s="159"/>
      <c r="BJ23" s="515">
        <f>AVERAGE(BF23:BI23)</f>
        <v>22.138757999999999</v>
      </c>
    </row>
    <row r="24" spans="2:62" s="160" customFormat="1" ht="23.15" customHeight="1">
      <c r="B24" s="782" t="s">
        <v>679</v>
      </c>
      <c r="C24" s="782" t="s">
        <v>680</v>
      </c>
      <c r="D24" s="354"/>
      <c r="E24" s="354"/>
      <c r="F24" s="783"/>
      <c r="G24" s="350"/>
      <c r="H24" s="354"/>
      <c r="I24" s="354"/>
      <c r="J24" s="783"/>
      <c r="K24" s="783"/>
      <c r="L24" s="350"/>
      <c r="M24" s="354"/>
      <c r="N24" s="354"/>
      <c r="O24" s="783"/>
      <c r="P24" s="783"/>
      <c r="Q24" s="350"/>
      <c r="R24" s="354"/>
      <c r="S24" s="354"/>
      <c r="T24" s="783"/>
      <c r="U24" s="783"/>
      <c r="V24" s="350"/>
      <c r="W24" s="354"/>
      <c r="X24" s="354"/>
      <c r="Y24" s="783"/>
      <c r="Z24" s="783"/>
      <c r="AA24" s="350"/>
      <c r="AB24" s="354"/>
      <c r="AC24" s="354"/>
      <c r="AD24" s="783"/>
      <c r="AE24" s="783"/>
      <c r="AF24" s="350"/>
      <c r="AG24" s="784">
        <v>15.9318236666667</v>
      </c>
      <c r="AH24" s="784">
        <v>15.865494</v>
      </c>
      <c r="AI24" s="784">
        <v>16.060423333333301</v>
      </c>
      <c r="AJ24" s="784">
        <v>17.065826666666698</v>
      </c>
      <c r="AK24" s="515">
        <v>16.2308919166667</v>
      </c>
      <c r="AL24" s="784">
        <v>17.787435666666667</v>
      </c>
      <c r="AM24" s="784">
        <v>16.994359333333335</v>
      </c>
      <c r="AN24" s="784">
        <v>16.433279333333335</v>
      </c>
      <c r="AO24" s="784">
        <v>17.680521000000002</v>
      </c>
      <c r="AP24" s="515">
        <v>17.223898833333333</v>
      </c>
      <c r="AQ24" s="784">
        <v>18.596202000000002</v>
      </c>
      <c r="AR24" s="784">
        <v>17.204713999999999</v>
      </c>
      <c r="AS24" s="784">
        <v>15.98324</v>
      </c>
      <c r="AT24" s="784">
        <v>17.756712</v>
      </c>
      <c r="AU24" s="515">
        <f t="shared" si="4"/>
        <v>17.385217000000001</v>
      </c>
      <c r="AV24" s="159">
        <v>17.12556</v>
      </c>
      <c r="AW24" s="159">
        <v>16.734383999999999</v>
      </c>
      <c r="AX24" s="159">
        <v>16.549271999999998</v>
      </c>
      <c r="AY24" s="159">
        <v>17.245547999999999</v>
      </c>
      <c r="AZ24" s="515">
        <f t="shared" si="5"/>
        <v>16.913691</v>
      </c>
      <c r="BA24" s="159">
        <v>17.649467999999999</v>
      </c>
      <c r="BB24" s="159">
        <v>17.706437999999999</v>
      </c>
      <c r="BC24" s="159">
        <v>17.554212</v>
      </c>
      <c r="BD24" s="159">
        <v>18.561095999999999</v>
      </c>
      <c r="BE24" s="515">
        <f>AVERAGE(BA24:BD24)</f>
        <v>17.867803500000001</v>
      </c>
      <c r="BF24" s="159">
        <v>18.665154000000001</v>
      </c>
      <c r="BG24" s="159"/>
      <c r="BH24" s="159"/>
      <c r="BI24" s="159"/>
      <c r="BJ24" s="515">
        <f>AVERAGE(BF24:BI24)</f>
        <v>18.665154000000001</v>
      </c>
    </row>
    <row r="25" spans="2:62" s="160" customFormat="1" ht="23.15" customHeight="1" thickBot="1">
      <c r="B25" s="785" t="s">
        <v>681</v>
      </c>
      <c r="C25" s="785" t="s">
        <v>682</v>
      </c>
      <c r="D25" s="712"/>
      <c r="E25" s="712"/>
      <c r="F25" s="786"/>
      <c r="G25" s="351"/>
      <c r="H25" s="712"/>
      <c r="I25" s="712"/>
      <c r="J25" s="786"/>
      <c r="K25" s="786"/>
      <c r="L25" s="351"/>
      <c r="M25" s="712"/>
      <c r="N25" s="712"/>
      <c r="O25" s="786"/>
      <c r="P25" s="786"/>
      <c r="Q25" s="351"/>
      <c r="R25" s="712"/>
      <c r="S25" s="712"/>
      <c r="T25" s="786"/>
      <c r="U25" s="786"/>
      <c r="V25" s="351"/>
      <c r="W25" s="712"/>
      <c r="X25" s="712"/>
      <c r="Y25" s="786"/>
      <c r="Z25" s="786"/>
      <c r="AA25" s="351"/>
      <c r="AB25" s="712"/>
      <c r="AC25" s="712"/>
      <c r="AD25" s="786"/>
      <c r="AE25" s="786"/>
      <c r="AF25" s="351"/>
      <c r="AG25" s="787">
        <v>16.4260943333333</v>
      </c>
      <c r="AH25" s="787">
        <v>15.977968000000001</v>
      </c>
      <c r="AI25" s="787">
        <v>16.207808</v>
      </c>
      <c r="AJ25" s="787">
        <v>17.236224666666701</v>
      </c>
      <c r="AK25" s="516">
        <v>16.46202375</v>
      </c>
      <c r="AL25" s="787">
        <v>17.738139</v>
      </c>
      <c r="AM25" s="787">
        <v>16.633941666666665</v>
      </c>
      <c r="AN25" s="787">
        <v>15.505186333333333</v>
      </c>
      <c r="AO25" s="787">
        <v>16.117697666666668</v>
      </c>
      <c r="AP25" s="516">
        <v>16.498741166666665</v>
      </c>
      <c r="AQ25" s="787">
        <v>16.987466000000001</v>
      </c>
      <c r="AR25" s="713">
        <v>16.000780333333335</v>
      </c>
      <c r="AS25" s="713">
        <v>14.976542333333335</v>
      </c>
      <c r="AT25" s="787">
        <v>17.669664000000001</v>
      </c>
      <c r="AU25" s="516">
        <f t="shared" si="4"/>
        <v>16.408613166666669</v>
      </c>
      <c r="AV25" s="718">
        <v>17.595576000000001</v>
      </c>
      <c r="AW25" s="718">
        <v>17.638991999999998</v>
      </c>
      <c r="AX25" s="718">
        <v>17.396370000000001</v>
      </c>
      <c r="AY25" s="718">
        <v>17.984159999999999</v>
      </c>
      <c r="AZ25" s="720">
        <f t="shared" si="5"/>
        <v>17.653774500000001</v>
      </c>
      <c r="BA25" s="718">
        <v>18.547865999999999</v>
      </c>
      <c r="BB25" s="718">
        <v>17.891604000000001</v>
      </c>
      <c r="BC25" s="718">
        <v>17.8767</v>
      </c>
      <c r="BD25" s="718">
        <v>18.523350000000001</v>
      </c>
      <c r="BE25" s="516">
        <f>AVERAGE(BA25:BD25)</f>
        <v>18.209879999999998</v>
      </c>
      <c r="BF25" s="718">
        <v>18.543654</v>
      </c>
      <c r="BG25" s="718"/>
      <c r="BH25" s="718"/>
      <c r="BI25" s="718"/>
      <c r="BJ25" s="516">
        <f>AVERAGE(BF25:BI25)</f>
        <v>18.543654</v>
      </c>
    </row>
    <row r="26" spans="2:62" s="136" customFormat="1" ht="20.149999999999999" customHeight="1">
      <c r="D26"/>
      <c r="E26"/>
      <c r="F26"/>
      <c r="G26"/>
      <c r="H26"/>
      <c r="I26"/>
      <c r="J26"/>
      <c r="K26"/>
      <c r="L26"/>
      <c r="M26"/>
      <c r="N26"/>
      <c r="O26"/>
      <c r="P26"/>
      <c r="Q26"/>
      <c r="R26"/>
      <c r="S26"/>
      <c r="T26"/>
      <c r="U26"/>
      <c r="V26"/>
      <c r="W26"/>
      <c r="X26"/>
      <c r="Y26"/>
      <c r="Z26"/>
      <c r="AA26"/>
      <c r="AB26"/>
      <c r="AC26"/>
      <c r="AD26"/>
      <c r="AE26"/>
      <c r="AF26"/>
      <c r="AK26"/>
      <c r="AP26"/>
      <c r="AU26"/>
      <c r="AZ26"/>
      <c r="BE26"/>
      <c r="BJ26"/>
    </row>
    <row r="27" spans="2:62" s="136" customFormat="1" ht="27.75" customHeight="1" thickBot="1">
      <c r="B27" s="161" t="s">
        <v>683</v>
      </c>
      <c r="C27" s="161" t="s">
        <v>684</v>
      </c>
      <c r="D27" s="355"/>
      <c r="E27" s="355"/>
      <c r="F27" s="355"/>
      <c r="G27" s="355"/>
      <c r="H27" s="355"/>
      <c r="I27" s="355"/>
      <c r="J27" s="355"/>
      <c r="K27" s="355"/>
      <c r="L27" s="355"/>
      <c r="M27" s="355"/>
      <c r="N27" s="355"/>
      <c r="O27" s="355"/>
      <c r="P27" s="355"/>
      <c r="Q27" s="355"/>
      <c r="R27" s="355"/>
      <c r="S27" s="355"/>
      <c r="T27" s="355"/>
      <c r="U27" s="355"/>
      <c r="V27" s="355"/>
      <c r="W27" s="355"/>
      <c r="X27" s="355"/>
      <c r="Y27" s="355"/>
      <c r="Z27" s="355"/>
      <c r="AA27" s="355"/>
      <c r="AB27" s="355"/>
      <c r="AC27" s="355"/>
      <c r="AD27" s="355"/>
      <c r="AE27" s="355"/>
      <c r="AF27" s="355"/>
      <c r="AK27"/>
      <c r="AP27"/>
      <c r="AU27"/>
      <c r="AZ27"/>
      <c r="BE27"/>
      <c r="BJ27"/>
    </row>
    <row r="28" spans="2:62" s="382" customFormat="1" ht="20.25" customHeight="1">
      <c r="B28" s="925" t="s">
        <v>685</v>
      </c>
      <c r="C28" s="925" t="s">
        <v>686</v>
      </c>
      <c r="D28" s="923"/>
      <c r="E28" s="924"/>
      <c r="F28" s="924"/>
      <c r="G28" s="921"/>
      <c r="H28" s="923"/>
      <c r="I28" s="924"/>
      <c r="J28" s="924"/>
      <c r="K28" s="924"/>
      <c r="L28" s="921"/>
      <c r="M28" s="923"/>
      <c r="N28" s="924"/>
      <c r="O28" s="924"/>
      <c r="P28" s="924"/>
      <c r="Q28" s="921"/>
      <c r="R28" s="923"/>
      <c r="S28" s="924"/>
      <c r="T28" s="924"/>
      <c r="U28" s="924"/>
      <c r="V28" s="921"/>
      <c r="W28" s="923"/>
      <c r="X28" s="924"/>
      <c r="Y28" s="924"/>
      <c r="Z28" s="924"/>
      <c r="AA28" s="921"/>
      <c r="AB28" s="923"/>
      <c r="AC28" s="924"/>
      <c r="AD28" s="924"/>
      <c r="AE28" s="924"/>
      <c r="AF28" s="921"/>
      <c r="AG28" s="923">
        <v>2018</v>
      </c>
      <c r="AH28" s="924"/>
      <c r="AI28" s="924"/>
      <c r="AJ28" s="924"/>
      <c r="AK28" s="921">
        <v>2018</v>
      </c>
      <c r="AL28" s="923">
        <v>2019</v>
      </c>
      <c r="AM28" s="924"/>
      <c r="AN28" s="924"/>
      <c r="AO28" s="924"/>
      <c r="AP28" s="921">
        <v>2019</v>
      </c>
      <c r="AQ28" s="923">
        <v>2020</v>
      </c>
      <c r="AR28" s="924"/>
      <c r="AS28" s="924"/>
      <c r="AT28" s="924"/>
      <c r="AU28" s="921">
        <v>2020</v>
      </c>
      <c r="AV28" s="923">
        <f>AV2</f>
        <v>2021</v>
      </c>
      <c r="AW28" s="924"/>
      <c r="AX28" s="924"/>
      <c r="AY28" s="924"/>
      <c r="AZ28" s="921" t="s">
        <v>644</v>
      </c>
      <c r="BA28" s="923">
        <f>BA2</f>
        <v>2022</v>
      </c>
      <c r="BB28" s="924"/>
      <c r="BC28" s="924"/>
      <c r="BD28" s="924"/>
      <c r="BE28" s="921" t="s">
        <v>645</v>
      </c>
      <c r="BF28" s="923">
        <f>BF2</f>
        <v>2023</v>
      </c>
      <c r="BG28" s="924"/>
      <c r="BH28" s="924"/>
      <c r="BI28" s="924"/>
      <c r="BJ28" s="921" t="s">
        <v>687</v>
      </c>
    </row>
    <row r="29" spans="2:62" s="383" customFormat="1" ht="20.25" customHeight="1" thickBot="1">
      <c r="B29" s="926"/>
      <c r="C29" s="926"/>
      <c r="D29" s="359"/>
      <c r="E29" s="360"/>
      <c r="F29" s="360"/>
      <c r="G29" s="922"/>
      <c r="H29" s="359"/>
      <c r="I29" s="360"/>
      <c r="J29" s="360"/>
      <c r="K29" s="360"/>
      <c r="L29" s="922"/>
      <c r="M29" s="359"/>
      <c r="N29" s="360"/>
      <c r="O29" s="360"/>
      <c r="P29" s="360"/>
      <c r="Q29" s="922"/>
      <c r="R29" s="359"/>
      <c r="S29" s="360"/>
      <c r="T29" s="360"/>
      <c r="U29" s="360"/>
      <c r="V29" s="922"/>
      <c r="W29" s="359"/>
      <c r="X29" s="360"/>
      <c r="Y29" s="360"/>
      <c r="Z29" s="360"/>
      <c r="AA29" s="922"/>
      <c r="AB29" s="359"/>
      <c r="AC29" s="360"/>
      <c r="AD29" s="360"/>
      <c r="AE29" s="360"/>
      <c r="AF29" s="922"/>
      <c r="AG29" s="359" t="s">
        <v>588</v>
      </c>
      <c r="AH29" s="360" t="s">
        <v>589</v>
      </c>
      <c r="AI29" s="360" t="s">
        <v>590</v>
      </c>
      <c r="AJ29" s="360" t="s">
        <v>591</v>
      </c>
      <c r="AK29" s="922"/>
      <c r="AL29" s="359" t="s">
        <v>588</v>
      </c>
      <c r="AM29" s="360" t="s">
        <v>589</v>
      </c>
      <c r="AN29" s="360" t="s">
        <v>590</v>
      </c>
      <c r="AO29" s="360" t="s">
        <v>591</v>
      </c>
      <c r="AP29" s="922"/>
      <c r="AQ29" s="359" t="s">
        <v>588</v>
      </c>
      <c r="AR29" s="360" t="s">
        <v>589</v>
      </c>
      <c r="AS29" s="360" t="s">
        <v>590</v>
      </c>
      <c r="AT29" s="360" t="s">
        <v>591</v>
      </c>
      <c r="AU29" s="922"/>
      <c r="AV29" s="359" t="s">
        <v>588</v>
      </c>
      <c r="AW29" s="360" t="s">
        <v>589</v>
      </c>
      <c r="AX29" s="360" t="s">
        <v>590</v>
      </c>
      <c r="AY29" s="360" t="s">
        <v>591</v>
      </c>
      <c r="AZ29" s="922"/>
      <c r="BA29" s="359" t="s">
        <v>588</v>
      </c>
      <c r="BB29" s="360" t="s">
        <v>589</v>
      </c>
      <c r="BC29" s="360" t="s">
        <v>590</v>
      </c>
      <c r="BD29" s="360" t="s">
        <v>591</v>
      </c>
      <c r="BE29" s="922"/>
      <c r="BF29" s="359" t="s">
        <v>588</v>
      </c>
      <c r="BG29" s="360" t="s">
        <v>589</v>
      </c>
      <c r="BH29" s="360" t="s">
        <v>590</v>
      </c>
      <c r="BI29" s="360" t="s">
        <v>591</v>
      </c>
      <c r="BJ29" s="922"/>
    </row>
    <row r="30" spans="2:62" s="163" customFormat="1" ht="20.149999999999999" customHeight="1">
      <c r="B30" s="153" t="s">
        <v>688</v>
      </c>
      <c r="C30" s="153" t="s">
        <v>689</v>
      </c>
      <c r="D30" s="155"/>
      <c r="E30" s="155"/>
      <c r="F30" s="155"/>
      <c r="G30" s="350"/>
      <c r="H30" s="155"/>
      <c r="I30" s="155"/>
      <c r="J30" s="155"/>
      <c r="K30" s="155"/>
      <c r="L30" s="350"/>
      <c r="M30" s="155"/>
      <c r="N30" s="155"/>
      <c r="O30" s="155"/>
      <c r="P30" s="155"/>
      <c r="Q30" s="350"/>
      <c r="R30" s="155"/>
      <c r="S30" s="155"/>
      <c r="T30" s="155"/>
      <c r="U30" s="155"/>
      <c r="V30" s="350"/>
      <c r="W30" s="155"/>
      <c r="X30" s="155"/>
      <c r="Y30" s="155"/>
      <c r="Z30" s="155"/>
      <c r="AA30" s="350"/>
      <c r="AB30" s="155"/>
      <c r="AC30" s="155"/>
      <c r="AD30" s="155"/>
      <c r="AE30" s="155"/>
      <c r="AF30" s="350"/>
      <c r="AG30" s="162">
        <v>119.246591</v>
      </c>
      <c r="AH30" s="162">
        <v>122.659119</v>
      </c>
      <c r="AI30" s="162">
        <v>115.47829</v>
      </c>
      <c r="AJ30" s="162">
        <v>124.290809</v>
      </c>
      <c r="AK30" s="521">
        <v>120.418702</v>
      </c>
      <c r="AL30" s="162">
        <v>141.89801766666699</v>
      </c>
      <c r="AM30" s="162">
        <v>142.39620733333334</v>
      </c>
      <c r="AN30" s="162">
        <v>147.647065</v>
      </c>
      <c r="AO30" s="162">
        <v>147.21163000000001</v>
      </c>
      <c r="AP30" s="521">
        <v>144.52833590909091</v>
      </c>
      <c r="AQ30" s="162">
        <v>156.99415033333335</v>
      </c>
      <c r="AR30" s="162">
        <v>175.901262</v>
      </c>
      <c r="AS30" s="154">
        <v>1489.1514456666669</v>
      </c>
      <c r="AT30" s="155">
        <v>1713.2906539999999</v>
      </c>
      <c r="AU30" s="521">
        <f>AVERAGE(AQ30:AT30)</f>
        <v>883.83437800000002</v>
      </c>
      <c r="AV30" s="154">
        <v>1739.0040570000001</v>
      </c>
      <c r="AW30" s="154">
        <v>2028.1014210000001</v>
      </c>
      <c r="AX30" s="154">
        <v>1995.4577059999999</v>
      </c>
      <c r="AY30" s="154">
        <v>1963.315611</v>
      </c>
      <c r="AZ30" s="518">
        <f>AVERAGE(AV30:AY30)</f>
        <v>1931.4696987500001</v>
      </c>
      <c r="BA30" s="154">
        <v>2170.3631930000001</v>
      </c>
      <c r="BB30" s="154">
        <v>2022.7836483333333</v>
      </c>
      <c r="BC30" s="154">
        <v>1970.2891830000001</v>
      </c>
      <c r="BD30" s="154">
        <v>2016.2877403333332</v>
      </c>
      <c r="BE30" s="518">
        <f>AVERAGE(BA30:BD30)</f>
        <v>2044.9309411666666</v>
      </c>
      <c r="BF30" s="154">
        <v>1937.6943776666667</v>
      </c>
      <c r="BG30" s="154"/>
      <c r="BH30" s="154"/>
      <c r="BI30" s="154"/>
      <c r="BJ30" s="518">
        <f>AVERAGE(BF30:BI30)</f>
        <v>1937.6943776666667</v>
      </c>
    </row>
    <row r="31" spans="2:62" s="136" customFormat="1" ht="20.149999999999999" customHeight="1">
      <c r="B31" s="782" t="s">
        <v>675</v>
      </c>
      <c r="C31" s="782" t="s">
        <v>676</v>
      </c>
      <c r="D31" s="146"/>
      <c r="E31" s="146"/>
      <c r="F31" s="146"/>
      <c r="G31" s="350"/>
      <c r="H31" s="146"/>
      <c r="I31" s="146"/>
      <c r="J31" s="146"/>
      <c r="K31" s="146"/>
      <c r="L31" s="350"/>
      <c r="M31" s="146"/>
      <c r="N31" s="146"/>
      <c r="O31" s="146"/>
      <c r="P31" s="146"/>
      <c r="Q31" s="350"/>
      <c r="R31" s="146"/>
      <c r="S31" s="146"/>
      <c r="T31" s="146"/>
      <c r="U31" s="146"/>
      <c r="V31" s="350"/>
      <c r="W31" s="146"/>
      <c r="X31" s="146"/>
      <c r="Y31" s="146"/>
      <c r="Z31" s="146"/>
      <c r="AA31" s="350"/>
      <c r="AB31" s="146"/>
      <c r="AC31" s="146"/>
      <c r="AD31" s="146"/>
      <c r="AE31" s="146"/>
      <c r="AF31" s="350"/>
      <c r="AG31" s="94">
        <v>3986.0391209999998</v>
      </c>
      <c r="AH31" s="94">
        <v>2843.8153569999999</v>
      </c>
      <c r="AI31" s="94">
        <v>2795.8327979999999</v>
      </c>
      <c r="AJ31" s="94">
        <v>2824.1565719999999</v>
      </c>
      <c r="AK31" s="519">
        <v>3112.4609620000001</v>
      </c>
      <c r="AL31" s="94">
        <v>3067.8559336666667</v>
      </c>
      <c r="AM31" s="94">
        <v>2816.4148613333336</v>
      </c>
      <c r="AN31" s="94">
        <v>2891.7096685000001</v>
      </c>
      <c r="AO31" s="94">
        <v>2865.860862</v>
      </c>
      <c r="AP31" s="519">
        <v>2912.164937090909</v>
      </c>
      <c r="AQ31" s="94">
        <v>3348.4315183333333</v>
      </c>
      <c r="AR31" s="94">
        <v>3454.8804993333333</v>
      </c>
      <c r="AS31" s="94">
        <v>2850.2637966666666</v>
      </c>
      <c r="AT31" s="146">
        <v>3489.1977529999999</v>
      </c>
      <c r="AU31" s="519">
        <f>AVERAGE(AQ31:AT31)</f>
        <v>3285.6933918333334</v>
      </c>
      <c r="AV31" s="94">
        <v>3448.092208</v>
      </c>
      <c r="AW31" s="94">
        <v>3363.2307430000001</v>
      </c>
      <c r="AX31" s="94">
        <v>3250.0863800000002</v>
      </c>
      <c r="AY31" s="94">
        <v>3592.842443</v>
      </c>
      <c r="AZ31" s="519">
        <f>AVERAGE(AV31:AY31)</f>
        <v>3413.5629435000001</v>
      </c>
      <c r="BA31" s="94">
        <v>4208.8861299999999</v>
      </c>
      <c r="BB31" s="94">
        <v>3907.9663673333334</v>
      </c>
      <c r="BC31" s="94">
        <v>3675.5723446666666</v>
      </c>
      <c r="BD31" s="94">
        <v>3774.7006889999998</v>
      </c>
      <c r="BE31" s="519">
        <f>AVERAGE(BA31:BD31)</f>
        <v>3891.7813827499999</v>
      </c>
      <c r="BF31" s="94">
        <v>3714.641404</v>
      </c>
      <c r="BG31" s="94"/>
      <c r="BH31" s="94"/>
      <c r="BI31" s="94"/>
      <c r="BJ31" s="519">
        <f>AVERAGE(BF31:BI31)</f>
        <v>3714.641404</v>
      </c>
    </row>
    <row r="32" spans="2:62" s="136" customFormat="1" ht="20.149999999999999" customHeight="1">
      <c r="B32" s="782" t="s">
        <v>677</v>
      </c>
      <c r="C32" s="782" t="s">
        <v>678</v>
      </c>
      <c r="D32" s="140"/>
      <c r="E32" s="140"/>
      <c r="F32" s="140"/>
      <c r="G32" s="350"/>
      <c r="H32" s="140"/>
      <c r="I32" s="140"/>
      <c r="J32" s="140"/>
      <c r="K32" s="140"/>
      <c r="L32" s="350"/>
      <c r="M32" s="140"/>
      <c r="N32" s="140"/>
      <c r="O32" s="140"/>
      <c r="P32" s="140"/>
      <c r="Q32" s="350"/>
      <c r="R32" s="140"/>
      <c r="S32" s="140"/>
      <c r="T32" s="140"/>
      <c r="U32" s="140"/>
      <c r="V32" s="350"/>
      <c r="W32" s="140"/>
      <c r="X32" s="140"/>
      <c r="Y32" s="140"/>
      <c r="Z32" s="140"/>
      <c r="AA32" s="350"/>
      <c r="AB32" s="140"/>
      <c r="AC32" s="140"/>
      <c r="AD32" s="140"/>
      <c r="AE32" s="140"/>
      <c r="AF32" s="350"/>
      <c r="AG32" s="94">
        <v>3147.101705</v>
      </c>
      <c r="AH32" s="94">
        <v>2634.622558</v>
      </c>
      <c r="AI32" s="94">
        <v>2262.472448</v>
      </c>
      <c r="AJ32" s="94">
        <v>1989.323279</v>
      </c>
      <c r="AK32" s="519">
        <v>2508.379997</v>
      </c>
      <c r="AL32" s="94">
        <v>2306.4432736666663</v>
      </c>
      <c r="AM32" s="94">
        <v>2056.0130949999998</v>
      </c>
      <c r="AN32" s="94">
        <v>2009.5032535</v>
      </c>
      <c r="AO32" s="94">
        <v>2040.8401793333333</v>
      </c>
      <c r="AP32" s="519">
        <v>2111.7178319090908</v>
      </c>
      <c r="AQ32" s="94">
        <v>2424.047912</v>
      </c>
      <c r="AR32" s="94">
        <v>2514.4230903333337</v>
      </c>
      <c r="AS32" s="94">
        <v>2247.1015526666665</v>
      </c>
      <c r="AT32" s="146">
        <v>2523.0223740000001</v>
      </c>
      <c r="AU32" s="519">
        <f t="shared" ref="AU32:AU34" si="6">AVERAGE(AQ32:AT32)</f>
        <v>2427.1487322500002</v>
      </c>
      <c r="AV32" s="94">
        <v>2360.7921510000001</v>
      </c>
      <c r="AW32" s="94">
        <v>2293.3762510000001</v>
      </c>
      <c r="AX32" s="94">
        <v>2353.431529</v>
      </c>
      <c r="AY32" s="94">
        <v>2488.5984250000001</v>
      </c>
      <c r="AZ32" s="519">
        <f t="shared" ref="AZ32:AZ34" si="7">AVERAGE(AV32:AY32)</f>
        <v>2374.0495890000002</v>
      </c>
      <c r="BA32" s="94">
        <v>3253.3832609999999</v>
      </c>
      <c r="BB32" s="94">
        <v>2762.1132349999998</v>
      </c>
      <c r="BC32" s="94">
        <v>2627.8295539999999</v>
      </c>
      <c r="BD32" s="94">
        <v>2698.7417666666665</v>
      </c>
      <c r="BE32" s="519">
        <f>AVERAGE(BA32:BD32)</f>
        <v>2835.5169541666664</v>
      </c>
      <c r="BF32" s="94">
        <v>2675.1429913333336</v>
      </c>
      <c r="BG32" s="94"/>
      <c r="BH32" s="94"/>
      <c r="BI32" s="94"/>
      <c r="BJ32" s="519">
        <f>AVERAGE(BF32:BI32)</f>
        <v>2675.1429913333336</v>
      </c>
    </row>
    <row r="33" spans="2:62" s="136" customFormat="1" ht="20.149999999999999" customHeight="1">
      <c r="B33" s="782" t="s">
        <v>679</v>
      </c>
      <c r="C33" s="782" t="s">
        <v>680</v>
      </c>
      <c r="D33" s="354"/>
      <c r="E33" s="354"/>
      <c r="F33" s="783"/>
      <c r="G33" s="350"/>
      <c r="H33" s="354"/>
      <c r="I33" s="354"/>
      <c r="J33" s="783"/>
      <c r="K33" s="783"/>
      <c r="L33" s="350"/>
      <c r="M33" s="354"/>
      <c r="N33" s="354"/>
      <c r="O33" s="783"/>
      <c r="P33" s="783"/>
      <c r="Q33" s="350"/>
      <c r="R33" s="354"/>
      <c r="S33" s="354"/>
      <c r="T33" s="783"/>
      <c r="U33" s="783"/>
      <c r="V33" s="350"/>
      <c r="W33" s="354"/>
      <c r="X33" s="354"/>
      <c r="Y33" s="783"/>
      <c r="Z33" s="783"/>
      <c r="AA33" s="350"/>
      <c r="AB33" s="354"/>
      <c r="AC33" s="354"/>
      <c r="AD33" s="783"/>
      <c r="AE33" s="783"/>
      <c r="AF33" s="350"/>
      <c r="AG33" s="788">
        <v>496.51288099999999</v>
      </c>
      <c r="AH33" s="788">
        <v>494.34597000000002</v>
      </c>
      <c r="AI33" s="788">
        <v>475.84753799999999</v>
      </c>
      <c r="AJ33" s="788">
        <v>550.75379799999996</v>
      </c>
      <c r="AK33" s="519">
        <v>504.365047</v>
      </c>
      <c r="AL33" s="788">
        <v>653.34457066666664</v>
      </c>
      <c r="AM33" s="788">
        <v>688.13588766666658</v>
      </c>
      <c r="AN33" s="788">
        <v>704.99070133333339</v>
      </c>
      <c r="AO33" s="788">
        <v>733.35113000000001</v>
      </c>
      <c r="AP33" s="519">
        <v>694.95557241666666</v>
      </c>
      <c r="AQ33" s="788">
        <v>908.30737366666665</v>
      </c>
      <c r="AR33" s="788">
        <v>796.95762233333335</v>
      </c>
      <c r="AS33" s="788">
        <v>826.83673199999998</v>
      </c>
      <c r="AT33" s="146">
        <v>914.32968500000004</v>
      </c>
      <c r="AU33" s="519">
        <f t="shared" si="6"/>
        <v>861.60785324999995</v>
      </c>
      <c r="AV33" s="788">
        <v>918.73843299999999</v>
      </c>
      <c r="AW33" s="788">
        <v>816.42182000000003</v>
      </c>
      <c r="AX33" s="788">
        <v>824.29132700000002</v>
      </c>
      <c r="AY33" s="788">
        <v>859.91131800000005</v>
      </c>
      <c r="AZ33" s="519">
        <f t="shared" si="7"/>
        <v>854.84072449999996</v>
      </c>
      <c r="BA33" s="788">
        <v>830.924621</v>
      </c>
      <c r="BB33" s="788">
        <v>832.0364933333334</v>
      </c>
      <c r="BC33" s="788">
        <v>777.37135566666666</v>
      </c>
      <c r="BD33" s="788">
        <v>861.91970433333336</v>
      </c>
      <c r="BE33" s="519">
        <f>AVERAGE(BA33:BD33)</f>
        <v>825.56304358333341</v>
      </c>
      <c r="BF33" s="788">
        <v>1022.4914056666667</v>
      </c>
      <c r="BG33" s="788"/>
      <c r="BH33" s="788"/>
      <c r="BI33" s="788"/>
      <c r="BJ33" s="519">
        <f>AVERAGE(BF33:BI33)</f>
        <v>1022.4914056666667</v>
      </c>
    </row>
    <row r="34" spans="2:62" s="136" customFormat="1" ht="20.149999999999999" customHeight="1" thickBot="1">
      <c r="B34" s="785" t="s">
        <v>681</v>
      </c>
      <c r="C34" s="785" t="s">
        <v>682</v>
      </c>
      <c r="D34" s="712"/>
      <c r="E34" s="712"/>
      <c r="F34" s="786"/>
      <c r="G34" s="351"/>
      <c r="H34" s="712"/>
      <c r="I34" s="712"/>
      <c r="J34" s="786"/>
      <c r="K34" s="786"/>
      <c r="L34" s="351"/>
      <c r="M34" s="712"/>
      <c r="N34" s="712"/>
      <c r="O34" s="786"/>
      <c r="P34" s="786"/>
      <c r="Q34" s="351"/>
      <c r="R34" s="712"/>
      <c r="S34" s="712"/>
      <c r="T34" s="786"/>
      <c r="U34" s="786"/>
      <c r="V34" s="351"/>
      <c r="W34" s="712"/>
      <c r="X34" s="712"/>
      <c r="Y34" s="786"/>
      <c r="Z34" s="786"/>
      <c r="AA34" s="351"/>
      <c r="AB34" s="712"/>
      <c r="AC34" s="712"/>
      <c r="AD34" s="786"/>
      <c r="AE34" s="786"/>
      <c r="AF34" s="351"/>
      <c r="AG34" s="789">
        <v>701.28572999999994</v>
      </c>
      <c r="AH34" s="789">
        <v>632.023324</v>
      </c>
      <c r="AI34" s="789">
        <v>599.56303200000002</v>
      </c>
      <c r="AJ34" s="789">
        <v>627.25341200000003</v>
      </c>
      <c r="AK34" s="520">
        <v>640.03137500000003</v>
      </c>
      <c r="AL34" s="789">
        <v>652.00119633333338</v>
      </c>
      <c r="AM34" s="789">
        <v>532.50463433333334</v>
      </c>
      <c r="AN34" s="789">
        <v>542.2565065</v>
      </c>
      <c r="AO34" s="789">
        <v>522.11580900000001</v>
      </c>
      <c r="AP34" s="520">
        <v>564.03435745454544</v>
      </c>
      <c r="AQ34" s="789">
        <v>645.25113733333342</v>
      </c>
      <c r="AR34" s="714">
        <v>585.152736</v>
      </c>
      <c r="AS34" s="714">
        <v>505.00412899999998</v>
      </c>
      <c r="AT34" s="715">
        <v>608.30699400000003</v>
      </c>
      <c r="AU34" s="520">
        <f t="shared" si="6"/>
        <v>585.92874908333329</v>
      </c>
      <c r="AV34" s="719">
        <v>589.85531400000002</v>
      </c>
      <c r="AW34" s="719">
        <v>572.48614299999997</v>
      </c>
      <c r="AX34" s="719">
        <v>605.14870599999995</v>
      </c>
      <c r="AY34" s="719">
        <v>608.22494300000005</v>
      </c>
      <c r="AZ34" s="721">
        <f t="shared" si="7"/>
        <v>593.92877650000003</v>
      </c>
      <c r="BA34" s="719">
        <v>708.24070340000003</v>
      </c>
      <c r="BB34" s="719">
        <v>574.09954033333338</v>
      </c>
      <c r="BC34" s="719">
        <v>594.76668800000004</v>
      </c>
      <c r="BD34" s="719">
        <v>671.62155900000005</v>
      </c>
      <c r="BE34" s="721">
        <f>AVERAGE(BA34:BD34)</f>
        <v>637.18212268333343</v>
      </c>
      <c r="BF34" s="719">
        <v>663.36616300000003</v>
      </c>
      <c r="BG34" s="719"/>
      <c r="BH34" s="719"/>
      <c r="BI34" s="719"/>
      <c r="BJ34" s="721">
        <f>AVERAGE(BF34:BI34)</f>
        <v>663.36616300000003</v>
      </c>
    </row>
    <row r="35" spans="2:62" s="136" customFormat="1" ht="20.149999999999999" customHeight="1">
      <c r="D35"/>
      <c r="E35"/>
      <c r="F35"/>
      <c r="G35"/>
      <c r="H35"/>
      <c r="I35"/>
      <c r="J35"/>
      <c r="K35"/>
      <c r="L35"/>
      <c r="M35"/>
      <c r="N35"/>
      <c r="O35"/>
      <c r="P35"/>
      <c r="Q35"/>
      <c r="R35"/>
      <c r="S35"/>
      <c r="T35"/>
      <c r="U35"/>
      <c r="V35"/>
      <c r="W35"/>
      <c r="X35"/>
      <c r="Y35"/>
      <c r="Z35"/>
      <c r="AA35"/>
      <c r="AB35"/>
      <c r="AC35"/>
      <c r="AD35"/>
      <c r="AE35"/>
      <c r="AF35"/>
      <c r="AK35"/>
      <c r="AP35"/>
      <c r="AU35"/>
      <c r="AZ35"/>
      <c r="BE35"/>
      <c r="BJ35"/>
    </row>
    <row r="36" spans="2:62" s="136" customFormat="1" ht="252">
      <c r="B36" s="149" t="s">
        <v>690</v>
      </c>
      <c r="C36" s="149" t="s">
        <v>691</v>
      </c>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K36"/>
      <c r="AP36"/>
      <c r="AR36"/>
      <c r="AS36" s="187"/>
      <c r="AT36" s="187"/>
      <c r="AU36"/>
      <c r="AW36"/>
      <c r="AX36" s="187"/>
      <c r="AY36" s="187"/>
      <c r="AZ36"/>
      <c r="BB36"/>
      <c r="BC36" s="187"/>
      <c r="BD36" s="187"/>
      <c r="BE36"/>
      <c r="BG36"/>
      <c r="BH36" s="187"/>
      <c r="BI36" s="187"/>
      <c r="BJ36"/>
    </row>
    <row r="66" customFormat="1"/>
    <row r="67" customFormat="1"/>
  </sheetData>
  <mergeCells count="78">
    <mergeCell ref="BF2:BI2"/>
    <mergeCell ref="BJ2:BJ3"/>
    <mergeCell ref="BF19:BI19"/>
    <mergeCell ref="BJ19:BJ20"/>
    <mergeCell ref="BF28:BI28"/>
    <mergeCell ref="BJ28:BJ29"/>
    <mergeCell ref="AA2:AA3"/>
    <mergeCell ref="B2:B3"/>
    <mergeCell ref="C2:C3"/>
    <mergeCell ref="D2:F2"/>
    <mergeCell ref="G2:G3"/>
    <mergeCell ref="H2:K2"/>
    <mergeCell ref="L2:L3"/>
    <mergeCell ref="M2:P2"/>
    <mergeCell ref="Q2:Q3"/>
    <mergeCell ref="R2:U2"/>
    <mergeCell ref="V2:V3"/>
    <mergeCell ref="W2:Z2"/>
    <mergeCell ref="BE2:BE3"/>
    <mergeCell ref="AB2:AE2"/>
    <mergeCell ref="AF2:AF3"/>
    <mergeCell ref="AG2:AJ2"/>
    <mergeCell ref="AK2:AK3"/>
    <mergeCell ref="AL2:AO2"/>
    <mergeCell ref="AP2:AP3"/>
    <mergeCell ref="AQ2:AT2"/>
    <mergeCell ref="AU2:AU3"/>
    <mergeCell ref="AV2:AY2"/>
    <mergeCell ref="AZ2:AZ3"/>
    <mergeCell ref="BA2:BD2"/>
    <mergeCell ref="AA19:AA20"/>
    <mergeCell ref="B19:B20"/>
    <mergeCell ref="C19:C20"/>
    <mergeCell ref="D19:F19"/>
    <mergeCell ref="G19:G20"/>
    <mergeCell ref="H19:K19"/>
    <mergeCell ref="L19:L20"/>
    <mergeCell ref="M19:P19"/>
    <mergeCell ref="Q19:Q20"/>
    <mergeCell ref="R19:U19"/>
    <mergeCell ref="V19:V20"/>
    <mergeCell ref="W19:Z19"/>
    <mergeCell ref="BE19:BE20"/>
    <mergeCell ref="AB19:AE19"/>
    <mergeCell ref="AF19:AF20"/>
    <mergeCell ref="AG19:AJ19"/>
    <mergeCell ref="AK19:AK20"/>
    <mergeCell ref="AL19:AO19"/>
    <mergeCell ref="AP19:AP20"/>
    <mergeCell ref="AQ19:AT19"/>
    <mergeCell ref="AU19:AU20"/>
    <mergeCell ref="AV19:AY19"/>
    <mergeCell ref="AZ19:AZ20"/>
    <mergeCell ref="BA19:BD19"/>
    <mergeCell ref="AA28:AA29"/>
    <mergeCell ref="B28:B29"/>
    <mergeCell ref="C28:C29"/>
    <mergeCell ref="D28:F28"/>
    <mergeCell ref="G28:G29"/>
    <mergeCell ref="H28:K28"/>
    <mergeCell ref="L28:L29"/>
    <mergeCell ref="M28:P28"/>
    <mergeCell ref="Q28:Q29"/>
    <mergeCell ref="R28:U28"/>
    <mergeCell ref="V28:V29"/>
    <mergeCell ref="W28:Z28"/>
    <mergeCell ref="BE28:BE29"/>
    <mergeCell ref="AB28:AE28"/>
    <mergeCell ref="AF28:AF29"/>
    <mergeCell ref="AG28:AJ28"/>
    <mergeCell ref="AK28:AK29"/>
    <mergeCell ref="AL28:AO28"/>
    <mergeCell ref="AP28:AP29"/>
    <mergeCell ref="AQ28:AT28"/>
    <mergeCell ref="AU28:AU29"/>
    <mergeCell ref="AV28:AY28"/>
    <mergeCell ref="AZ28:AZ29"/>
    <mergeCell ref="BA28:BD28"/>
  </mergeCells>
  <pageMargins left="0.7" right="0.7" top="0.75" bottom="0.75" header="0.3" footer="0.3"/>
  <pageSetup paperSize="9" orientation="portrait" r:id="rId1"/>
  <headerFooter>
    <oddFooter>&amp;L&amp;1#&amp;"Calibri"&amp;8&amp;K000000TAJEMNICA PRZEDSIĘBIORSTWA w rozumieniu art. 11 ust. 2 ustawy z dnia 16 kwietnia 1993 r. o zwalczaniu nieuczciwej konkurencji – DO UŻYTKU SŁUŻBOWEGO</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15"/>
  <sheetData/>
  <pageMargins left="0.7" right="0.7" top="0.75" bottom="0.75" header="0.3" footer="0.3"/>
  <pageSetup paperSize="9" orientation="portrait" verticalDpi="0" r:id="rId1"/>
  <headerFooter>
    <oddFooter>&amp;L&amp;1#&amp;"Calibri"&amp;8&amp;K000000TAJEMNICA PRZEDSIĘBIORSTWA w rozumieniu art. 11 ust. 2 ustawy z dnia 16 kwietnia 1993 r. o zwalczaniu nieuczciwej konkurencji – DO UŻYTKU SŁUŻBOWEGO</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A56"/>
  <sheetViews>
    <sheetView showGridLines="0" topLeftCell="AJ1" zoomScaleNormal="100" zoomScaleSheetLayoutView="85" workbookViewId="0">
      <selection activeCell="BN36" sqref="BN36"/>
    </sheetView>
  </sheetViews>
  <sheetFormatPr defaultColWidth="9" defaultRowHeight="28.5" customHeight="1" outlineLevelRow="1" outlineLevelCol="1"/>
  <cols>
    <col min="1" max="2" width="40.640625" style="1" customWidth="1"/>
    <col min="3" max="14" width="10.640625" style="1" customWidth="1" outlineLevel="1"/>
    <col min="15" max="15" width="9" style="1" customWidth="1" outlineLevel="1"/>
    <col min="16" max="17" width="10.640625" style="1" customWidth="1" outlineLevel="1"/>
    <col min="18" max="20" width="9" style="1" customWidth="1" outlineLevel="1"/>
    <col min="21" max="22" width="10.640625" style="1" customWidth="1" outlineLevel="1"/>
    <col min="23" max="25" width="9" style="1" customWidth="1" outlineLevel="1"/>
    <col min="26" max="27" width="10.640625" style="1" customWidth="1" outlineLevel="1"/>
    <col min="28" max="30" width="9" style="1" customWidth="1" outlineLevel="1"/>
    <col min="31" max="32" width="10.640625" style="1" customWidth="1" outlineLevel="1"/>
    <col min="33" max="35" width="9" style="1"/>
    <col min="36" max="37" width="10.640625" style="1" customWidth="1"/>
    <col min="38" max="16384" width="9" style="1"/>
  </cols>
  <sheetData>
    <row r="1" spans="1:53" s="9" customFormat="1" ht="89.25" customHeight="1">
      <c r="A1" s="3"/>
      <c r="B1" s="3"/>
      <c r="C1" s="3"/>
      <c r="AM1" s="10"/>
      <c r="AN1" s="10"/>
      <c r="AR1" s="10"/>
      <c r="AS1" s="10"/>
      <c r="AW1" s="10"/>
      <c r="AX1" s="10"/>
    </row>
    <row r="2" spans="1:53" s="33" customFormat="1" ht="12.45" thickBot="1">
      <c r="A2" s="945"/>
      <c r="B2" s="945"/>
      <c r="C2" s="945"/>
      <c r="D2" s="945"/>
      <c r="E2" s="945"/>
      <c r="F2" s="945"/>
      <c r="G2" s="945"/>
      <c r="H2" s="945"/>
      <c r="I2" s="945"/>
      <c r="J2" s="945"/>
      <c r="K2" s="945"/>
      <c r="L2" s="945"/>
      <c r="M2" s="945"/>
      <c r="N2" s="945"/>
      <c r="O2" s="945"/>
      <c r="AK2" s="76"/>
      <c r="AM2" s="1"/>
      <c r="AN2" s="1"/>
      <c r="AR2" s="1"/>
      <c r="AS2" s="1"/>
      <c r="AW2" s="1"/>
      <c r="AX2" s="1"/>
    </row>
    <row r="3" spans="1:53" s="339" customFormat="1" ht="20.149999999999999" customHeight="1">
      <c r="A3" s="204" t="s">
        <v>586</v>
      </c>
      <c r="B3" s="205" t="s">
        <v>587</v>
      </c>
      <c r="C3" s="941">
        <v>2012</v>
      </c>
      <c r="D3" s="942"/>
      <c r="E3" s="942"/>
      <c r="F3" s="942"/>
      <c r="G3" s="943">
        <v>2012</v>
      </c>
      <c r="H3" s="941">
        <v>2013</v>
      </c>
      <c r="I3" s="942"/>
      <c r="J3" s="942"/>
      <c r="K3" s="942"/>
      <c r="L3" s="943">
        <v>2013</v>
      </c>
      <c r="M3" s="941">
        <v>2014</v>
      </c>
      <c r="N3" s="942"/>
      <c r="O3" s="942"/>
      <c r="P3" s="942"/>
      <c r="Q3" s="943">
        <v>2014</v>
      </c>
      <c r="R3" s="941">
        <v>2015</v>
      </c>
      <c r="S3" s="942"/>
      <c r="T3" s="942"/>
      <c r="U3" s="942"/>
      <c r="V3" s="943">
        <v>2015</v>
      </c>
      <c r="W3" s="941">
        <v>2016</v>
      </c>
      <c r="X3" s="942"/>
      <c r="Y3" s="942"/>
      <c r="Z3" s="942"/>
      <c r="AA3" s="943">
        <v>2016</v>
      </c>
      <c r="AB3" s="941">
        <v>2017</v>
      </c>
      <c r="AC3" s="942"/>
      <c r="AD3" s="942"/>
      <c r="AE3" s="942"/>
      <c r="AF3" s="943">
        <v>2017</v>
      </c>
      <c r="AG3" s="941">
        <v>2018</v>
      </c>
      <c r="AH3" s="942"/>
      <c r="AI3" s="942"/>
      <c r="AJ3" s="942"/>
      <c r="AK3" s="943" t="s">
        <v>692</v>
      </c>
      <c r="AL3" s="941">
        <v>2019</v>
      </c>
      <c r="AM3" s="942"/>
      <c r="AN3" s="942"/>
      <c r="AO3" s="942"/>
      <c r="AP3" s="943" t="s">
        <v>26</v>
      </c>
      <c r="AQ3" s="941">
        <v>2020</v>
      </c>
      <c r="AR3" s="942"/>
      <c r="AS3" s="942"/>
      <c r="AT3" s="942"/>
      <c r="AU3" s="943" t="s">
        <v>27</v>
      </c>
      <c r="AV3" s="941">
        <v>2021</v>
      </c>
      <c r="AW3" s="942"/>
      <c r="AX3" s="942"/>
      <c r="AY3" s="942"/>
      <c r="AZ3" s="943" t="s">
        <v>28</v>
      </c>
    </row>
    <row r="4" spans="1:53" s="339" customFormat="1" ht="21.75" customHeight="1" thickBot="1">
      <c r="A4" s="206"/>
      <c r="B4" s="207"/>
      <c r="C4" s="288" t="s">
        <v>588</v>
      </c>
      <c r="D4" s="289" t="s">
        <v>589</v>
      </c>
      <c r="E4" s="289" t="s">
        <v>590</v>
      </c>
      <c r="F4" s="289" t="s">
        <v>591</v>
      </c>
      <c r="G4" s="944"/>
      <c r="H4" s="340" t="s">
        <v>588</v>
      </c>
      <c r="I4" s="341" t="s">
        <v>589</v>
      </c>
      <c r="J4" s="341" t="s">
        <v>590</v>
      </c>
      <c r="K4" s="341" t="s">
        <v>591</v>
      </c>
      <c r="L4" s="944"/>
      <c r="M4" s="340" t="s">
        <v>588</v>
      </c>
      <c r="N4" s="341" t="s">
        <v>589</v>
      </c>
      <c r="O4" s="341" t="s">
        <v>590</v>
      </c>
      <c r="P4" s="341" t="s">
        <v>591</v>
      </c>
      <c r="Q4" s="944"/>
      <c r="R4" s="340" t="s">
        <v>588</v>
      </c>
      <c r="S4" s="341" t="s">
        <v>589</v>
      </c>
      <c r="T4" s="341" t="s">
        <v>590</v>
      </c>
      <c r="U4" s="341" t="s">
        <v>591</v>
      </c>
      <c r="V4" s="944"/>
      <c r="W4" s="340" t="s">
        <v>588</v>
      </c>
      <c r="X4" s="289" t="s">
        <v>589</v>
      </c>
      <c r="Y4" s="289" t="s">
        <v>590</v>
      </c>
      <c r="Z4" s="341" t="s">
        <v>591</v>
      </c>
      <c r="AA4" s="944"/>
      <c r="AB4" s="340" t="s">
        <v>588</v>
      </c>
      <c r="AC4" s="289" t="s">
        <v>589</v>
      </c>
      <c r="AD4" s="289" t="s">
        <v>590</v>
      </c>
      <c r="AE4" s="341" t="s">
        <v>591</v>
      </c>
      <c r="AF4" s="944"/>
      <c r="AG4" s="340" t="s">
        <v>588</v>
      </c>
      <c r="AH4" s="289" t="s">
        <v>693</v>
      </c>
      <c r="AI4" s="289" t="s">
        <v>694</v>
      </c>
      <c r="AJ4" s="341" t="s">
        <v>695</v>
      </c>
      <c r="AK4" s="944"/>
      <c r="AL4" s="340" t="s">
        <v>696</v>
      </c>
      <c r="AM4" s="289" t="s">
        <v>693</v>
      </c>
      <c r="AN4" s="289" t="s">
        <v>694</v>
      </c>
      <c r="AO4" s="341" t="s">
        <v>695</v>
      </c>
      <c r="AP4" s="944"/>
      <c r="AQ4" s="340" t="s">
        <v>696</v>
      </c>
      <c r="AR4" s="289" t="s">
        <v>693</v>
      </c>
      <c r="AS4" s="289" t="s">
        <v>694</v>
      </c>
      <c r="AT4" s="341" t="s">
        <v>695</v>
      </c>
      <c r="AU4" s="944"/>
      <c r="AV4" s="340" t="s">
        <v>696</v>
      </c>
      <c r="AW4" s="289" t="s">
        <v>693</v>
      </c>
      <c r="AX4" s="289" t="s">
        <v>694</v>
      </c>
      <c r="AY4" s="341" t="s">
        <v>695</v>
      </c>
      <c r="AZ4" s="944"/>
    </row>
    <row r="5" spans="1:53" s="4" customFormat="1" ht="20.149999999999999" customHeight="1" thickBot="1">
      <c r="A5" s="199" t="s">
        <v>697</v>
      </c>
      <c r="B5" s="199" t="s">
        <v>698</v>
      </c>
      <c r="C5" s="291" t="s">
        <v>699</v>
      </c>
      <c r="D5" s="292" t="s">
        <v>699</v>
      </c>
      <c r="E5" s="292" t="s">
        <v>699</v>
      </c>
      <c r="F5" s="292" t="s">
        <v>699</v>
      </c>
      <c r="G5" s="293" t="s">
        <v>699</v>
      </c>
      <c r="H5" s="295">
        <f t="shared" ref="H5:AJ5" si="0">H7+H24</f>
        <v>16348336</v>
      </c>
      <c r="I5" s="296">
        <f t="shared" si="0"/>
        <v>16434266</v>
      </c>
      <c r="J5" s="296">
        <f t="shared" si="0"/>
        <v>16627551</v>
      </c>
      <c r="K5" s="296">
        <f t="shared" si="0"/>
        <v>16447334</v>
      </c>
      <c r="L5" s="332">
        <f t="shared" si="0"/>
        <v>16447334</v>
      </c>
      <c r="M5" s="295">
        <f t="shared" si="0"/>
        <v>16333003</v>
      </c>
      <c r="N5" s="296">
        <f t="shared" si="0"/>
        <v>16250497</v>
      </c>
      <c r="O5" s="296">
        <f t="shared" si="0"/>
        <v>16449992</v>
      </c>
      <c r="P5" s="296">
        <f t="shared" si="0"/>
        <v>16482031</v>
      </c>
      <c r="Q5" s="332">
        <f t="shared" si="0"/>
        <v>16482031</v>
      </c>
      <c r="R5" s="295">
        <f t="shared" si="0"/>
        <v>16429469</v>
      </c>
      <c r="S5" s="296">
        <f t="shared" si="0"/>
        <v>16349090</v>
      </c>
      <c r="T5" s="296">
        <f t="shared" si="0"/>
        <v>16395514</v>
      </c>
      <c r="U5" s="296">
        <f t="shared" si="0"/>
        <v>16469696</v>
      </c>
      <c r="V5" s="332">
        <f t="shared" si="0"/>
        <v>16469696</v>
      </c>
      <c r="W5" s="295">
        <f t="shared" si="0"/>
        <v>16531833</v>
      </c>
      <c r="X5" s="296">
        <f t="shared" si="0"/>
        <v>16711541</v>
      </c>
      <c r="Y5" s="296">
        <f t="shared" si="0"/>
        <v>16545653</v>
      </c>
      <c r="Z5" s="296">
        <f t="shared" si="0"/>
        <v>16524936</v>
      </c>
      <c r="AA5" s="332">
        <f t="shared" si="0"/>
        <v>16524936</v>
      </c>
      <c r="AB5" s="295">
        <f t="shared" si="0"/>
        <v>16216128</v>
      </c>
      <c r="AC5" s="296">
        <f t="shared" si="0"/>
        <v>16273840</v>
      </c>
      <c r="AD5" s="296">
        <f t="shared" si="0"/>
        <v>16410325</v>
      </c>
      <c r="AE5" s="296">
        <f t="shared" si="0"/>
        <v>16522597</v>
      </c>
      <c r="AF5" s="332">
        <f t="shared" si="0"/>
        <v>16522597</v>
      </c>
      <c r="AG5" s="295">
        <f>AG7+AG24</f>
        <v>16579337</v>
      </c>
      <c r="AH5" s="296">
        <f t="shared" si="0"/>
        <v>16698622</v>
      </c>
      <c r="AI5" s="296">
        <f>AI7+AI24</f>
        <v>16851153</v>
      </c>
      <c r="AJ5" s="296">
        <f t="shared" si="0"/>
        <v>16906133</v>
      </c>
      <c r="AK5" s="332">
        <f>AK7+AK24</f>
        <v>16906133</v>
      </c>
      <c r="AL5" s="295">
        <f t="shared" ref="AL5:AT5" si="1">AL7+AL24</f>
        <v>16973770</v>
      </c>
      <c r="AM5" s="296">
        <f t="shared" si="1"/>
        <v>17058921</v>
      </c>
      <c r="AN5" s="296">
        <f t="shared" si="1"/>
        <v>17266759</v>
      </c>
      <c r="AO5" s="296">
        <f t="shared" si="1"/>
        <v>17386252</v>
      </c>
      <c r="AP5" s="332">
        <f t="shared" si="1"/>
        <v>17386252</v>
      </c>
      <c r="AQ5" s="295">
        <f t="shared" si="1"/>
        <v>17435613</v>
      </c>
      <c r="AR5" s="296">
        <f>AR7+AR24</f>
        <v>17504720</v>
      </c>
      <c r="AS5" s="296">
        <f t="shared" si="1"/>
        <v>17840155</v>
      </c>
      <c r="AT5" s="296">
        <f t="shared" si="1"/>
        <v>17989701</v>
      </c>
      <c r="AU5" s="332">
        <f>AU7+AU24</f>
        <v>17989701</v>
      </c>
      <c r="AV5" s="295">
        <f t="shared" ref="AV5" si="2">AV7+AV24</f>
        <v>18094192</v>
      </c>
      <c r="AW5" s="296">
        <f>AW7+AW24</f>
        <v>18022621</v>
      </c>
      <c r="AX5" s="296">
        <f t="shared" ref="AX5:AY5" si="3">AX7+AX24</f>
        <v>18121078</v>
      </c>
      <c r="AY5" s="296">
        <f t="shared" si="3"/>
        <v>0</v>
      </c>
      <c r="AZ5" s="332">
        <f>AZ7+AZ24</f>
        <v>18121078</v>
      </c>
    </row>
    <row r="6" spans="1:53" s="290" customFormat="1" ht="20.149999999999999" customHeight="1" thickBot="1">
      <c r="A6" s="204" t="s">
        <v>700</v>
      </c>
      <c r="B6" s="204" t="s">
        <v>701</v>
      </c>
      <c r="C6" s="312"/>
      <c r="D6" s="313"/>
      <c r="E6" s="313"/>
      <c r="F6" s="313"/>
      <c r="G6" s="314"/>
      <c r="H6" s="315"/>
      <c r="I6" s="313"/>
      <c r="J6" s="313"/>
      <c r="K6" s="313"/>
      <c r="L6" s="314"/>
      <c r="M6" s="316"/>
      <c r="N6" s="313"/>
      <c r="O6" s="313"/>
      <c r="P6" s="313"/>
      <c r="Q6" s="314"/>
      <c r="R6" s="316"/>
      <c r="S6" s="313"/>
      <c r="T6" s="313"/>
      <c r="U6" s="313"/>
      <c r="V6" s="314"/>
      <c r="W6" s="316"/>
      <c r="X6" s="317"/>
      <c r="Y6" s="317"/>
      <c r="Z6" s="313"/>
      <c r="AA6" s="314"/>
      <c r="AB6" s="316"/>
      <c r="AC6" s="317"/>
      <c r="AD6" s="317"/>
      <c r="AE6" s="313"/>
      <c r="AF6" s="314"/>
      <c r="AG6" s="317"/>
      <c r="AH6" s="317"/>
      <c r="AI6" s="317"/>
      <c r="AJ6" s="317"/>
      <c r="AK6" s="314"/>
      <c r="AL6" s="317"/>
      <c r="AM6" s="317"/>
      <c r="AN6" s="317"/>
      <c r="AO6" s="317"/>
      <c r="AP6" s="314"/>
      <c r="AQ6" s="317"/>
      <c r="AR6" s="317"/>
      <c r="AS6" s="317"/>
      <c r="AT6" s="317"/>
      <c r="AU6" s="314"/>
      <c r="AV6" s="317"/>
      <c r="AW6" s="317"/>
      <c r="AX6" s="317"/>
      <c r="AY6" s="317"/>
      <c r="AZ6" s="314"/>
    </row>
    <row r="7" spans="1:53" ht="20.149999999999999" customHeight="1" thickBot="1">
      <c r="A7" s="300" t="s">
        <v>702</v>
      </c>
      <c r="B7" s="301" t="s">
        <v>703</v>
      </c>
      <c r="C7" s="302">
        <f>C8+C10+C11</f>
        <v>11532547</v>
      </c>
      <c r="D7" s="303">
        <f t="shared" ref="D7:N7" si="4">D8+D10+D11</f>
        <v>11516833</v>
      </c>
      <c r="E7" s="303">
        <f t="shared" si="4"/>
        <v>11605099</v>
      </c>
      <c r="F7" s="303">
        <f t="shared" si="4"/>
        <v>11735100</v>
      </c>
      <c r="G7" s="311">
        <f>SUM(G8,G10:G11)</f>
        <v>11735100</v>
      </c>
      <c r="H7" s="302">
        <f t="shared" si="4"/>
        <v>11799951</v>
      </c>
      <c r="I7" s="303">
        <f t="shared" si="4"/>
        <v>11868947</v>
      </c>
      <c r="J7" s="303">
        <f t="shared" si="4"/>
        <v>11908422</v>
      </c>
      <c r="K7" s="303">
        <f t="shared" si="4"/>
        <v>11978807</v>
      </c>
      <c r="L7" s="311">
        <f>SUM(L8,L10:L11)</f>
        <v>11978807</v>
      </c>
      <c r="M7" s="302">
        <f t="shared" si="4"/>
        <v>11982678</v>
      </c>
      <c r="N7" s="303">
        <f t="shared" si="4"/>
        <v>12023369</v>
      </c>
      <c r="O7" s="303">
        <f>O8+O10+O11</f>
        <v>12230798</v>
      </c>
      <c r="P7" s="303">
        <f>P8+P10+P11</f>
        <v>12347828</v>
      </c>
      <c r="Q7" s="311">
        <f>Q8+Q10+Q11</f>
        <v>12347828</v>
      </c>
      <c r="R7" s="302">
        <f t="shared" ref="R7:AJ7" si="5">R8+R10+R11</f>
        <v>12394712</v>
      </c>
      <c r="S7" s="303">
        <f t="shared" si="5"/>
        <v>12377021</v>
      </c>
      <c r="T7" s="303">
        <f t="shared" si="5"/>
        <v>12418707</v>
      </c>
      <c r="U7" s="303">
        <f t="shared" si="5"/>
        <v>12614703</v>
      </c>
      <c r="V7" s="311">
        <f t="shared" si="5"/>
        <v>12614703</v>
      </c>
      <c r="W7" s="302">
        <f t="shared" si="5"/>
        <v>12744166</v>
      </c>
      <c r="X7" s="303">
        <f t="shared" si="5"/>
        <v>12880725</v>
      </c>
      <c r="Y7" s="303">
        <f t="shared" si="5"/>
        <v>13017749</v>
      </c>
      <c r="Z7" s="303">
        <f t="shared" si="5"/>
        <v>13254598</v>
      </c>
      <c r="AA7" s="311">
        <f t="shared" si="5"/>
        <v>13254598</v>
      </c>
      <c r="AB7" s="302">
        <f t="shared" si="5"/>
        <v>13337038</v>
      </c>
      <c r="AC7" s="303">
        <f t="shared" si="5"/>
        <v>13419539</v>
      </c>
      <c r="AD7" s="303">
        <f t="shared" si="5"/>
        <v>13530164</v>
      </c>
      <c r="AE7" s="303">
        <f t="shared" si="5"/>
        <v>13685044</v>
      </c>
      <c r="AF7" s="311">
        <f t="shared" si="5"/>
        <v>13685044</v>
      </c>
      <c r="AG7" s="303">
        <f t="shared" si="5"/>
        <v>13796153</v>
      </c>
      <c r="AH7" s="303">
        <v>13929804</v>
      </c>
      <c r="AI7" s="303">
        <v>14057045</v>
      </c>
      <c r="AJ7" s="303">
        <f t="shared" si="5"/>
        <v>14259264</v>
      </c>
      <c r="AK7" s="311">
        <f>AK8+AK10+AK11</f>
        <v>14259264</v>
      </c>
      <c r="AL7" s="303">
        <f>SUM(AL8,AL10:AL11)</f>
        <v>14330995</v>
      </c>
      <c r="AM7" s="303">
        <f t="shared" ref="AM7:AP7" si="6">SUM(AM8,AM10:AM11)</f>
        <v>14451610</v>
      </c>
      <c r="AN7" s="303">
        <f t="shared" si="6"/>
        <v>14587869</v>
      </c>
      <c r="AO7" s="303">
        <f t="shared" si="6"/>
        <v>14728758</v>
      </c>
      <c r="AP7" s="311">
        <f t="shared" si="6"/>
        <v>14728758</v>
      </c>
      <c r="AQ7" s="303">
        <f>SUM(AQ8,AQ10:AQ11)</f>
        <v>14796975</v>
      </c>
      <c r="AR7" s="303">
        <f t="shared" ref="AR7:AT7" si="7">SUM(AR8,AR10:AR11)</f>
        <v>14979496</v>
      </c>
      <c r="AS7" s="303">
        <f t="shared" si="7"/>
        <v>15168916</v>
      </c>
      <c r="AT7" s="303">
        <f t="shared" si="7"/>
        <v>15371888</v>
      </c>
      <c r="AU7" s="311">
        <f>SUM(AU8,AU10:AU11)</f>
        <v>15371888</v>
      </c>
      <c r="AV7" s="303">
        <f>SUM(AV8,AV10:AV11)</f>
        <v>15358097</v>
      </c>
      <c r="AW7" s="303">
        <f t="shared" ref="AW7:AZ7" si="8">SUM(AW8,AW10:AW11)</f>
        <v>15426731</v>
      </c>
      <c r="AX7" s="303">
        <f t="shared" si="8"/>
        <v>15490364</v>
      </c>
      <c r="AY7" s="303">
        <f t="shared" si="8"/>
        <v>0</v>
      </c>
      <c r="AZ7" s="311">
        <f t="shared" si="8"/>
        <v>15490364</v>
      </c>
      <c r="BA7" s="268"/>
    </row>
    <row r="8" spans="1:53" ht="20.149999999999999" customHeight="1">
      <c r="A8" s="269" t="s">
        <v>704</v>
      </c>
      <c r="B8" s="269" t="s">
        <v>705</v>
      </c>
      <c r="C8" s="267">
        <v>3885022</v>
      </c>
      <c r="D8" s="79">
        <v>3868733</v>
      </c>
      <c r="E8" s="79">
        <v>3921673</v>
      </c>
      <c r="F8" s="79">
        <v>3994875</v>
      </c>
      <c r="G8" s="310">
        <f>F8</f>
        <v>3994875</v>
      </c>
      <c r="H8" s="267">
        <v>4047592</v>
      </c>
      <c r="I8" s="79">
        <v>4127560</v>
      </c>
      <c r="J8" s="79">
        <v>4160343</v>
      </c>
      <c r="K8" s="79">
        <v>4212323</v>
      </c>
      <c r="L8" s="310">
        <f>K8</f>
        <v>4212323</v>
      </c>
      <c r="M8" s="267">
        <v>4236986</v>
      </c>
      <c r="N8" s="79">
        <v>4255544</v>
      </c>
      <c r="O8" s="270">
        <v>4344773</v>
      </c>
      <c r="P8" s="79">
        <v>4391702</v>
      </c>
      <c r="Q8" s="310">
        <v>4391702</v>
      </c>
      <c r="R8" s="267">
        <v>4405464</v>
      </c>
      <c r="S8" s="79">
        <v>4374517</v>
      </c>
      <c r="T8" s="79">
        <v>4396361</v>
      </c>
      <c r="U8" s="79">
        <v>4503320</v>
      </c>
      <c r="V8" s="310">
        <f t="shared" ref="V8:V12" si="9">U8</f>
        <v>4503320</v>
      </c>
      <c r="W8" s="267">
        <v>4560267</v>
      </c>
      <c r="X8" s="79">
        <v>4632246</v>
      </c>
      <c r="Y8" s="79">
        <v>4679114</v>
      </c>
      <c r="Z8" s="79">
        <v>4766429</v>
      </c>
      <c r="AA8" s="310">
        <f t="shared" ref="AA8:AA12" si="10">Z8</f>
        <v>4766429</v>
      </c>
      <c r="AB8" s="267">
        <v>4785947</v>
      </c>
      <c r="AC8" s="79">
        <v>4835534</v>
      </c>
      <c r="AD8" s="79">
        <v>4882505</v>
      </c>
      <c r="AE8" s="79">
        <v>4942640</v>
      </c>
      <c r="AF8" s="310">
        <f t="shared" ref="AF8:AF12" si="11">AE8</f>
        <v>4942640</v>
      </c>
      <c r="AG8" s="79">
        <v>4984391</v>
      </c>
      <c r="AH8" s="79">
        <v>5027520</v>
      </c>
      <c r="AI8" s="79">
        <v>5038210</v>
      </c>
      <c r="AJ8" s="79">
        <v>5098917</v>
      </c>
      <c r="AK8" s="310">
        <v>5098917</v>
      </c>
      <c r="AL8" s="79">
        <v>5077221</v>
      </c>
      <c r="AM8" s="79">
        <v>5058740</v>
      </c>
      <c r="AN8" s="79">
        <v>5033398</v>
      </c>
      <c r="AO8" s="79">
        <v>5038448</v>
      </c>
      <c r="AP8" s="310">
        <f>AO8</f>
        <v>5038448</v>
      </c>
      <c r="AQ8" s="79">
        <v>4992356</v>
      </c>
      <c r="AR8" s="79">
        <v>5000734</v>
      </c>
      <c r="AS8" s="79">
        <v>5010376</v>
      </c>
      <c r="AT8" s="79">
        <v>5010358</v>
      </c>
      <c r="AU8" s="310">
        <f>AT8</f>
        <v>5010358</v>
      </c>
      <c r="AV8" s="79">
        <v>4985621</v>
      </c>
      <c r="AW8" s="79">
        <v>4961196</v>
      </c>
      <c r="AX8" s="79">
        <v>4922037</v>
      </c>
      <c r="AY8" s="78"/>
      <c r="AZ8" s="310">
        <f>AX8</f>
        <v>4922037</v>
      </c>
      <c r="BA8" s="268"/>
    </row>
    <row r="9" spans="1:53" ht="20.149999999999999" customHeight="1">
      <c r="A9" s="271" t="s">
        <v>706</v>
      </c>
      <c r="B9" s="271" t="s">
        <v>706</v>
      </c>
      <c r="C9" s="272">
        <v>394001</v>
      </c>
      <c r="D9" s="88">
        <v>416027</v>
      </c>
      <c r="E9" s="88">
        <v>470578</v>
      </c>
      <c r="F9" s="88">
        <v>510617</v>
      </c>
      <c r="G9" s="331">
        <f t="shared" ref="G9:G11" si="12">F9</f>
        <v>510617</v>
      </c>
      <c r="H9" s="272">
        <v>559997</v>
      </c>
      <c r="I9" s="88">
        <v>633475</v>
      </c>
      <c r="J9" s="88">
        <v>680316</v>
      </c>
      <c r="K9" s="88">
        <v>719935</v>
      </c>
      <c r="L9" s="331">
        <f>K9</f>
        <v>719935</v>
      </c>
      <c r="M9" s="272">
        <v>749319</v>
      </c>
      <c r="N9" s="88">
        <v>771481</v>
      </c>
      <c r="O9" s="273">
        <v>806064</v>
      </c>
      <c r="P9" s="88">
        <v>844809</v>
      </c>
      <c r="Q9" s="331">
        <v>844809</v>
      </c>
      <c r="R9" s="272">
        <v>872628</v>
      </c>
      <c r="S9" s="88">
        <v>886305</v>
      </c>
      <c r="T9" s="88">
        <v>901271</v>
      </c>
      <c r="U9" s="88">
        <v>936307</v>
      </c>
      <c r="V9" s="331">
        <f t="shared" si="9"/>
        <v>936307</v>
      </c>
      <c r="W9" s="272">
        <v>957952</v>
      </c>
      <c r="X9" s="88">
        <v>972771</v>
      </c>
      <c r="Y9" s="88">
        <v>982068</v>
      </c>
      <c r="Z9" s="88">
        <v>1021720</v>
      </c>
      <c r="AA9" s="331">
        <f t="shared" si="10"/>
        <v>1021720</v>
      </c>
      <c r="AB9" s="272">
        <v>1031294</v>
      </c>
      <c r="AC9" s="88">
        <v>1058982</v>
      </c>
      <c r="AD9" s="88">
        <v>1072513</v>
      </c>
      <c r="AE9" s="88">
        <v>1099582</v>
      </c>
      <c r="AF9" s="331">
        <f t="shared" si="11"/>
        <v>1099582</v>
      </c>
      <c r="AG9" s="88">
        <v>1114833</v>
      </c>
      <c r="AH9" s="88">
        <v>1127285</v>
      </c>
      <c r="AI9" s="88">
        <v>1141820</v>
      </c>
      <c r="AJ9" s="88">
        <v>1160353</v>
      </c>
      <c r="AK9" s="331">
        <v>1160353</v>
      </c>
      <c r="AL9" s="88">
        <v>1167983</v>
      </c>
      <c r="AM9" s="88">
        <v>1173866</v>
      </c>
      <c r="AN9" s="88">
        <v>1180891</v>
      </c>
      <c r="AO9" s="88">
        <v>1192984</v>
      </c>
      <c r="AP9" s="331">
        <f t="shared" ref="AP9:AP12" si="13">AO9</f>
        <v>1192984</v>
      </c>
      <c r="AQ9" s="88">
        <v>1187199</v>
      </c>
      <c r="AR9" s="88">
        <v>1197486</v>
      </c>
      <c r="AS9" s="88">
        <v>1200561</v>
      </c>
      <c r="AT9" s="88">
        <v>1208676</v>
      </c>
      <c r="AU9" s="331">
        <f>AT9</f>
        <v>1208676</v>
      </c>
      <c r="AV9" s="88">
        <v>1206068</v>
      </c>
      <c r="AW9" s="88">
        <v>1202991</v>
      </c>
      <c r="AX9" s="88">
        <v>1198803</v>
      </c>
      <c r="AY9" s="88"/>
      <c r="AZ9" s="331">
        <f t="shared" ref="AZ9:AZ11" si="14">AX9</f>
        <v>1198803</v>
      </c>
      <c r="BA9" s="268"/>
    </row>
    <row r="10" spans="1:53" ht="20.149999999999999" customHeight="1">
      <c r="A10" s="269" t="s">
        <v>598</v>
      </c>
      <c r="B10" s="269" t="s">
        <v>599</v>
      </c>
      <c r="C10" s="267">
        <v>6985015</v>
      </c>
      <c r="D10" s="79">
        <v>6978192</v>
      </c>
      <c r="E10" s="79">
        <v>6976594</v>
      </c>
      <c r="F10" s="79">
        <v>6979590</v>
      </c>
      <c r="G10" s="310">
        <f t="shared" si="12"/>
        <v>6979590</v>
      </c>
      <c r="H10" s="267">
        <v>6941638</v>
      </c>
      <c r="I10" s="79">
        <v>6891314</v>
      </c>
      <c r="J10" s="79">
        <v>6834719</v>
      </c>
      <c r="K10" s="79">
        <v>6778675</v>
      </c>
      <c r="L10" s="310">
        <f t="shared" ref="L10:L11" si="15">K10</f>
        <v>6778675</v>
      </c>
      <c r="M10" s="267">
        <v>6713629</v>
      </c>
      <c r="N10" s="79">
        <v>6644687</v>
      </c>
      <c r="O10" s="270">
        <v>6617382</v>
      </c>
      <c r="P10" s="79">
        <v>6587915</v>
      </c>
      <c r="Q10" s="310">
        <v>6587915</v>
      </c>
      <c r="R10" s="267">
        <v>6552365</v>
      </c>
      <c r="S10" s="79">
        <v>6519311</v>
      </c>
      <c r="T10" s="79">
        <v>6505016</v>
      </c>
      <c r="U10" s="79">
        <v>6516643</v>
      </c>
      <c r="V10" s="310">
        <f t="shared" si="9"/>
        <v>6516643</v>
      </c>
      <c r="W10" s="267">
        <v>6536366</v>
      </c>
      <c r="X10" s="79">
        <v>6559223</v>
      </c>
      <c r="Y10" s="79">
        <v>6616579</v>
      </c>
      <c r="Z10" s="79">
        <v>6730427</v>
      </c>
      <c r="AA10" s="310">
        <f t="shared" si="10"/>
        <v>6730427</v>
      </c>
      <c r="AB10" s="267">
        <v>6785002</v>
      </c>
      <c r="AC10" s="79">
        <v>6810999</v>
      </c>
      <c r="AD10" s="79">
        <v>6864787</v>
      </c>
      <c r="AE10" s="79">
        <v>6932676</v>
      </c>
      <c r="AF10" s="310">
        <f t="shared" si="11"/>
        <v>6932676</v>
      </c>
      <c r="AG10" s="79">
        <v>6997850</v>
      </c>
      <c r="AH10" s="79">
        <v>7098239</v>
      </c>
      <c r="AI10" s="79">
        <v>7209240</v>
      </c>
      <c r="AJ10" s="79">
        <v>7345213</v>
      </c>
      <c r="AK10" s="310">
        <v>7345213</v>
      </c>
      <c r="AL10" s="79">
        <v>7452479</v>
      </c>
      <c r="AM10" s="79">
        <v>7597611</v>
      </c>
      <c r="AN10" s="79">
        <v>7752113</v>
      </c>
      <c r="AO10" s="79">
        <v>7894581</v>
      </c>
      <c r="AP10" s="310">
        <f t="shared" si="13"/>
        <v>7894581</v>
      </c>
      <c r="AQ10" s="79">
        <v>8016501</v>
      </c>
      <c r="AR10" s="79">
        <v>8188807</v>
      </c>
      <c r="AS10" s="79">
        <v>8366901.0000000009</v>
      </c>
      <c r="AT10" s="79">
        <v>8534841</v>
      </c>
      <c r="AU10" s="310">
        <f>AT10</f>
        <v>8534841</v>
      </c>
      <c r="AV10" s="79">
        <v>8551871</v>
      </c>
      <c r="AW10" s="79">
        <v>8649761</v>
      </c>
      <c r="AX10" s="79">
        <v>8781111</v>
      </c>
      <c r="AY10" s="79"/>
      <c r="AZ10" s="310">
        <f t="shared" si="14"/>
        <v>8781111</v>
      </c>
      <c r="BA10" s="268"/>
    </row>
    <row r="11" spans="1:53" ht="20.149999999999999" customHeight="1" thickBot="1">
      <c r="A11" s="269" t="s">
        <v>601</v>
      </c>
      <c r="B11" s="269" t="s">
        <v>601</v>
      </c>
      <c r="C11" s="267">
        <v>662510</v>
      </c>
      <c r="D11" s="79">
        <v>669908</v>
      </c>
      <c r="E11" s="79">
        <v>706832</v>
      </c>
      <c r="F11" s="79">
        <v>760635</v>
      </c>
      <c r="G11" s="310">
        <f t="shared" si="12"/>
        <v>760635</v>
      </c>
      <c r="H11" s="267">
        <v>810721</v>
      </c>
      <c r="I11" s="79">
        <v>850073</v>
      </c>
      <c r="J11" s="79">
        <v>913360</v>
      </c>
      <c r="K11" s="79">
        <v>987809</v>
      </c>
      <c r="L11" s="310">
        <f t="shared" si="15"/>
        <v>987809</v>
      </c>
      <c r="M11" s="274">
        <v>1032063</v>
      </c>
      <c r="N11" s="80">
        <v>1123138</v>
      </c>
      <c r="O11" s="270">
        <v>1268643</v>
      </c>
      <c r="P11" s="1">
        <v>1368211</v>
      </c>
      <c r="Q11" s="310">
        <v>1368211</v>
      </c>
      <c r="R11" s="274">
        <v>1436883</v>
      </c>
      <c r="S11" s="80">
        <v>1483193</v>
      </c>
      <c r="T11" s="80">
        <v>1517330</v>
      </c>
      <c r="U11" s="79">
        <v>1594740</v>
      </c>
      <c r="V11" s="310">
        <f t="shared" si="9"/>
        <v>1594740</v>
      </c>
      <c r="W11" s="274">
        <v>1647533</v>
      </c>
      <c r="X11" s="80">
        <v>1689256</v>
      </c>
      <c r="Y11" s="80">
        <v>1722056</v>
      </c>
      <c r="Z11" s="79">
        <v>1757742</v>
      </c>
      <c r="AA11" s="310">
        <f t="shared" si="10"/>
        <v>1757742</v>
      </c>
      <c r="AB11" s="274">
        <v>1766089</v>
      </c>
      <c r="AC11" s="80">
        <v>1773006</v>
      </c>
      <c r="AD11" s="80">
        <v>1782872</v>
      </c>
      <c r="AE11" s="80">
        <v>1809728</v>
      </c>
      <c r="AF11" s="310">
        <f t="shared" si="11"/>
        <v>1809728</v>
      </c>
      <c r="AG11" s="80">
        <v>1813912</v>
      </c>
      <c r="AH11" s="80">
        <v>1804045</v>
      </c>
      <c r="AI11" s="80">
        <v>1809595</v>
      </c>
      <c r="AJ11" s="80">
        <v>1815134</v>
      </c>
      <c r="AK11" s="310">
        <v>1815134</v>
      </c>
      <c r="AL11" s="80">
        <v>1801295</v>
      </c>
      <c r="AM11" s="80">
        <v>1795259</v>
      </c>
      <c r="AN11" s="80">
        <v>1802358</v>
      </c>
      <c r="AO11" s="80">
        <v>1795729</v>
      </c>
      <c r="AP11" s="310">
        <f t="shared" si="13"/>
        <v>1795729</v>
      </c>
      <c r="AQ11" s="80">
        <v>1788118</v>
      </c>
      <c r="AR11" s="80">
        <v>1789955</v>
      </c>
      <c r="AS11" s="80">
        <v>1791639</v>
      </c>
      <c r="AT11" s="80">
        <v>1826689</v>
      </c>
      <c r="AU11" s="310">
        <f>AT11</f>
        <v>1826689</v>
      </c>
      <c r="AV11" s="80">
        <v>1820605</v>
      </c>
      <c r="AW11" s="80">
        <v>1815774</v>
      </c>
      <c r="AX11" s="79">
        <v>1787216</v>
      </c>
      <c r="AY11" s="80"/>
      <c r="AZ11" s="310">
        <f t="shared" si="14"/>
        <v>1787216</v>
      </c>
      <c r="BA11" s="268"/>
    </row>
    <row r="12" spans="1:53" ht="20.149999999999999" customHeight="1" thickBot="1">
      <c r="A12" s="199" t="s">
        <v>707</v>
      </c>
      <c r="B12" s="199" t="s">
        <v>708</v>
      </c>
      <c r="C12" s="295">
        <v>6282300</v>
      </c>
      <c r="D12" s="296">
        <v>6264412</v>
      </c>
      <c r="E12" s="296">
        <v>6281184</v>
      </c>
      <c r="F12" s="296">
        <v>6313423</v>
      </c>
      <c r="G12" s="297">
        <f>F12</f>
        <v>6313423</v>
      </c>
      <c r="H12" s="295">
        <v>6318321</v>
      </c>
      <c r="I12" s="296">
        <v>6306877</v>
      </c>
      <c r="J12" s="296">
        <v>6285607</v>
      </c>
      <c r="K12" s="296">
        <v>6287658</v>
      </c>
      <c r="L12" s="297">
        <f>K12</f>
        <v>6287658</v>
      </c>
      <c r="M12" s="295">
        <v>6260662</v>
      </c>
      <c r="N12" s="296">
        <v>6221111</v>
      </c>
      <c r="O12" s="296">
        <v>6184775</v>
      </c>
      <c r="P12" s="296">
        <v>6137531</v>
      </c>
      <c r="Q12" s="297">
        <v>6137531</v>
      </c>
      <c r="R12" s="295">
        <v>6068839</v>
      </c>
      <c r="S12" s="296">
        <v>5990051</v>
      </c>
      <c r="T12" s="296">
        <v>5937768</v>
      </c>
      <c r="U12" s="296">
        <v>5916103</v>
      </c>
      <c r="V12" s="297">
        <f t="shared" si="9"/>
        <v>5916103</v>
      </c>
      <c r="W12" s="295">
        <v>5893225</v>
      </c>
      <c r="X12" s="296">
        <v>5862310</v>
      </c>
      <c r="Y12" s="296">
        <v>5860884</v>
      </c>
      <c r="Z12" s="296">
        <v>5882804</v>
      </c>
      <c r="AA12" s="297">
        <f t="shared" si="10"/>
        <v>5882804</v>
      </c>
      <c r="AB12" s="295">
        <v>5847401</v>
      </c>
      <c r="AC12" s="296">
        <v>5819386</v>
      </c>
      <c r="AD12" s="296">
        <v>5791841</v>
      </c>
      <c r="AE12" s="296">
        <v>5776598</v>
      </c>
      <c r="AF12" s="297">
        <f t="shared" si="11"/>
        <v>5776598</v>
      </c>
      <c r="AG12" s="295">
        <v>5743832</v>
      </c>
      <c r="AH12" s="296">
        <v>5724492</v>
      </c>
      <c r="AI12" s="296">
        <v>5712151</v>
      </c>
      <c r="AJ12" s="296">
        <v>5706147</v>
      </c>
      <c r="AK12" s="297">
        <v>5706147</v>
      </c>
      <c r="AL12" s="295">
        <v>5672790</v>
      </c>
      <c r="AM12" s="296">
        <v>5652912</v>
      </c>
      <c r="AN12" s="296">
        <v>5644291</v>
      </c>
      <c r="AO12" s="296">
        <v>5637734</v>
      </c>
      <c r="AP12" s="297">
        <f t="shared" si="13"/>
        <v>5637734</v>
      </c>
      <c r="AQ12" s="295">
        <v>5601300</v>
      </c>
      <c r="AR12" s="296">
        <v>5587104</v>
      </c>
      <c r="AS12" s="296">
        <v>5569734</v>
      </c>
      <c r="AT12" s="296">
        <v>5548417</v>
      </c>
      <c r="AU12" s="297">
        <f>AT12</f>
        <v>5548417</v>
      </c>
      <c r="AV12" s="295">
        <v>5504797</v>
      </c>
      <c r="AW12" s="296">
        <v>5472855</v>
      </c>
      <c r="AX12" s="296">
        <v>5446111</v>
      </c>
      <c r="AY12" s="296"/>
      <c r="AZ12" s="297">
        <f>AX12</f>
        <v>5446111</v>
      </c>
      <c r="BA12" s="268"/>
    </row>
    <row r="13" spans="1:53" s="309" customFormat="1" ht="20.149999999999999" customHeight="1" thickBot="1">
      <c r="A13" s="307" t="s">
        <v>709</v>
      </c>
      <c r="B13" s="308" t="s">
        <v>710</v>
      </c>
      <c r="C13" s="305"/>
      <c r="D13" s="306"/>
      <c r="E13" s="306"/>
      <c r="F13" s="306"/>
      <c r="G13" s="304"/>
      <c r="H13" s="305"/>
      <c r="I13" s="306"/>
      <c r="J13" s="306"/>
      <c r="K13" s="306"/>
      <c r="L13" s="304"/>
      <c r="M13" s="305"/>
      <c r="N13" s="306"/>
      <c r="O13" s="306"/>
      <c r="P13" s="306"/>
      <c r="Q13" s="304"/>
      <c r="R13" s="305"/>
      <c r="S13" s="306"/>
      <c r="T13" s="306"/>
      <c r="U13" s="306"/>
      <c r="V13" s="304"/>
      <c r="W13" s="305"/>
      <c r="X13" s="306"/>
      <c r="Y13" s="306"/>
      <c r="Z13" s="306"/>
      <c r="AA13" s="304"/>
      <c r="AB13" s="305">
        <v>80.3</v>
      </c>
      <c r="AC13" s="306">
        <v>81.2</v>
      </c>
      <c r="AD13" s="306">
        <v>80.5</v>
      </c>
      <c r="AE13" s="306">
        <v>81.900000000000006</v>
      </c>
      <c r="AF13" s="304"/>
      <c r="AG13" s="306">
        <v>81.900000000000006</v>
      </c>
      <c r="AH13" s="306">
        <v>82.9</v>
      </c>
      <c r="AI13" s="306">
        <v>84</v>
      </c>
      <c r="AJ13" s="306">
        <v>84</v>
      </c>
      <c r="AK13" s="304">
        <v>83.2</v>
      </c>
      <c r="AL13" s="306">
        <v>82.9</v>
      </c>
      <c r="AM13" s="306">
        <v>83.4</v>
      </c>
      <c r="AN13" s="306">
        <v>84.8</v>
      </c>
      <c r="AO13" s="306">
        <v>85.6</v>
      </c>
      <c r="AP13" s="304">
        <v>84.2</v>
      </c>
      <c r="AQ13" s="306">
        <v>85.4</v>
      </c>
      <c r="AR13" s="306">
        <v>86.5</v>
      </c>
      <c r="AS13" s="306">
        <v>86.9</v>
      </c>
      <c r="AT13" s="306">
        <v>89.9</v>
      </c>
      <c r="AU13" s="304">
        <v>87.2</v>
      </c>
      <c r="AV13" s="306">
        <v>90.5</v>
      </c>
      <c r="AW13" s="306">
        <v>91.427769176968681</v>
      </c>
      <c r="AX13" s="306">
        <v>90.3</v>
      </c>
      <c r="AY13" s="306"/>
      <c r="AZ13" s="304">
        <v>90.737123963303631</v>
      </c>
    </row>
    <row r="14" spans="1:53" ht="20.149999999999999" hidden="1" customHeight="1" outlineLevel="1">
      <c r="A14" s="276" t="s">
        <v>711</v>
      </c>
      <c r="B14" s="276" t="s">
        <v>712</v>
      </c>
      <c r="C14" s="277">
        <v>92.5</v>
      </c>
      <c r="D14" s="89">
        <v>94.4</v>
      </c>
      <c r="E14" s="89">
        <v>93.8</v>
      </c>
      <c r="F14" s="89">
        <v>93.8</v>
      </c>
      <c r="G14" s="294">
        <v>93.6</v>
      </c>
      <c r="H14" s="277">
        <v>89.1</v>
      </c>
      <c r="I14" s="89">
        <v>90.3</v>
      </c>
      <c r="J14" s="89">
        <v>87.6</v>
      </c>
      <c r="K14" s="89">
        <v>87.1</v>
      </c>
      <c r="L14" s="294">
        <v>88.5</v>
      </c>
      <c r="M14" s="277">
        <v>84.8</v>
      </c>
      <c r="N14" s="89">
        <v>85.3</v>
      </c>
      <c r="O14" s="275">
        <v>86.5</v>
      </c>
      <c r="P14" s="89">
        <v>87.2</v>
      </c>
      <c r="Q14" s="294">
        <v>85.9</v>
      </c>
      <c r="R14" s="277">
        <v>85.8</v>
      </c>
      <c r="S14" s="89">
        <v>87</v>
      </c>
      <c r="T14" s="89">
        <v>88.1</v>
      </c>
      <c r="U14" s="89">
        <v>88.3</v>
      </c>
      <c r="V14" s="294">
        <v>87.3</v>
      </c>
      <c r="W14" s="277">
        <v>87</v>
      </c>
      <c r="X14" s="89">
        <v>88.4</v>
      </c>
      <c r="Y14" s="89">
        <v>88.6</v>
      </c>
      <c r="Z14" s="89">
        <v>90.7</v>
      </c>
      <c r="AA14" s="294">
        <v>88.7</v>
      </c>
      <c r="AB14" s="277">
        <v>89.1</v>
      </c>
      <c r="AC14" s="89">
        <v>89.6</v>
      </c>
      <c r="AD14" s="89">
        <v>88.4</v>
      </c>
      <c r="AE14" s="89">
        <v>89</v>
      </c>
      <c r="AF14" s="294">
        <v>89</v>
      </c>
      <c r="AG14" s="277">
        <v>88.7</v>
      </c>
      <c r="AH14" s="89">
        <v>89.6</v>
      </c>
      <c r="AI14" s="89">
        <v>90.1</v>
      </c>
      <c r="AJ14" s="89">
        <v>90.5</v>
      </c>
      <c r="AK14" s="294">
        <v>89.7</v>
      </c>
      <c r="AL14" s="277"/>
      <c r="AM14" s="89"/>
      <c r="AN14" s="89"/>
      <c r="AO14" s="89"/>
      <c r="AP14" s="294"/>
      <c r="AQ14" s="277"/>
      <c r="AR14" s="89"/>
      <c r="AS14" s="89"/>
      <c r="AT14" s="89">
        <v>6.4768102002308398E-2</v>
      </c>
      <c r="AU14" s="294"/>
      <c r="AV14" s="277"/>
      <c r="AW14" s="277">
        <v>7.00890484236706E-2</v>
      </c>
      <c r="AX14" s="89">
        <v>7.0767951058226197E-2</v>
      </c>
      <c r="AY14" s="89"/>
      <c r="AZ14" s="294"/>
      <c r="BA14" s="268"/>
    </row>
    <row r="15" spans="1:53" ht="20.149999999999999" customHeight="1" collapsed="1">
      <c r="A15" s="278" t="s">
        <v>713</v>
      </c>
      <c r="B15" s="278" t="s">
        <v>714</v>
      </c>
      <c r="C15" s="267" t="s">
        <v>699</v>
      </c>
      <c r="D15" s="79" t="s">
        <v>699</v>
      </c>
      <c r="E15" s="79" t="s">
        <v>699</v>
      </c>
      <c r="F15" s="81">
        <v>8.4252884188563901E-2</v>
      </c>
      <c r="G15" s="298">
        <f>F15</f>
        <v>8.4252884188563901E-2</v>
      </c>
      <c r="H15" s="279">
        <v>8.6500864834109098E-2</v>
      </c>
      <c r="I15" s="81">
        <v>8.7995678097648605E-2</v>
      </c>
      <c r="J15" s="81">
        <v>8.95665783401738E-2</v>
      </c>
      <c r="K15" s="81">
        <v>9.1612274770678806E-2</v>
      </c>
      <c r="L15" s="298">
        <f>K15</f>
        <v>9.1612274770678806E-2</v>
      </c>
      <c r="M15" s="279">
        <v>9.0641340484564806E-2</v>
      </c>
      <c r="N15" s="81">
        <v>8.7627794752018207E-2</v>
      </c>
      <c r="O15" s="280">
        <f>8.8%</f>
        <v>8.8000000000000009E-2</v>
      </c>
      <c r="P15" s="81">
        <v>9.0976359886998898E-2</v>
      </c>
      <c r="Q15" s="298">
        <v>9.0999999999999998E-2</v>
      </c>
      <c r="R15" s="279">
        <v>9.5000000000000001E-2</v>
      </c>
      <c r="S15" s="81">
        <v>0.10100000000000001</v>
      </c>
      <c r="T15" s="81">
        <v>0.10199999999999999</v>
      </c>
      <c r="U15" s="81">
        <v>0.1</v>
      </c>
      <c r="V15" s="298">
        <v>0.1</v>
      </c>
      <c r="W15" s="279">
        <v>9.8000000000000004E-2</v>
      </c>
      <c r="X15" s="81">
        <v>0.09</v>
      </c>
      <c r="Y15" s="81">
        <v>8.5000000000000006E-2</v>
      </c>
      <c r="Z15" s="81">
        <v>8.3000000000000004E-2</v>
      </c>
      <c r="AA15" s="298">
        <v>8.3000000000000004E-2</v>
      </c>
      <c r="AB15" s="279">
        <v>8.5000000000000006E-2</v>
      </c>
      <c r="AC15" s="81">
        <v>8.5999999999999993E-2</v>
      </c>
      <c r="AD15" s="81">
        <v>8.7999999999999995E-2</v>
      </c>
      <c r="AE15" s="81">
        <v>8.7999999999999995E-2</v>
      </c>
      <c r="AF15" s="298">
        <v>8.7999999999999995E-2</v>
      </c>
      <c r="AG15" s="81">
        <v>8.5000000000000006E-2</v>
      </c>
      <c r="AH15" s="81">
        <v>8.3000000000000004E-2</v>
      </c>
      <c r="AI15" s="81">
        <v>7.9000000000000001E-2</v>
      </c>
      <c r="AJ15" s="81">
        <v>7.5999999999999998E-2</v>
      </c>
      <c r="AK15" s="298">
        <v>7.5999999999999998E-2</v>
      </c>
      <c r="AL15" s="81">
        <v>7.1999999999999995E-2</v>
      </c>
      <c r="AM15" s="81">
        <v>7.0000000000000007E-2</v>
      </c>
      <c r="AN15" s="81">
        <v>6.8000000000000005E-2</v>
      </c>
      <c r="AO15" s="81">
        <v>6.4000000000000001E-2</v>
      </c>
      <c r="AP15" s="298">
        <f>AO15:AO16</f>
        <v>6.4000000000000001E-2</v>
      </c>
      <c r="AQ15" s="81">
        <v>6.6000000000000003E-2</v>
      </c>
      <c r="AR15" s="81">
        <v>6.4000000000000001E-2</v>
      </c>
      <c r="AS15" s="81">
        <v>6.0999999999999999E-2</v>
      </c>
      <c r="AT15" s="81">
        <v>6.5000000000000002E-2</v>
      </c>
      <c r="AU15" s="298">
        <f>AT15</f>
        <v>6.5000000000000002E-2</v>
      </c>
      <c r="AV15" s="81">
        <v>6.7000000000000004E-2</v>
      </c>
      <c r="AW15" s="81">
        <v>7.00890484236706E-2</v>
      </c>
      <c r="AX15" s="81">
        <v>7.0999999999999994E-2</v>
      </c>
      <c r="AY15" s="81"/>
      <c r="AZ15" s="298">
        <f t="shared" ref="AZ15:AZ16" si="16">AX15</f>
        <v>7.0999999999999994E-2</v>
      </c>
      <c r="BA15" s="268"/>
    </row>
    <row r="16" spans="1:53" ht="20.149999999999999" customHeight="1" thickBot="1">
      <c r="A16" s="278" t="s">
        <v>715</v>
      </c>
      <c r="B16" s="278" t="s">
        <v>716</v>
      </c>
      <c r="C16" s="325">
        <f t="shared" ref="C16:N16" si="17">C7/C12</f>
        <v>1.8357205163713926</v>
      </c>
      <c r="D16" s="326">
        <f t="shared" si="17"/>
        <v>1.838453952262399</v>
      </c>
      <c r="E16" s="326">
        <f t="shared" si="17"/>
        <v>1.8475973638091163</v>
      </c>
      <c r="F16" s="326">
        <f t="shared" si="17"/>
        <v>1.858753959619053</v>
      </c>
      <c r="G16" s="299">
        <f t="shared" si="17"/>
        <v>1.858753959619053</v>
      </c>
      <c r="H16" s="325">
        <f t="shared" si="17"/>
        <v>1.8675770034475931</v>
      </c>
      <c r="I16" s="326">
        <f t="shared" si="17"/>
        <v>1.8819055770391591</v>
      </c>
      <c r="J16" s="326">
        <f t="shared" si="17"/>
        <v>1.8945540184106324</v>
      </c>
      <c r="K16" s="326">
        <f t="shared" si="17"/>
        <v>1.9051301772456453</v>
      </c>
      <c r="L16" s="299">
        <f t="shared" si="17"/>
        <v>1.9051301772456453</v>
      </c>
      <c r="M16" s="325">
        <f t="shared" si="17"/>
        <v>1.9139634115369908</v>
      </c>
      <c r="N16" s="326">
        <f t="shared" si="17"/>
        <v>1.9326723152825918</v>
      </c>
      <c r="O16" s="327">
        <v>1.98</v>
      </c>
      <c r="P16" s="326">
        <v>2.0099999999999998</v>
      </c>
      <c r="Q16" s="299">
        <v>2.0099999999999998</v>
      </c>
      <c r="R16" s="325">
        <f>R7/R12</f>
        <v>2.0423530760990696</v>
      </c>
      <c r="S16" s="326">
        <v>2.0699999999999998</v>
      </c>
      <c r="T16" s="326">
        <v>2.09</v>
      </c>
      <c r="U16" s="326">
        <v>2.13</v>
      </c>
      <c r="V16" s="299">
        <v>2.13</v>
      </c>
      <c r="W16" s="325">
        <v>2.16</v>
      </c>
      <c r="X16" s="326">
        <v>2.2000000000000002</v>
      </c>
      <c r="Y16" s="326">
        <v>2.2200000000000002</v>
      </c>
      <c r="Z16" s="326">
        <v>2.25</v>
      </c>
      <c r="AA16" s="299">
        <f>Z16</f>
        <v>2.25</v>
      </c>
      <c r="AB16" s="325">
        <v>2.2799999999999998</v>
      </c>
      <c r="AC16" s="326">
        <v>2.31</v>
      </c>
      <c r="AD16" s="326">
        <v>2.34</v>
      </c>
      <c r="AE16" s="326">
        <v>2.37</v>
      </c>
      <c r="AF16" s="299">
        <v>2.37</v>
      </c>
      <c r="AG16" s="326">
        <v>2.4</v>
      </c>
      <c r="AH16" s="326">
        <v>2.4300000000000002</v>
      </c>
      <c r="AI16" s="326">
        <v>2.46</v>
      </c>
      <c r="AJ16" s="326">
        <v>2.5</v>
      </c>
      <c r="AK16" s="299">
        <v>2.5</v>
      </c>
      <c r="AL16" s="326">
        <v>2.5299999999999998</v>
      </c>
      <c r="AM16" s="326">
        <v>2.56</v>
      </c>
      <c r="AN16" s="326">
        <v>2.58</v>
      </c>
      <c r="AO16" s="326">
        <v>2.61</v>
      </c>
      <c r="AP16" s="299">
        <f>AO16</f>
        <v>2.61</v>
      </c>
      <c r="AQ16" s="326">
        <v>2.64</v>
      </c>
      <c r="AR16" s="326">
        <v>2.68</v>
      </c>
      <c r="AS16" s="326">
        <v>2.72</v>
      </c>
      <c r="AT16" s="326">
        <v>2.77</v>
      </c>
      <c r="AU16" s="299">
        <f>AT16</f>
        <v>2.77</v>
      </c>
      <c r="AV16" s="326">
        <v>2.79</v>
      </c>
      <c r="AW16" s="326">
        <v>2.8187721034085502</v>
      </c>
      <c r="AX16" s="326">
        <v>2.84</v>
      </c>
      <c r="AY16" s="326"/>
      <c r="AZ16" s="299">
        <f t="shared" si="16"/>
        <v>2.84</v>
      </c>
      <c r="BA16" s="268"/>
    </row>
    <row r="17" spans="1:53" ht="20.149999999999999" customHeight="1" thickBot="1">
      <c r="A17" s="300" t="s">
        <v>717</v>
      </c>
      <c r="B17" s="301" t="s">
        <v>718</v>
      </c>
      <c r="C17" s="328">
        <f>C18+C20+C21</f>
        <v>11497022</v>
      </c>
      <c r="D17" s="329">
        <f t="shared" ref="D17:N17" si="18">D18+D20+D21</f>
        <v>11521707</v>
      </c>
      <c r="E17" s="329">
        <f t="shared" si="18"/>
        <v>11558288</v>
      </c>
      <c r="F17" s="329">
        <f t="shared" si="18"/>
        <v>11659474</v>
      </c>
      <c r="G17" s="330">
        <f t="shared" si="18"/>
        <v>11559122.75</v>
      </c>
      <c r="H17" s="328">
        <f t="shared" si="18"/>
        <v>11772318</v>
      </c>
      <c r="I17" s="329">
        <f t="shared" si="18"/>
        <v>11846507</v>
      </c>
      <c r="J17" s="329">
        <f t="shared" si="18"/>
        <v>11884574</v>
      </c>
      <c r="K17" s="329">
        <f t="shared" si="18"/>
        <v>11924710</v>
      </c>
      <c r="L17" s="330">
        <f t="shared" si="18"/>
        <v>11857027.25</v>
      </c>
      <c r="M17" s="328">
        <f t="shared" si="18"/>
        <v>11986199</v>
      </c>
      <c r="N17" s="329">
        <f t="shared" si="18"/>
        <v>11981389</v>
      </c>
      <c r="O17" s="329">
        <f>O18+O20+O21</f>
        <v>12125363</v>
      </c>
      <c r="P17" s="329">
        <f>P18+P20+P21</f>
        <v>12272311</v>
      </c>
      <c r="Q17" s="330">
        <f>Q18+Q20+Q21</f>
        <v>12091316</v>
      </c>
      <c r="R17" s="328">
        <f t="shared" ref="R17:AJ17" si="19">R18+R20+R21</f>
        <v>12376603</v>
      </c>
      <c r="S17" s="329">
        <f t="shared" si="19"/>
        <v>12391326</v>
      </c>
      <c r="T17" s="329">
        <f t="shared" si="19"/>
        <v>12378586</v>
      </c>
      <c r="U17" s="329">
        <f t="shared" si="19"/>
        <v>12496080</v>
      </c>
      <c r="V17" s="330">
        <f t="shared" si="19"/>
        <v>12410649</v>
      </c>
      <c r="W17" s="328">
        <f t="shared" si="19"/>
        <v>12675864</v>
      </c>
      <c r="X17" s="329">
        <f t="shared" si="19"/>
        <v>12809438</v>
      </c>
      <c r="Y17" s="329">
        <f t="shared" si="19"/>
        <v>12940680</v>
      </c>
      <c r="Z17" s="329">
        <f t="shared" si="19"/>
        <v>13119033</v>
      </c>
      <c r="AA17" s="330">
        <f t="shared" si="19"/>
        <v>12886254</v>
      </c>
      <c r="AB17" s="328">
        <f t="shared" si="19"/>
        <v>13313971</v>
      </c>
      <c r="AC17" s="329">
        <f t="shared" si="19"/>
        <v>13379081</v>
      </c>
      <c r="AD17" s="329">
        <f t="shared" si="19"/>
        <v>13467835</v>
      </c>
      <c r="AE17" s="329">
        <f t="shared" si="19"/>
        <v>13596202</v>
      </c>
      <c r="AF17" s="330">
        <f t="shared" si="19"/>
        <v>13439272</v>
      </c>
      <c r="AG17" s="329">
        <f t="shared" si="19"/>
        <v>13741811</v>
      </c>
      <c r="AH17" s="329">
        <f t="shared" si="19"/>
        <v>13858205</v>
      </c>
      <c r="AI17" s="329">
        <f t="shared" si="19"/>
        <v>13995952</v>
      </c>
      <c r="AJ17" s="329">
        <f t="shared" si="19"/>
        <v>14159632</v>
      </c>
      <c r="AK17" s="330">
        <f>AK18+AK20+AK21</f>
        <v>13938900</v>
      </c>
      <c r="AL17" s="329">
        <f>AL18+AL20+AL21</f>
        <v>14283823</v>
      </c>
      <c r="AM17" s="329">
        <f t="shared" ref="AM17:AP17" si="20">AM18+AM20+AM21</f>
        <v>14381445</v>
      </c>
      <c r="AN17" s="329">
        <f t="shared" si="20"/>
        <v>14515058</v>
      </c>
      <c r="AO17" s="329">
        <f t="shared" si="20"/>
        <v>14660255</v>
      </c>
      <c r="AP17" s="333">
        <f t="shared" si="20"/>
        <v>14460145</v>
      </c>
      <c r="AQ17" s="329">
        <f>AQ18+AQ20+AQ21</f>
        <v>14774076</v>
      </c>
      <c r="AR17" s="329">
        <f t="shared" ref="AR17:AU17" si="21">AR18+AR20+AR21</f>
        <v>14867672</v>
      </c>
      <c r="AS17" s="329">
        <f t="shared" si="21"/>
        <v>15080830</v>
      </c>
      <c r="AT17" s="329">
        <f t="shared" si="21"/>
        <v>15265725</v>
      </c>
      <c r="AU17" s="333">
        <f t="shared" si="21"/>
        <v>14997076</v>
      </c>
      <c r="AV17" s="329">
        <f>AV18+AV20+AV21</f>
        <v>15350346</v>
      </c>
      <c r="AW17" s="329">
        <f t="shared" ref="AW17:AZ17" si="22">AW18+AW20+AW21</f>
        <v>15390843.999999998</v>
      </c>
      <c r="AX17" s="329">
        <f t="shared" si="22"/>
        <v>15454487</v>
      </c>
      <c r="AY17" s="329">
        <f t="shared" si="22"/>
        <v>0</v>
      </c>
      <c r="AZ17" s="333">
        <f t="shared" si="22"/>
        <v>15398559.11111111</v>
      </c>
      <c r="BA17" s="268"/>
    </row>
    <row r="18" spans="1:53" ht="20.149999999999999" customHeight="1">
      <c r="A18" s="269" t="s">
        <v>704</v>
      </c>
      <c r="B18" s="269" t="s">
        <v>705</v>
      </c>
      <c r="C18" s="267">
        <v>3858338</v>
      </c>
      <c r="D18" s="79">
        <v>3879834</v>
      </c>
      <c r="E18" s="79">
        <v>3894623</v>
      </c>
      <c r="F18" s="79">
        <v>3955082</v>
      </c>
      <c r="G18" s="310">
        <f>AVERAGE(C18:F18)</f>
        <v>3896969.25</v>
      </c>
      <c r="H18" s="267">
        <v>4018307</v>
      </c>
      <c r="I18" s="79">
        <v>4098051</v>
      </c>
      <c r="J18" s="79">
        <v>4144131</v>
      </c>
      <c r="K18" s="79">
        <v>4175145</v>
      </c>
      <c r="L18" s="310">
        <f>AVERAGE(H18:K18)</f>
        <v>4108908.5</v>
      </c>
      <c r="M18" s="267">
        <v>4227450</v>
      </c>
      <c r="N18" s="79">
        <v>4243880</v>
      </c>
      <c r="O18" s="270">
        <v>4301558</v>
      </c>
      <c r="P18" s="79">
        <v>4361890</v>
      </c>
      <c r="Q18" s="310">
        <v>4283695</v>
      </c>
      <c r="R18" s="267">
        <v>4403541</v>
      </c>
      <c r="S18" s="79">
        <v>4397999</v>
      </c>
      <c r="T18" s="79">
        <v>4376405</v>
      </c>
      <c r="U18" s="79">
        <v>4441918</v>
      </c>
      <c r="V18" s="310">
        <v>4404966</v>
      </c>
      <c r="W18" s="267">
        <v>4532806</v>
      </c>
      <c r="X18" s="79">
        <v>4595313</v>
      </c>
      <c r="Y18" s="79">
        <v>4654591</v>
      </c>
      <c r="Z18" s="79">
        <v>4712813</v>
      </c>
      <c r="AA18" s="310">
        <v>4623881</v>
      </c>
      <c r="AB18" s="267">
        <v>4781680</v>
      </c>
      <c r="AC18" s="79">
        <v>4817543</v>
      </c>
      <c r="AD18" s="79">
        <v>4856979</v>
      </c>
      <c r="AE18" s="79">
        <v>4905839</v>
      </c>
      <c r="AF18" s="310">
        <v>4840510</v>
      </c>
      <c r="AG18" s="79">
        <v>4963830</v>
      </c>
      <c r="AH18" s="79">
        <v>5013604</v>
      </c>
      <c r="AI18" s="79">
        <v>5029344</v>
      </c>
      <c r="AJ18" s="79">
        <v>5070219</v>
      </c>
      <c r="AK18" s="310">
        <v>5019249</v>
      </c>
      <c r="AL18" s="79">
        <v>5090723</v>
      </c>
      <c r="AM18" s="79">
        <v>5066146</v>
      </c>
      <c r="AN18" s="79">
        <v>5036833</v>
      </c>
      <c r="AO18" s="79">
        <v>5039351</v>
      </c>
      <c r="AP18" s="310">
        <v>5058263</v>
      </c>
      <c r="AQ18" s="79">
        <v>5018607</v>
      </c>
      <c r="AR18" s="79">
        <v>4995884</v>
      </c>
      <c r="AS18" s="79">
        <v>5007407</v>
      </c>
      <c r="AT18" s="79">
        <v>5009102</v>
      </c>
      <c r="AU18" s="310">
        <v>5007750</v>
      </c>
      <c r="AV18" s="79">
        <v>4996954</v>
      </c>
      <c r="AW18" s="79">
        <v>4973593.833333333</v>
      </c>
      <c r="AX18" s="79">
        <v>4944068</v>
      </c>
      <c r="AY18" s="79"/>
      <c r="AZ18" s="310">
        <v>4971538.5</v>
      </c>
      <c r="BA18" s="268"/>
    </row>
    <row r="19" spans="1:53" ht="20.149999999999999" customHeight="1">
      <c r="A19" s="271" t="s">
        <v>706</v>
      </c>
      <c r="B19" s="271" t="s">
        <v>706</v>
      </c>
      <c r="C19" s="272">
        <v>358652</v>
      </c>
      <c r="D19" s="88">
        <v>406943</v>
      </c>
      <c r="E19" s="88">
        <v>443743.5</v>
      </c>
      <c r="F19" s="88">
        <v>494506</v>
      </c>
      <c r="G19" s="331">
        <f>AVERAGE(C19:F19)</f>
        <v>425961.125</v>
      </c>
      <c r="H19" s="272">
        <v>535271</v>
      </c>
      <c r="I19" s="88">
        <v>600411</v>
      </c>
      <c r="J19" s="88">
        <v>658475</v>
      </c>
      <c r="K19" s="88">
        <v>697978</v>
      </c>
      <c r="L19" s="331">
        <f t="shared" ref="L19:L21" si="23">AVERAGE(H19:K19)</f>
        <v>623033.75</v>
      </c>
      <c r="M19" s="281">
        <v>736315</v>
      </c>
      <c r="N19" s="88">
        <v>759922</v>
      </c>
      <c r="O19" s="273">
        <v>787736</v>
      </c>
      <c r="P19" s="88">
        <v>822568</v>
      </c>
      <c r="Q19" s="331">
        <v>776635</v>
      </c>
      <c r="R19" s="281">
        <v>860827</v>
      </c>
      <c r="S19" s="88">
        <v>881296</v>
      </c>
      <c r="T19" s="88">
        <v>893001</v>
      </c>
      <c r="U19" s="88">
        <v>915940</v>
      </c>
      <c r="V19" s="331">
        <v>887766</v>
      </c>
      <c r="W19" s="281">
        <v>948366</v>
      </c>
      <c r="X19" s="82">
        <v>964197</v>
      </c>
      <c r="Y19" s="82">
        <v>977142</v>
      </c>
      <c r="Z19" s="88">
        <v>995820</v>
      </c>
      <c r="AA19" s="331">
        <v>971381</v>
      </c>
      <c r="AB19" s="281">
        <v>1029294</v>
      </c>
      <c r="AC19" s="79">
        <v>1051692</v>
      </c>
      <c r="AD19" s="82">
        <v>1064544</v>
      </c>
      <c r="AE19" s="82">
        <v>1082951</v>
      </c>
      <c r="AF19" s="331">
        <v>1057120</v>
      </c>
      <c r="AG19" s="82">
        <v>1108316</v>
      </c>
      <c r="AH19" s="82">
        <v>1121333</v>
      </c>
      <c r="AI19" s="82">
        <v>1134327</v>
      </c>
      <c r="AJ19" s="82">
        <v>1149795</v>
      </c>
      <c r="AK19" s="331">
        <v>1128443</v>
      </c>
      <c r="AL19" s="82">
        <v>1164591</v>
      </c>
      <c r="AM19" s="82">
        <v>1171425</v>
      </c>
      <c r="AN19" s="82">
        <v>1177222</v>
      </c>
      <c r="AO19" s="82">
        <v>1185919</v>
      </c>
      <c r="AP19" s="331">
        <v>1174789</v>
      </c>
      <c r="AQ19" s="82">
        <v>1193663</v>
      </c>
      <c r="AR19" s="82">
        <v>1193706</v>
      </c>
      <c r="AS19" s="82">
        <v>1199160</v>
      </c>
      <c r="AT19" s="82">
        <v>1203210</v>
      </c>
      <c r="AU19" s="331">
        <v>1197435</v>
      </c>
      <c r="AV19" s="82">
        <v>1207961</v>
      </c>
      <c r="AW19" s="82">
        <v>1204404.5</v>
      </c>
      <c r="AX19" s="82">
        <v>1201462</v>
      </c>
      <c r="AY19" s="82"/>
      <c r="AZ19" s="331">
        <v>1204609.1666666667</v>
      </c>
      <c r="BA19" s="268"/>
    </row>
    <row r="20" spans="1:53" ht="20.149999999999999" customHeight="1">
      <c r="A20" s="269" t="s">
        <v>598</v>
      </c>
      <c r="B20" s="269" t="s">
        <v>599</v>
      </c>
      <c r="C20" s="267">
        <v>6986951</v>
      </c>
      <c r="D20" s="79">
        <v>6977393</v>
      </c>
      <c r="E20" s="79">
        <v>6978772</v>
      </c>
      <c r="F20" s="79">
        <v>6974525</v>
      </c>
      <c r="G20" s="310">
        <f t="shared" ref="G20:G21" si="24">AVERAGE(C20:F20)</f>
        <v>6979410.25</v>
      </c>
      <c r="H20" s="267">
        <v>6965606</v>
      </c>
      <c r="I20" s="79">
        <v>6917102</v>
      </c>
      <c r="J20" s="79">
        <v>6862047</v>
      </c>
      <c r="K20" s="79">
        <v>6801845</v>
      </c>
      <c r="L20" s="310">
        <f t="shared" si="23"/>
        <v>6886650</v>
      </c>
      <c r="M20" s="282">
        <v>6749396</v>
      </c>
      <c r="N20" s="79">
        <v>6670820</v>
      </c>
      <c r="O20" s="270">
        <v>6628199</v>
      </c>
      <c r="P20" s="79">
        <v>6597742</v>
      </c>
      <c r="Q20" s="310">
        <v>6661539</v>
      </c>
      <c r="R20" s="282">
        <v>6570344</v>
      </c>
      <c r="S20" s="79">
        <v>6532488</v>
      </c>
      <c r="T20" s="79">
        <v>6508391</v>
      </c>
      <c r="U20" s="79">
        <v>6502872</v>
      </c>
      <c r="V20" s="310">
        <v>6528524</v>
      </c>
      <c r="W20" s="282">
        <v>6523316</v>
      </c>
      <c r="X20" s="83">
        <v>6546774</v>
      </c>
      <c r="Y20" s="83">
        <v>6579908</v>
      </c>
      <c r="Z20" s="79">
        <v>6667869</v>
      </c>
      <c r="AA20" s="310">
        <v>6579467</v>
      </c>
      <c r="AB20" s="282">
        <v>6769379</v>
      </c>
      <c r="AC20" s="79">
        <v>6790804</v>
      </c>
      <c r="AD20" s="83">
        <v>6836282</v>
      </c>
      <c r="AE20" s="83">
        <v>6894295</v>
      </c>
      <c r="AF20" s="310">
        <v>6822690</v>
      </c>
      <c r="AG20" s="83">
        <v>6963584</v>
      </c>
      <c r="AH20" s="83">
        <v>7036346</v>
      </c>
      <c r="AI20" s="83">
        <v>7161022</v>
      </c>
      <c r="AJ20" s="83">
        <v>7276732</v>
      </c>
      <c r="AK20" s="310">
        <v>7109421</v>
      </c>
      <c r="AL20" s="83">
        <v>7384746</v>
      </c>
      <c r="AM20" s="83">
        <v>7519107</v>
      </c>
      <c r="AN20" s="83">
        <v>7679532</v>
      </c>
      <c r="AO20" s="83">
        <v>7823962</v>
      </c>
      <c r="AP20" s="310">
        <v>7601837</v>
      </c>
      <c r="AQ20" s="83">
        <v>7964689</v>
      </c>
      <c r="AR20" s="83">
        <v>8082768</v>
      </c>
      <c r="AS20" s="83">
        <v>8283242</v>
      </c>
      <c r="AT20" s="83">
        <v>8452883</v>
      </c>
      <c r="AU20" s="310">
        <v>8195896</v>
      </c>
      <c r="AV20" s="83">
        <v>8529814</v>
      </c>
      <c r="AW20" s="83">
        <v>8598959</v>
      </c>
      <c r="AX20" s="83">
        <v>8715614</v>
      </c>
      <c r="AY20" s="82"/>
      <c r="AZ20" s="310">
        <v>8614795.666666666</v>
      </c>
      <c r="BA20" s="268"/>
    </row>
    <row r="21" spans="1:53" ht="20.149999999999999" customHeight="1" thickBot="1">
      <c r="A21" s="269" t="s">
        <v>601</v>
      </c>
      <c r="B21" s="269" t="s">
        <v>601</v>
      </c>
      <c r="C21" s="267">
        <v>651733</v>
      </c>
      <c r="D21" s="79">
        <v>664480</v>
      </c>
      <c r="E21" s="79">
        <v>684893</v>
      </c>
      <c r="F21" s="79">
        <v>729867</v>
      </c>
      <c r="G21" s="310">
        <f t="shared" si="24"/>
        <v>682743.25</v>
      </c>
      <c r="H21" s="267">
        <v>788405</v>
      </c>
      <c r="I21" s="79">
        <v>831354</v>
      </c>
      <c r="J21" s="79">
        <v>878396</v>
      </c>
      <c r="K21" s="79">
        <v>947720</v>
      </c>
      <c r="L21" s="310">
        <f t="shared" si="23"/>
        <v>861468.75</v>
      </c>
      <c r="M21" s="282">
        <v>1009353</v>
      </c>
      <c r="N21" s="79">
        <v>1066689</v>
      </c>
      <c r="O21" s="270">
        <v>1195606</v>
      </c>
      <c r="P21" s="79">
        <v>1312679</v>
      </c>
      <c r="Q21" s="310">
        <v>1146082</v>
      </c>
      <c r="R21" s="282">
        <v>1402718</v>
      </c>
      <c r="S21" s="79">
        <v>1460839</v>
      </c>
      <c r="T21" s="79">
        <v>1493790</v>
      </c>
      <c r="U21" s="79">
        <v>1551290</v>
      </c>
      <c r="V21" s="310">
        <v>1477159</v>
      </c>
      <c r="W21" s="282">
        <v>1619742</v>
      </c>
      <c r="X21" s="83">
        <v>1667351</v>
      </c>
      <c r="Y21" s="83">
        <v>1706181</v>
      </c>
      <c r="Z21" s="79">
        <v>1738351</v>
      </c>
      <c r="AA21" s="310">
        <v>1682906</v>
      </c>
      <c r="AB21" s="282">
        <v>1762912</v>
      </c>
      <c r="AC21" s="79">
        <v>1770734</v>
      </c>
      <c r="AD21" s="83">
        <v>1774574</v>
      </c>
      <c r="AE21" s="83">
        <v>1796068</v>
      </c>
      <c r="AF21" s="310">
        <v>1776072</v>
      </c>
      <c r="AG21" s="83">
        <v>1814397</v>
      </c>
      <c r="AH21" s="83">
        <v>1808255</v>
      </c>
      <c r="AI21" s="83">
        <v>1805586</v>
      </c>
      <c r="AJ21" s="83">
        <v>1812681</v>
      </c>
      <c r="AK21" s="310">
        <v>1810230</v>
      </c>
      <c r="AL21" s="83">
        <v>1808354</v>
      </c>
      <c r="AM21" s="83">
        <v>1796192</v>
      </c>
      <c r="AN21" s="83">
        <v>1798693</v>
      </c>
      <c r="AO21" s="83">
        <v>1796942</v>
      </c>
      <c r="AP21" s="310">
        <v>1800045</v>
      </c>
      <c r="AQ21" s="83">
        <v>1790780</v>
      </c>
      <c r="AR21" s="83">
        <v>1789020</v>
      </c>
      <c r="AS21" s="83">
        <v>1790181</v>
      </c>
      <c r="AT21" s="83">
        <v>1803740</v>
      </c>
      <c r="AU21" s="310">
        <v>1793430</v>
      </c>
      <c r="AV21" s="83">
        <v>1823578</v>
      </c>
      <c r="AW21" s="83">
        <v>1818291.1666666667</v>
      </c>
      <c r="AX21" s="83">
        <v>1794805</v>
      </c>
      <c r="AY21" s="83"/>
      <c r="AZ21" s="310">
        <v>1812224.9444444445</v>
      </c>
      <c r="BA21" s="268"/>
    </row>
    <row r="22" spans="1:53" ht="20.149999999999999" customHeight="1">
      <c r="A22" s="318" t="s">
        <v>719</v>
      </c>
      <c r="B22" s="319" t="s">
        <v>720</v>
      </c>
      <c r="C22" s="320">
        <v>6288609</v>
      </c>
      <c r="D22" s="321">
        <v>6272029</v>
      </c>
      <c r="E22" s="321">
        <v>6271838</v>
      </c>
      <c r="F22" s="321">
        <v>6291791</v>
      </c>
      <c r="G22" s="322">
        <f>AVERAGE(C22:F22)</f>
        <v>6281066.75</v>
      </c>
      <c r="H22" s="320">
        <v>6316275</v>
      </c>
      <c r="I22" s="321">
        <v>6317333</v>
      </c>
      <c r="J22" s="321">
        <v>6293472</v>
      </c>
      <c r="K22" s="321">
        <v>6279979</v>
      </c>
      <c r="L22" s="322">
        <f>AVERAGE(H22:K22)</f>
        <v>6301764.75</v>
      </c>
      <c r="M22" s="320">
        <v>6274951</v>
      </c>
      <c r="N22" s="321">
        <v>6242450</v>
      </c>
      <c r="O22" s="321">
        <v>6201335</v>
      </c>
      <c r="P22" s="321">
        <v>6159902.666666667</v>
      </c>
      <c r="Q22" s="322">
        <v>6219660</v>
      </c>
      <c r="R22" s="320">
        <v>6105250</v>
      </c>
      <c r="S22" s="321">
        <v>6031638</v>
      </c>
      <c r="T22" s="321">
        <v>5960463</v>
      </c>
      <c r="U22" s="321">
        <v>5922397</v>
      </c>
      <c r="V22" s="322">
        <v>6004937</v>
      </c>
      <c r="W22" s="320">
        <v>5902526</v>
      </c>
      <c r="X22" s="321">
        <v>5876458</v>
      </c>
      <c r="Y22" s="321">
        <v>5858477</v>
      </c>
      <c r="Z22" s="321">
        <v>5868541</v>
      </c>
      <c r="AA22" s="322">
        <v>5876500</v>
      </c>
      <c r="AB22" s="320">
        <v>5872517</v>
      </c>
      <c r="AC22" s="321">
        <v>5828405</v>
      </c>
      <c r="AD22" s="321">
        <v>5803517</v>
      </c>
      <c r="AE22" s="321">
        <v>5781207</v>
      </c>
      <c r="AF22" s="322">
        <v>5821411</v>
      </c>
      <c r="AG22" s="321">
        <v>5760338</v>
      </c>
      <c r="AH22" s="321">
        <v>5732091</v>
      </c>
      <c r="AI22" s="321">
        <v>5717882</v>
      </c>
      <c r="AJ22" s="321">
        <v>5708353</v>
      </c>
      <c r="AK22" s="322">
        <v>5729666</v>
      </c>
      <c r="AL22" s="321">
        <v>5688071</v>
      </c>
      <c r="AM22" s="321">
        <v>5662168</v>
      </c>
      <c r="AN22" s="321">
        <v>5649225</v>
      </c>
      <c r="AO22" s="321">
        <v>5641301</v>
      </c>
      <c r="AP22" s="322">
        <v>5660191</v>
      </c>
      <c r="AQ22" s="321">
        <v>5625993</v>
      </c>
      <c r="AR22" s="321">
        <v>5591571</v>
      </c>
      <c r="AS22" s="321">
        <v>5579661</v>
      </c>
      <c r="AT22" s="321">
        <v>5558348</v>
      </c>
      <c r="AU22" s="322">
        <v>5588893</v>
      </c>
      <c r="AV22" s="321">
        <v>5526063</v>
      </c>
      <c r="AW22" s="321">
        <v>5487976.333333333</v>
      </c>
      <c r="AX22" s="321">
        <v>5461033</v>
      </c>
      <c r="AY22" s="321"/>
      <c r="AZ22" s="322">
        <v>5491690.888888889</v>
      </c>
      <c r="BA22" s="268"/>
    </row>
    <row r="23" spans="1:53" s="290" customFormat="1" ht="20.149999999999999" customHeight="1" thickBot="1">
      <c r="A23" s="323" t="s">
        <v>613</v>
      </c>
      <c r="B23" s="323" t="s">
        <v>614</v>
      </c>
      <c r="C23" s="312"/>
      <c r="D23" s="313"/>
      <c r="E23" s="313"/>
      <c r="F23" s="313"/>
      <c r="G23" s="324"/>
      <c r="H23" s="312"/>
      <c r="I23" s="313"/>
      <c r="J23" s="313"/>
      <c r="K23" s="313"/>
      <c r="L23" s="324"/>
      <c r="M23" s="316"/>
      <c r="N23" s="313"/>
      <c r="O23" s="313"/>
      <c r="P23" s="313"/>
      <c r="Q23" s="324"/>
      <c r="R23" s="316"/>
      <c r="S23" s="313"/>
      <c r="T23" s="313"/>
      <c r="U23" s="313"/>
      <c r="V23" s="324"/>
      <c r="W23" s="316"/>
      <c r="X23" s="317"/>
      <c r="Y23" s="317"/>
      <c r="Z23" s="313"/>
      <c r="AA23" s="324"/>
      <c r="AB23" s="316"/>
      <c r="AC23" s="317"/>
      <c r="AD23" s="317"/>
      <c r="AE23" s="313"/>
      <c r="AF23" s="324"/>
      <c r="AG23" s="317"/>
      <c r="AH23" s="317"/>
      <c r="AI23" s="317"/>
      <c r="AJ23" s="317"/>
      <c r="AK23" s="324"/>
      <c r="AL23" s="317"/>
      <c r="AM23" s="317"/>
      <c r="AN23" s="317"/>
      <c r="AO23" s="317"/>
      <c r="AP23" s="324"/>
      <c r="AQ23" s="317"/>
      <c r="AR23" s="317"/>
      <c r="AS23" s="317"/>
      <c r="AT23" s="317"/>
      <c r="AU23" s="324"/>
      <c r="AV23" s="317"/>
      <c r="AW23" s="317"/>
      <c r="AX23" s="317"/>
      <c r="AY23" s="317"/>
      <c r="AZ23" s="324"/>
    </row>
    <row r="24" spans="1:53" s="268" customFormat="1" ht="20.149999999999999" customHeight="1" thickBot="1">
      <c r="A24" s="337" t="s">
        <v>702</v>
      </c>
      <c r="B24" s="338" t="s">
        <v>721</v>
      </c>
      <c r="C24" s="302" t="s">
        <v>699</v>
      </c>
      <c r="D24" s="303" t="s">
        <v>699</v>
      </c>
      <c r="E24" s="303" t="s">
        <v>699</v>
      </c>
      <c r="F24" s="303" t="s">
        <v>699</v>
      </c>
      <c r="G24" s="311" t="s">
        <v>699</v>
      </c>
      <c r="H24" s="302">
        <f>SUM(H25:H27)</f>
        <v>4548385</v>
      </c>
      <c r="I24" s="303">
        <f t="shared" ref="I24:N24" si="25">SUM(I25:I27)</f>
        <v>4565319</v>
      </c>
      <c r="J24" s="303">
        <f t="shared" si="25"/>
        <v>4719129</v>
      </c>
      <c r="K24" s="303">
        <f t="shared" si="25"/>
        <v>4468527</v>
      </c>
      <c r="L24" s="311">
        <f t="shared" si="25"/>
        <v>4468527</v>
      </c>
      <c r="M24" s="302">
        <f t="shared" si="25"/>
        <v>4350325</v>
      </c>
      <c r="N24" s="303">
        <f t="shared" si="25"/>
        <v>4227128</v>
      </c>
      <c r="O24" s="303">
        <f>SUM(O25:O27)</f>
        <v>4219194</v>
      </c>
      <c r="P24" s="303">
        <f>SUM(P25:P27)</f>
        <v>4134203</v>
      </c>
      <c r="Q24" s="311">
        <f>SUM(Q25:Q27)</f>
        <v>4134203</v>
      </c>
      <c r="R24" s="302">
        <f t="shared" ref="R24:AK24" si="26">SUM(R25:R27)</f>
        <v>4034757</v>
      </c>
      <c r="S24" s="303">
        <f t="shared" si="26"/>
        <v>3972069</v>
      </c>
      <c r="T24" s="303">
        <f t="shared" si="26"/>
        <v>3976807</v>
      </c>
      <c r="U24" s="303">
        <f t="shared" si="26"/>
        <v>3854993</v>
      </c>
      <c r="V24" s="311">
        <f t="shared" si="26"/>
        <v>3854993</v>
      </c>
      <c r="W24" s="302">
        <f t="shared" si="26"/>
        <v>3787667</v>
      </c>
      <c r="X24" s="303">
        <f t="shared" si="26"/>
        <v>3830816</v>
      </c>
      <c r="Y24" s="303">
        <f t="shared" si="26"/>
        <v>3527904</v>
      </c>
      <c r="Z24" s="303">
        <f t="shared" si="26"/>
        <v>3270338</v>
      </c>
      <c r="AA24" s="311">
        <f t="shared" si="26"/>
        <v>3270338</v>
      </c>
      <c r="AB24" s="302">
        <f t="shared" si="26"/>
        <v>2879090</v>
      </c>
      <c r="AC24" s="303">
        <f t="shared" si="26"/>
        <v>2854301</v>
      </c>
      <c r="AD24" s="303">
        <f t="shared" si="26"/>
        <v>2880161</v>
      </c>
      <c r="AE24" s="303">
        <f t="shared" si="26"/>
        <v>2837553</v>
      </c>
      <c r="AF24" s="311">
        <f t="shared" si="26"/>
        <v>2837553</v>
      </c>
      <c r="AG24" s="303">
        <f t="shared" si="26"/>
        <v>2783184</v>
      </c>
      <c r="AH24" s="303">
        <f t="shared" si="26"/>
        <v>2768818</v>
      </c>
      <c r="AI24" s="303">
        <f>SUM(AI25:AI27)</f>
        <v>2794108</v>
      </c>
      <c r="AJ24" s="303">
        <f t="shared" si="26"/>
        <v>2646869</v>
      </c>
      <c r="AK24" s="311">
        <f t="shared" si="26"/>
        <v>2646869</v>
      </c>
      <c r="AL24" s="303">
        <f>SUM(AL25:AL27)</f>
        <v>2642775</v>
      </c>
      <c r="AM24" s="303">
        <f t="shared" ref="AM24:AP24" si="27">SUM(AM25:AM27)</f>
        <v>2607311</v>
      </c>
      <c r="AN24" s="303">
        <f t="shared" si="27"/>
        <v>2678890</v>
      </c>
      <c r="AO24" s="303">
        <f t="shared" si="27"/>
        <v>2657494</v>
      </c>
      <c r="AP24" s="311">
        <f t="shared" si="27"/>
        <v>2657494</v>
      </c>
      <c r="AQ24" s="303">
        <f>SUM(AQ25:AQ27)</f>
        <v>2638638</v>
      </c>
      <c r="AR24" s="303">
        <f>SUM(AR25:AR27)</f>
        <v>2525224</v>
      </c>
      <c r="AS24" s="303">
        <f t="shared" ref="AS24:AU24" si="28">SUM(AS25:AS27)</f>
        <v>2671239</v>
      </c>
      <c r="AT24" s="303">
        <f t="shared" si="28"/>
        <v>2617813</v>
      </c>
      <c r="AU24" s="311">
        <f t="shared" si="28"/>
        <v>2617813</v>
      </c>
      <c r="AV24" s="303">
        <f>SUM(AV25:AV27)</f>
        <v>2736095</v>
      </c>
      <c r="AW24" s="303">
        <f>SUM(AW25:AW27)</f>
        <v>2595890</v>
      </c>
      <c r="AX24" s="303">
        <f t="shared" ref="AX24:AY24" si="29">SUM(AX25:AX27)</f>
        <v>2630714</v>
      </c>
      <c r="AY24" s="303">
        <f t="shared" si="29"/>
        <v>0</v>
      </c>
      <c r="AZ24" s="311">
        <f>SUM(AZ25:AZ27)</f>
        <v>2630714</v>
      </c>
    </row>
    <row r="25" spans="1:53" s="268" customFormat="1" ht="20.149999999999999" customHeight="1">
      <c r="A25" s="334" t="s">
        <v>617</v>
      </c>
      <c r="B25" s="334" t="s">
        <v>618</v>
      </c>
      <c r="C25" s="267" t="s">
        <v>699</v>
      </c>
      <c r="D25" s="79" t="s">
        <v>699</v>
      </c>
      <c r="E25" s="79" t="s">
        <v>699</v>
      </c>
      <c r="F25" s="79" t="s">
        <v>699</v>
      </c>
      <c r="G25" s="310" t="s">
        <v>699</v>
      </c>
      <c r="H25" s="267">
        <v>85574</v>
      </c>
      <c r="I25" s="79">
        <v>81441</v>
      </c>
      <c r="J25" s="79">
        <v>84538</v>
      </c>
      <c r="K25" s="79">
        <v>77771</v>
      </c>
      <c r="L25" s="310">
        <f>K25</f>
        <v>77771</v>
      </c>
      <c r="M25" s="267">
        <v>81619</v>
      </c>
      <c r="N25" s="79">
        <v>66578</v>
      </c>
      <c r="O25" s="270">
        <v>98136</v>
      </c>
      <c r="P25" s="79">
        <v>122787</v>
      </c>
      <c r="Q25" s="310">
        <v>122787</v>
      </c>
      <c r="R25" s="267">
        <v>66163</v>
      </c>
      <c r="S25" s="79">
        <v>41517</v>
      </c>
      <c r="T25" s="79">
        <v>60471</v>
      </c>
      <c r="U25" s="79">
        <v>31972</v>
      </c>
      <c r="V25" s="310">
        <f>U25</f>
        <v>31972</v>
      </c>
      <c r="W25" s="267">
        <v>35754</v>
      </c>
      <c r="X25" s="79">
        <v>73544</v>
      </c>
      <c r="Y25" s="79">
        <v>44913</v>
      </c>
      <c r="Z25" s="79">
        <v>79306</v>
      </c>
      <c r="AA25" s="310">
        <f>Z25</f>
        <v>79306</v>
      </c>
      <c r="AB25" s="267">
        <v>48224</v>
      </c>
      <c r="AC25" s="79">
        <v>57183</v>
      </c>
      <c r="AD25" s="79">
        <v>63627</v>
      </c>
      <c r="AE25" s="79">
        <v>79561</v>
      </c>
      <c r="AF25" s="310">
        <f>AE25</f>
        <v>79561</v>
      </c>
      <c r="AG25" s="79">
        <v>75159</v>
      </c>
      <c r="AH25" s="79">
        <v>59722</v>
      </c>
      <c r="AI25" s="79">
        <v>91261</v>
      </c>
      <c r="AJ25" s="79">
        <v>95685</v>
      </c>
      <c r="AK25" s="310">
        <v>95685</v>
      </c>
      <c r="AL25" s="79">
        <v>144586</v>
      </c>
      <c r="AM25" s="79">
        <v>87176</v>
      </c>
      <c r="AN25" s="79">
        <v>142886</v>
      </c>
      <c r="AO25" s="79">
        <v>161208</v>
      </c>
      <c r="AP25" s="310">
        <v>161208</v>
      </c>
      <c r="AQ25" s="79">
        <v>171958</v>
      </c>
      <c r="AR25" s="79">
        <v>93292</v>
      </c>
      <c r="AS25" s="79">
        <v>158060</v>
      </c>
      <c r="AT25" s="79">
        <v>114416</v>
      </c>
      <c r="AU25" s="310">
        <f>AT25</f>
        <v>114416</v>
      </c>
      <c r="AV25" s="79">
        <v>224608</v>
      </c>
      <c r="AW25" s="79">
        <v>135476</v>
      </c>
      <c r="AX25" s="79">
        <v>144885</v>
      </c>
      <c r="AY25" s="79"/>
      <c r="AZ25" s="310">
        <f t="shared" ref="AZ25:AZ27" si="30">AX25</f>
        <v>144885</v>
      </c>
    </row>
    <row r="26" spans="1:53" s="268" customFormat="1" ht="20.149999999999999" customHeight="1">
      <c r="A26" s="334" t="s">
        <v>598</v>
      </c>
      <c r="B26" s="334" t="s">
        <v>619</v>
      </c>
      <c r="C26" s="267" t="s">
        <v>699</v>
      </c>
      <c r="D26" s="79" t="s">
        <v>699</v>
      </c>
      <c r="E26" s="79" t="s">
        <v>699</v>
      </c>
      <c r="F26" s="79" t="s">
        <v>699</v>
      </c>
      <c r="G26" s="310" t="s">
        <v>699</v>
      </c>
      <c r="H26" s="267">
        <v>4385742</v>
      </c>
      <c r="I26" s="79">
        <v>4379630</v>
      </c>
      <c r="J26" s="79">
        <v>4475541</v>
      </c>
      <c r="K26" s="79">
        <v>4171810</v>
      </c>
      <c r="L26" s="310">
        <f>K26</f>
        <v>4171810</v>
      </c>
      <c r="M26" s="267">
        <v>4042605</v>
      </c>
      <c r="N26" s="79">
        <v>3923778</v>
      </c>
      <c r="O26" s="270">
        <v>3855669</v>
      </c>
      <c r="P26" s="79">
        <v>3792978</v>
      </c>
      <c r="Q26" s="310">
        <v>3792978</v>
      </c>
      <c r="R26" s="267">
        <v>3775976</v>
      </c>
      <c r="S26" s="79">
        <v>3737282</v>
      </c>
      <c r="T26" s="79">
        <v>3685092</v>
      </c>
      <c r="U26" s="79">
        <v>3591736</v>
      </c>
      <c r="V26" s="310">
        <f t="shared" ref="V26:V27" si="31">U26</f>
        <v>3591736</v>
      </c>
      <c r="W26" s="267">
        <v>3495733</v>
      </c>
      <c r="X26" s="79">
        <v>3473228</v>
      </c>
      <c r="Y26" s="79">
        <v>3223224</v>
      </c>
      <c r="Z26" s="79">
        <v>2972443</v>
      </c>
      <c r="AA26" s="310">
        <f t="shared" ref="AA26:AA27" si="32">Z26</f>
        <v>2972443</v>
      </c>
      <c r="AB26" s="267">
        <v>2646477</v>
      </c>
      <c r="AC26" s="79">
        <v>2616592</v>
      </c>
      <c r="AD26" s="79">
        <v>2623950</v>
      </c>
      <c r="AE26" s="79">
        <v>2579613</v>
      </c>
      <c r="AF26" s="310">
        <f t="shared" ref="AF26:AF27" si="33">AE26</f>
        <v>2579613</v>
      </c>
      <c r="AG26" s="79">
        <v>2539402</v>
      </c>
      <c r="AH26" s="79">
        <v>2545749</v>
      </c>
      <c r="AI26" s="79">
        <v>2550355</v>
      </c>
      <c r="AJ26" s="79">
        <v>2423774</v>
      </c>
      <c r="AK26" s="310">
        <v>2423774</v>
      </c>
      <c r="AL26" s="79">
        <v>2387672</v>
      </c>
      <c r="AM26" s="79">
        <v>2418370</v>
      </c>
      <c r="AN26" s="79">
        <v>2443295</v>
      </c>
      <c r="AO26" s="79">
        <v>2415819</v>
      </c>
      <c r="AP26" s="310">
        <v>2415819</v>
      </c>
      <c r="AQ26" s="79">
        <v>2393373</v>
      </c>
      <c r="AR26" s="79">
        <v>2364248</v>
      </c>
      <c r="AS26" s="79">
        <v>2449237</v>
      </c>
      <c r="AT26" s="79">
        <v>2445873</v>
      </c>
      <c r="AU26" s="310">
        <f>AT26</f>
        <v>2445873</v>
      </c>
      <c r="AV26" s="79">
        <v>2458165</v>
      </c>
      <c r="AW26" s="79">
        <v>2413672</v>
      </c>
      <c r="AX26" s="79">
        <v>2441939</v>
      </c>
      <c r="AY26" s="79"/>
      <c r="AZ26" s="310">
        <f t="shared" si="30"/>
        <v>2441939</v>
      </c>
    </row>
    <row r="27" spans="1:53" s="268" customFormat="1" ht="20.149999999999999" customHeight="1" thickBot="1">
      <c r="A27" s="334" t="s">
        <v>600</v>
      </c>
      <c r="B27" s="334" t="s">
        <v>600</v>
      </c>
      <c r="C27" s="267" t="s">
        <v>699</v>
      </c>
      <c r="D27" s="79" t="s">
        <v>699</v>
      </c>
      <c r="E27" s="79" t="s">
        <v>699</v>
      </c>
      <c r="F27" s="79" t="s">
        <v>699</v>
      </c>
      <c r="G27" s="310" t="s">
        <v>699</v>
      </c>
      <c r="H27" s="267">
        <v>77069</v>
      </c>
      <c r="I27" s="79">
        <v>104248</v>
      </c>
      <c r="J27" s="79">
        <v>159050</v>
      </c>
      <c r="K27" s="79">
        <v>218946</v>
      </c>
      <c r="L27" s="310">
        <f>K27</f>
        <v>218946</v>
      </c>
      <c r="M27" s="267">
        <v>226101</v>
      </c>
      <c r="N27" s="79">
        <v>236772</v>
      </c>
      <c r="O27" s="270">
        <v>265389</v>
      </c>
      <c r="P27" s="79">
        <v>218438</v>
      </c>
      <c r="Q27" s="310">
        <v>218438</v>
      </c>
      <c r="R27" s="267">
        <v>192618</v>
      </c>
      <c r="S27" s="79">
        <v>193270</v>
      </c>
      <c r="T27" s="79">
        <v>231244</v>
      </c>
      <c r="U27" s="79">
        <v>231285</v>
      </c>
      <c r="V27" s="310">
        <f t="shared" si="31"/>
        <v>231285</v>
      </c>
      <c r="W27" s="267">
        <v>256180</v>
      </c>
      <c r="X27" s="79">
        <v>284044</v>
      </c>
      <c r="Y27" s="79">
        <v>259767</v>
      </c>
      <c r="Z27" s="79">
        <v>218589</v>
      </c>
      <c r="AA27" s="310">
        <f t="shared" si="32"/>
        <v>218589</v>
      </c>
      <c r="AB27" s="267">
        <v>184389</v>
      </c>
      <c r="AC27" s="79">
        <v>180526</v>
      </c>
      <c r="AD27" s="79">
        <v>192584</v>
      </c>
      <c r="AE27" s="79">
        <v>178379</v>
      </c>
      <c r="AF27" s="310">
        <f t="shared" si="33"/>
        <v>178379</v>
      </c>
      <c r="AG27" s="79">
        <v>168623</v>
      </c>
      <c r="AH27" s="79">
        <v>163347</v>
      </c>
      <c r="AI27" s="79">
        <v>152492</v>
      </c>
      <c r="AJ27" s="79">
        <v>127410</v>
      </c>
      <c r="AK27" s="310">
        <v>127410</v>
      </c>
      <c r="AL27" s="79">
        <v>110517</v>
      </c>
      <c r="AM27" s="79">
        <v>101765</v>
      </c>
      <c r="AN27" s="79">
        <v>92709</v>
      </c>
      <c r="AO27" s="79">
        <v>80467</v>
      </c>
      <c r="AP27" s="310">
        <v>80467</v>
      </c>
      <c r="AQ27" s="79">
        <v>73307</v>
      </c>
      <c r="AR27" s="79">
        <v>67684</v>
      </c>
      <c r="AS27" s="79">
        <v>63942</v>
      </c>
      <c r="AT27" s="79">
        <v>57524</v>
      </c>
      <c r="AU27" s="310">
        <f>AT27</f>
        <v>57524</v>
      </c>
      <c r="AV27" s="79">
        <v>53322</v>
      </c>
      <c r="AW27" s="79">
        <v>46742</v>
      </c>
      <c r="AX27" s="79">
        <v>43890</v>
      </c>
      <c r="AY27" s="79"/>
      <c r="AZ27" s="310">
        <f t="shared" si="30"/>
        <v>43890</v>
      </c>
    </row>
    <row r="28" spans="1:53" s="309" customFormat="1" ht="20.149999999999999" customHeight="1" thickBot="1">
      <c r="A28" s="307" t="s">
        <v>722</v>
      </c>
      <c r="B28" s="308" t="s">
        <v>723</v>
      </c>
      <c r="C28" s="305" t="s">
        <v>699</v>
      </c>
      <c r="D28" s="306" t="s">
        <v>699</v>
      </c>
      <c r="E28" s="306" t="s">
        <v>699</v>
      </c>
      <c r="F28" s="306" t="s">
        <v>699</v>
      </c>
      <c r="G28" s="304" t="s">
        <v>699</v>
      </c>
      <c r="H28" s="305">
        <v>18</v>
      </c>
      <c r="I28" s="306">
        <v>19.2</v>
      </c>
      <c r="J28" s="306">
        <v>18.2</v>
      </c>
      <c r="K28" s="306">
        <v>17.5</v>
      </c>
      <c r="L28" s="304">
        <v>18.2</v>
      </c>
      <c r="M28" s="305">
        <v>16.5</v>
      </c>
      <c r="N28" s="306">
        <v>17.899999999999999</v>
      </c>
      <c r="O28" s="306">
        <v>18.3</v>
      </c>
      <c r="P28" s="306">
        <v>18.2</v>
      </c>
      <c r="Q28" s="304">
        <v>17.7</v>
      </c>
      <c r="R28" s="305">
        <v>17.3</v>
      </c>
      <c r="S28" s="306">
        <v>18.3</v>
      </c>
      <c r="T28" s="306">
        <v>19</v>
      </c>
      <c r="U28" s="306">
        <v>18.5</v>
      </c>
      <c r="V28" s="304">
        <v>18.3</v>
      </c>
      <c r="W28" s="305">
        <v>17.7</v>
      </c>
      <c r="X28" s="306">
        <v>18.899999999999999</v>
      </c>
      <c r="Y28" s="306">
        <v>18.7</v>
      </c>
      <c r="Z28" s="306">
        <v>19.2</v>
      </c>
      <c r="AA28" s="304">
        <v>18.600000000000001</v>
      </c>
      <c r="AB28" s="305">
        <v>18.7</v>
      </c>
      <c r="AC28" s="306">
        <v>20.5</v>
      </c>
      <c r="AD28" s="306">
        <v>20.2</v>
      </c>
      <c r="AE28" s="306">
        <v>20.100000000000001</v>
      </c>
      <c r="AF28" s="304">
        <v>19.899999999999999</v>
      </c>
      <c r="AG28" s="306">
        <v>20.100000000000001</v>
      </c>
      <c r="AH28" s="306">
        <v>20.399999999999999</v>
      </c>
      <c r="AI28" s="306">
        <v>20.8</v>
      </c>
      <c r="AJ28" s="306">
        <v>20.3</v>
      </c>
      <c r="AK28" s="304">
        <v>20.399999999999999</v>
      </c>
      <c r="AL28" s="306">
        <v>20.100000000000001</v>
      </c>
      <c r="AM28" s="306">
        <v>20.8</v>
      </c>
      <c r="AN28" s="306">
        <v>20.8</v>
      </c>
      <c r="AO28" s="306">
        <v>20.3</v>
      </c>
      <c r="AP28" s="304">
        <v>20.5</v>
      </c>
      <c r="AQ28" s="306">
        <v>20.7</v>
      </c>
      <c r="AR28" s="306">
        <v>21.4</v>
      </c>
      <c r="AS28" s="306">
        <v>21.5</v>
      </c>
      <c r="AT28" s="306">
        <v>21.8</v>
      </c>
      <c r="AU28" s="304">
        <v>21.4</v>
      </c>
      <c r="AV28" s="306">
        <v>21.5</v>
      </c>
      <c r="AW28" s="306">
        <v>21.967114718613772</v>
      </c>
      <c r="AX28" s="306">
        <v>21.4</v>
      </c>
      <c r="AY28" s="306"/>
      <c r="AZ28" s="304">
        <v>21.61653706970829</v>
      </c>
    </row>
    <row r="29" spans="1:53" s="268" customFormat="1" ht="20.149999999999999" customHeight="1" thickBot="1">
      <c r="A29" s="337" t="s">
        <v>717</v>
      </c>
      <c r="B29" s="338" t="s">
        <v>724</v>
      </c>
      <c r="C29" s="302" t="s">
        <v>699</v>
      </c>
      <c r="D29" s="303" t="s">
        <v>699</v>
      </c>
      <c r="E29" s="303" t="s">
        <v>699</v>
      </c>
      <c r="F29" s="303" t="s">
        <v>699</v>
      </c>
      <c r="G29" s="311" t="s">
        <v>699</v>
      </c>
      <c r="H29" s="302">
        <f>SUM(H30:H32)</f>
        <v>4549031</v>
      </c>
      <c r="I29" s="303">
        <f t="shared" ref="I29:N29" si="34">SUM(I30:I32)</f>
        <v>4532090</v>
      </c>
      <c r="J29" s="303">
        <f t="shared" si="34"/>
        <v>4635182</v>
      </c>
      <c r="K29" s="303">
        <f t="shared" si="34"/>
        <v>4599374</v>
      </c>
      <c r="L29" s="311">
        <f t="shared" si="34"/>
        <v>4578919.25</v>
      </c>
      <c r="M29" s="302">
        <f t="shared" si="34"/>
        <v>4398038</v>
      </c>
      <c r="N29" s="303">
        <f t="shared" si="34"/>
        <v>4285747</v>
      </c>
      <c r="O29" s="303">
        <f>SUM(O30:O32)</f>
        <v>4212274</v>
      </c>
      <c r="P29" s="303">
        <f>SUM(P30:P32)</f>
        <v>4172129</v>
      </c>
      <c r="Q29" s="311">
        <f>SUM(Q30:Q32)</f>
        <v>4267047</v>
      </c>
      <c r="R29" s="302">
        <f t="shared" ref="R29:AU29" si="35">SUM(R30:R32)</f>
        <v>4068646</v>
      </c>
      <c r="S29" s="303">
        <f t="shared" si="35"/>
        <v>4006108</v>
      </c>
      <c r="T29" s="303">
        <f t="shared" si="35"/>
        <v>3970091</v>
      </c>
      <c r="U29" s="303">
        <f t="shared" si="35"/>
        <v>3917979</v>
      </c>
      <c r="V29" s="311">
        <f t="shared" si="35"/>
        <v>3990706</v>
      </c>
      <c r="W29" s="302">
        <f t="shared" si="35"/>
        <v>3801870</v>
      </c>
      <c r="X29" s="303">
        <f t="shared" si="35"/>
        <v>3794613</v>
      </c>
      <c r="Y29" s="303">
        <f t="shared" si="35"/>
        <v>3713417</v>
      </c>
      <c r="Z29" s="303">
        <f t="shared" si="35"/>
        <v>3341220</v>
      </c>
      <c r="AA29" s="311">
        <f t="shared" si="35"/>
        <v>3662780</v>
      </c>
      <c r="AB29" s="302">
        <f t="shared" si="35"/>
        <v>3050604</v>
      </c>
      <c r="AC29" s="303">
        <f t="shared" si="35"/>
        <v>2882155</v>
      </c>
      <c r="AD29" s="303">
        <f t="shared" si="35"/>
        <v>2863783</v>
      </c>
      <c r="AE29" s="303">
        <f t="shared" si="35"/>
        <v>2851766</v>
      </c>
      <c r="AF29" s="311">
        <f t="shared" si="35"/>
        <v>2912076</v>
      </c>
      <c r="AG29" s="303">
        <f t="shared" si="35"/>
        <v>2789695</v>
      </c>
      <c r="AH29" s="303">
        <f t="shared" si="35"/>
        <v>2771707.333333333</v>
      </c>
      <c r="AI29" s="303">
        <f t="shared" si="35"/>
        <v>2774199</v>
      </c>
      <c r="AJ29" s="303">
        <f t="shared" si="35"/>
        <v>2745638</v>
      </c>
      <c r="AK29" s="311">
        <f t="shared" si="35"/>
        <v>2770309</v>
      </c>
      <c r="AL29" s="303">
        <f t="shared" si="35"/>
        <v>2613613</v>
      </c>
      <c r="AM29" s="303">
        <f t="shared" si="35"/>
        <v>2616887</v>
      </c>
      <c r="AN29" s="303">
        <f t="shared" si="35"/>
        <v>2633673</v>
      </c>
      <c r="AO29" s="303">
        <f t="shared" si="35"/>
        <v>2656703</v>
      </c>
      <c r="AP29" s="311">
        <f t="shared" si="35"/>
        <v>2630219</v>
      </c>
      <c r="AQ29" s="303">
        <f t="shared" si="35"/>
        <v>2604742</v>
      </c>
      <c r="AR29" s="303">
        <f t="shared" si="35"/>
        <v>2591758</v>
      </c>
      <c r="AS29" s="303">
        <f t="shared" si="35"/>
        <v>2612383</v>
      </c>
      <c r="AT29" s="303">
        <f t="shared" si="35"/>
        <v>2687327</v>
      </c>
      <c r="AU29" s="311">
        <f t="shared" si="35"/>
        <v>2624052.4583333335</v>
      </c>
      <c r="AV29" s="303">
        <f t="shared" ref="AV29:AZ29" si="36">SUM(AV30:AV32)</f>
        <v>2638165</v>
      </c>
      <c r="AW29" s="303">
        <f t="shared" si="36"/>
        <v>2651956.8333333335</v>
      </c>
      <c r="AX29" s="303">
        <f t="shared" si="36"/>
        <v>2596767</v>
      </c>
      <c r="AY29" s="303">
        <f t="shared" si="36"/>
        <v>0</v>
      </c>
      <c r="AZ29" s="311">
        <f t="shared" si="36"/>
        <v>2628962.7222222225</v>
      </c>
    </row>
    <row r="30" spans="1:53" s="268" customFormat="1" ht="20.149999999999999" customHeight="1">
      <c r="A30" s="334" t="s">
        <v>617</v>
      </c>
      <c r="B30" s="334" t="s">
        <v>618</v>
      </c>
      <c r="C30" s="267" t="s">
        <v>699</v>
      </c>
      <c r="D30" s="79" t="s">
        <v>699</v>
      </c>
      <c r="E30" s="79" t="s">
        <v>699</v>
      </c>
      <c r="F30" s="79" t="s">
        <v>699</v>
      </c>
      <c r="G30" s="310" t="s">
        <v>699</v>
      </c>
      <c r="H30" s="267">
        <v>78707</v>
      </c>
      <c r="I30" s="79">
        <v>73828</v>
      </c>
      <c r="J30" s="79">
        <v>68740</v>
      </c>
      <c r="K30" s="79">
        <v>77953</v>
      </c>
      <c r="L30" s="310">
        <f>AVERAGE(H30:K30)</f>
        <v>74807</v>
      </c>
      <c r="M30" s="267">
        <v>77779</v>
      </c>
      <c r="N30" s="79">
        <v>79253</v>
      </c>
      <c r="O30" s="270">
        <v>69522</v>
      </c>
      <c r="P30" s="79">
        <v>129021</v>
      </c>
      <c r="Q30" s="310">
        <v>88894</v>
      </c>
      <c r="R30" s="267">
        <v>67972</v>
      </c>
      <c r="S30" s="79">
        <v>61165</v>
      </c>
      <c r="T30" s="79">
        <v>41313</v>
      </c>
      <c r="U30" s="79">
        <v>56743</v>
      </c>
      <c r="V30" s="310">
        <v>56798</v>
      </c>
      <c r="W30" s="267">
        <v>36255</v>
      </c>
      <c r="X30" s="79">
        <v>52114</v>
      </c>
      <c r="Y30" s="79">
        <v>42971</v>
      </c>
      <c r="Z30" s="79">
        <v>54083</v>
      </c>
      <c r="AA30" s="310">
        <v>46356</v>
      </c>
      <c r="AB30" s="267">
        <v>48659</v>
      </c>
      <c r="AC30" s="79">
        <v>69132</v>
      </c>
      <c r="AD30" s="79">
        <v>54950</v>
      </c>
      <c r="AE30" s="79">
        <v>65088</v>
      </c>
      <c r="AF30" s="310">
        <v>59457</v>
      </c>
      <c r="AG30" s="79">
        <v>58222</v>
      </c>
      <c r="AH30" s="79">
        <v>69503.166666666672</v>
      </c>
      <c r="AI30" s="79">
        <v>58358</v>
      </c>
      <c r="AJ30" s="79">
        <v>95346</v>
      </c>
      <c r="AK30" s="310">
        <v>70357</v>
      </c>
      <c r="AL30" s="79">
        <v>91940</v>
      </c>
      <c r="AM30" s="79">
        <v>113249</v>
      </c>
      <c r="AN30" s="79">
        <v>94727</v>
      </c>
      <c r="AO30" s="79">
        <v>145284</v>
      </c>
      <c r="AP30" s="310">
        <v>111300</v>
      </c>
      <c r="AQ30" s="79">
        <v>122482</v>
      </c>
      <c r="AR30" s="79">
        <v>160079</v>
      </c>
      <c r="AS30" s="79">
        <v>131105</v>
      </c>
      <c r="AT30" s="79">
        <v>176926</v>
      </c>
      <c r="AU30" s="310">
        <v>147648</v>
      </c>
      <c r="AV30" s="79">
        <v>140172</v>
      </c>
      <c r="AW30" s="79">
        <v>188256.66666666666</v>
      </c>
      <c r="AX30" s="79">
        <v>118857</v>
      </c>
      <c r="AY30" s="79"/>
      <c r="AZ30" s="310">
        <v>149094.94444444444</v>
      </c>
    </row>
    <row r="31" spans="1:53" s="268" customFormat="1" ht="20.149999999999999" customHeight="1">
      <c r="A31" s="334" t="s">
        <v>598</v>
      </c>
      <c r="B31" s="334" t="s">
        <v>619</v>
      </c>
      <c r="C31" s="267" t="s">
        <v>699</v>
      </c>
      <c r="D31" s="79" t="s">
        <v>699</v>
      </c>
      <c r="E31" s="79" t="s">
        <v>699</v>
      </c>
      <c r="F31" s="79" t="s">
        <v>699</v>
      </c>
      <c r="G31" s="310" t="s">
        <v>699</v>
      </c>
      <c r="H31" s="267">
        <v>4397976</v>
      </c>
      <c r="I31" s="79">
        <v>4370181</v>
      </c>
      <c r="J31" s="79">
        <v>4431149</v>
      </c>
      <c r="K31" s="79">
        <v>4338987</v>
      </c>
      <c r="L31" s="310">
        <f t="shared" ref="L31:L32" si="37">AVERAGE(H31:K31)</f>
        <v>4384573.25</v>
      </c>
      <c r="M31" s="267">
        <v>4091609</v>
      </c>
      <c r="N31" s="79">
        <v>3975410</v>
      </c>
      <c r="O31" s="270">
        <v>3893375</v>
      </c>
      <c r="P31" s="79">
        <v>3798701</v>
      </c>
      <c r="Q31" s="310">
        <v>3939774</v>
      </c>
      <c r="R31" s="267">
        <v>3797423</v>
      </c>
      <c r="S31" s="79">
        <v>3755130</v>
      </c>
      <c r="T31" s="79">
        <v>3713656</v>
      </c>
      <c r="U31" s="79">
        <v>3630863</v>
      </c>
      <c r="V31" s="310">
        <v>3724268</v>
      </c>
      <c r="W31" s="267">
        <v>3529840</v>
      </c>
      <c r="X31" s="79">
        <v>3473104</v>
      </c>
      <c r="Y31" s="79">
        <v>3386794</v>
      </c>
      <c r="Z31" s="79">
        <v>3058691</v>
      </c>
      <c r="AA31" s="310">
        <v>3362107</v>
      </c>
      <c r="AB31" s="267">
        <v>2800366</v>
      </c>
      <c r="AC31" s="79">
        <v>2631773</v>
      </c>
      <c r="AD31" s="79">
        <v>2620575</v>
      </c>
      <c r="AE31" s="79">
        <v>2601552</v>
      </c>
      <c r="AF31" s="310">
        <v>2663566</v>
      </c>
      <c r="AG31" s="79">
        <v>2558174</v>
      </c>
      <c r="AH31" s="79">
        <v>2536844.1666666665</v>
      </c>
      <c r="AI31" s="79">
        <v>2555414</v>
      </c>
      <c r="AJ31" s="79">
        <v>2511226</v>
      </c>
      <c r="AK31" s="310">
        <v>2540414</v>
      </c>
      <c r="AL31" s="79">
        <v>2403135</v>
      </c>
      <c r="AM31" s="79">
        <v>2398016</v>
      </c>
      <c r="AN31" s="79">
        <v>2441160</v>
      </c>
      <c r="AO31" s="79">
        <v>2425301</v>
      </c>
      <c r="AP31" s="310">
        <v>2416903</v>
      </c>
      <c r="AQ31" s="79">
        <v>2405796</v>
      </c>
      <c r="AR31" s="79">
        <v>2361397</v>
      </c>
      <c r="AS31" s="79">
        <v>2414825</v>
      </c>
      <c r="AT31" s="79">
        <v>2449774</v>
      </c>
      <c r="AU31" s="310">
        <v>2407948</v>
      </c>
      <c r="AV31" s="79">
        <v>2442879</v>
      </c>
      <c r="AW31" s="79">
        <v>2415289.8333333335</v>
      </c>
      <c r="AX31" s="79">
        <v>2432438</v>
      </c>
      <c r="AY31" s="79"/>
      <c r="AZ31" s="310">
        <v>2430202.3333333335</v>
      </c>
    </row>
    <row r="32" spans="1:53" s="268" customFormat="1" ht="20.149999999999999" customHeight="1" thickBot="1">
      <c r="A32" s="335" t="s">
        <v>600</v>
      </c>
      <c r="B32" s="335" t="s">
        <v>600</v>
      </c>
      <c r="C32" s="283" t="s">
        <v>699</v>
      </c>
      <c r="D32" s="716" t="s">
        <v>699</v>
      </c>
      <c r="E32" s="716" t="s">
        <v>699</v>
      </c>
      <c r="F32" s="716" t="s">
        <v>699</v>
      </c>
      <c r="G32" s="336" t="s">
        <v>699</v>
      </c>
      <c r="H32" s="283">
        <v>72348</v>
      </c>
      <c r="I32" s="716">
        <v>88081</v>
      </c>
      <c r="J32" s="716">
        <v>135293</v>
      </c>
      <c r="K32" s="716">
        <v>182434</v>
      </c>
      <c r="L32" s="336">
        <f t="shared" si="37"/>
        <v>119539</v>
      </c>
      <c r="M32" s="283">
        <v>228650</v>
      </c>
      <c r="N32" s="716">
        <v>231084</v>
      </c>
      <c r="O32" s="717">
        <v>249377</v>
      </c>
      <c r="P32" s="716">
        <v>244407</v>
      </c>
      <c r="Q32" s="336">
        <v>238379</v>
      </c>
      <c r="R32" s="283">
        <v>203251</v>
      </c>
      <c r="S32" s="716">
        <v>189813</v>
      </c>
      <c r="T32" s="716">
        <v>215122</v>
      </c>
      <c r="U32" s="716">
        <v>230373</v>
      </c>
      <c r="V32" s="336">
        <v>209640</v>
      </c>
      <c r="W32" s="283">
        <v>235775</v>
      </c>
      <c r="X32" s="716">
        <v>269395</v>
      </c>
      <c r="Y32" s="716">
        <v>283652</v>
      </c>
      <c r="Z32" s="716">
        <v>228446</v>
      </c>
      <c r="AA32" s="336">
        <v>254317</v>
      </c>
      <c r="AB32" s="283">
        <v>201579</v>
      </c>
      <c r="AC32" s="716">
        <v>181250</v>
      </c>
      <c r="AD32" s="716">
        <v>188258</v>
      </c>
      <c r="AE32" s="716">
        <v>185126</v>
      </c>
      <c r="AF32" s="336">
        <v>189053</v>
      </c>
      <c r="AG32" s="716">
        <v>173299</v>
      </c>
      <c r="AH32" s="716">
        <v>165360</v>
      </c>
      <c r="AI32" s="716">
        <v>160427</v>
      </c>
      <c r="AJ32" s="716">
        <v>139066</v>
      </c>
      <c r="AK32" s="336">
        <v>159538</v>
      </c>
      <c r="AL32" s="716">
        <v>118538</v>
      </c>
      <c r="AM32" s="716">
        <v>105622</v>
      </c>
      <c r="AN32" s="716">
        <v>97786</v>
      </c>
      <c r="AO32" s="716">
        <v>86118</v>
      </c>
      <c r="AP32" s="336">
        <v>102016</v>
      </c>
      <c r="AQ32" s="716">
        <v>76464</v>
      </c>
      <c r="AR32" s="716">
        <v>70282</v>
      </c>
      <c r="AS32" s="716">
        <v>66453</v>
      </c>
      <c r="AT32" s="716">
        <v>60627</v>
      </c>
      <c r="AU32" s="336">
        <v>68456.458333333299</v>
      </c>
      <c r="AV32" s="716">
        <v>55114</v>
      </c>
      <c r="AW32" s="716">
        <v>48410.333333333336</v>
      </c>
      <c r="AX32" s="716">
        <v>45472</v>
      </c>
      <c r="AY32" s="716"/>
      <c r="AZ32" s="336">
        <v>49665.444444444445</v>
      </c>
    </row>
    <row r="33" spans="1:37" ht="20.149999999999999" customHeight="1"/>
    <row r="34" spans="1:37" ht="36">
      <c r="A34" s="284" t="s">
        <v>725</v>
      </c>
      <c r="B34" s="284" t="s">
        <v>726</v>
      </c>
      <c r="O34" s="285"/>
      <c r="P34" s="285"/>
      <c r="Q34" s="285"/>
      <c r="R34" s="285"/>
      <c r="S34" s="285"/>
      <c r="T34" s="285"/>
      <c r="U34" s="285"/>
      <c r="V34" s="285"/>
      <c r="W34" s="285"/>
      <c r="X34" s="285"/>
      <c r="Y34" s="285"/>
      <c r="Z34" s="285"/>
      <c r="AA34" s="285"/>
      <c r="AB34" s="285"/>
      <c r="AC34" s="285"/>
      <c r="AD34" s="285"/>
      <c r="AE34" s="285"/>
      <c r="AF34" s="285"/>
      <c r="AG34" s="285"/>
      <c r="AH34" s="285"/>
      <c r="AI34" s="285"/>
      <c r="AJ34" s="285"/>
      <c r="AK34" s="285"/>
    </row>
    <row r="35" spans="1:37" ht="36">
      <c r="A35" s="284" t="s">
        <v>727</v>
      </c>
      <c r="B35" s="284" t="s">
        <v>728</v>
      </c>
      <c r="O35" s="285"/>
      <c r="P35" s="285"/>
      <c r="Q35" s="285"/>
      <c r="R35" s="285"/>
      <c r="S35" s="285"/>
      <c r="T35" s="285"/>
      <c r="U35" s="285"/>
      <c r="V35" s="285"/>
      <c r="W35" s="285"/>
      <c r="X35" s="285"/>
      <c r="Y35" s="285"/>
      <c r="Z35" s="285"/>
      <c r="AA35" s="285"/>
      <c r="AB35" s="285"/>
      <c r="AC35" s="285"/>
      <c r="AD35" s="285"/>
      <c r="AE35" s="285"/>
      <c r="AF35" s="285"/>
      <c r="AG35" s="285"/>
      <c r="AH35" s="285"/>
      <c r="AI35" s="285"/>
      <c r="AJ35" s="285"/>
      <c r="AK35" s="285"/>
    </row>
    <row r="36" spans="1:37" ht="48">
      <c r="A36" s="286" t="s">
        <v>729</v>
      </c>
      <c r="B36" s="284" t="s">
        <v>730</v>
      </c>
      <c r="C36" s="287"/>
      <c r="D36" s="287"/>
      <c r="E36" s="287"/>
      <c r="F36" s="287"/>
      <c r="G36" s="287"/>
      <c r="H36" s="287"/>
      <c r="I36" s="287"/>
      <c r="J36" s="287"/>
      <c r="O36" s="285"/>
      <c r="P36" s="285"/>
      <c r="Q36" s="285"/>
      <c r="R36" s="285"/>
      <c r="S36" s="285"/>
      <c r="T36" s="285"/>
      <c r="U36" s="285"/>
      <c r="V36" s="285"/>
      <c r="W36" s="285"/>
      <c r="X36" s="285"/>
      <c r="Y36" s="285"/>
      <c r="Z36" s="285"/>
      <c r="AA36" s="285"/>
      <c r="AB36" s="285"/>
      <c r="AC36" s="285"/>
      <c r="AD36" s="285"/>
      <c r="AE36" s="285"/>
      <c r="AF36" s="285"/>
      <c r="AG36" s="285"/>
      <c r="AH36" s="285"/>
      <c r="AI36" s="285"/>
      <c r="AJ36" s="285"/>
      <c r="AK36" s="285"/>
    </row>
    <row r="37" spans="1:37" ht="132" customHeight="1">
      <c r="A37" s="286" t="s">
        <v>731</v>
      </c>
      <c r="B37" s="284" t="s">
        <v>732</v>
      </c>
      <c r="C37" s="287"/>
      <c r="D37" s="287"/>
      <c r="E37" s="287"/>
      <c r="F37" s="287"/>
      <c r="G37" s="287"/>
      <c r="H37" s="287"/>
      <c r="I37" s="287"/>
      <c r="J37" s="287"/>
      <c r="K37" s="287"/>
      <c r="L37" s="287"/>
      <c r="M37" s="287"/>
      <c r="N37" s="287"/>
      <c r="O37" s="286"/>
      <c r="P37" s="286"/>
      <c r="Q37" s="286"/>
      <c r="R37" s="286"/>
      <c r="S37" s="286"/>
      <c r="T37" s="286"/>
    </row>
    <row r="38" spans="1:37" ht="36">
      <c r="A38" s="286" t="s">
        <v>733</v>
      </c>
      <c r="B38" s="284" t="s">
        <v>734</v>
      </c>
      <c r="C38" s="287"/>
      <c r="D38" s="287"/>
      <c r="E38" s="287"/>
      <c r="F38" s="287"/>
      <c r="G38" s="287"/>
      <c r="H38" s="287"/>
      <c r="I38" s="287"/>
      <c r="J38" s="287"/>
      <c r="K38" s="287"/>
      <c r="L38" s="287"/>
      <c r="M38" s="287"/>
      <c r="N38" s="287"/>
      <c r="O38" s="285"/>
      <c r="P38" s="285"/>
      <c r="Q38" s="285"/>
      <c r="R38" s="285"/>
      <c r="S38" s="285"/>
      <c r="T38" s="285"/>
      <c r="U38" s="285"/>
      <c r="V38" s="285"/>
      <c r="W38" s="285"/>
      <c r="X38" s="285"/>
      <c r="Y38" s="285"/>
      <c r="Z38" s="285"/>
      <c r="AA38" s="285"/>
      <c r="AB38" s="285"/>
      <c r="AC38" s="285"/>
      <c r="AD38" s="285"/>
      <c r="AE38" s="285"/>
      <c r="AF38" s="285"/>
      <c r="AG38" s="285"/>
      <c r="AH38" s="285"/>
      <c r="AI38" s="285"/>
      <c r="AJ38" s="285"/>
      <c r="AK38" s="285"/>
    </row>
    <row r="39" spans="1:37" ht="72">
      <c r="A39" s="284" t="s">
        <v>735</v>
      </c>
      <c r="B39" s="284" t="s">
        <v>736</v>
      </c>
    </row>
    <row r="40" spans="1:37" ht="20.149999999999999" customHeight="1"/>
    <row r="41" spans="1:37" ht="20.149999999999999" customHeight="1"/>
    <row r="42" spans="1:37" ht="20.149999999999999" customHeight="1"/>
    <row r="43" spans="1:37" ht="20.149999999999999" customHeight="1"/>
    <row r="44" spans="1:37" ht="20.149999999999999" customHeight="1"/>
    <row r="45" spans="1:37" ht="20.149999999999999" customHeight="1"/>
    <row r="46" spans="1:37" ht="20.149999999999999" customHeight="1"/>
    <row r="47" spans="1:37" ht="20.149999999999999" customHeight="1"/>
    <row r="48" spans="1:37" ht="20.149999999999999" customHeight="1"/>
    <row r="49" ht="20.149999999999999" customHeight="1"/>
    <row r="50" ht="20.149999999999999" customHeight="1"/>
    <row r="51" ht="20.149999999999999" customHeight="1"/>
    <row r="52" ht="20.149999999999999" customHeight="1"/>
    <row r="53" ht="20.149999999999999" customHeight="1"/>
    <row r="54" ht="20.149999999999999" customHeight="1"/>
    <row r="55" ht="20.149999999999999" customHeight="1"/>
    <row r="56" ht="20.149999999999999" customHeight="1"/>
  </sheetData>
  <customSheetViews>
    <customSheetView guid="{ED9E521F-BC9B-4E88-8A9F-5288A046401B}" scale="70" showPageBreaks="1" showGridLines="0" fitToPage="1" printArea="1" hiddenRows="1">
      <selection activeCell="A12" sqref="A12"/>
      <pageMargins left="0" right="0" top="0" bottom="0" header="0" footer="0"/>
      <pageSetup paperSize="9" scale="45" orientation="landscape" horizontalDpi="4294967294" r:id="rId1"/>
    </customSheetView>
    <customSheetView guid="{634BFE77-A2AA-4FA6-8ED5-F02244B9F10C}" scale="90" showPageBreaks="1" showGridLines="0" fitToPage="1" printArea="1" hiddenRows="1" hiddenColumns="1">
      <pane xSplit="31" ySplit="5" topLeftCell="AL6" activePane="bottomRight" state="frozen"/>
      <selection pane="bottomRight" activeCell="AV32" sqref="AV32"/>
      <pageMargins left="0" right="0" top="0" bottom="0" header="0" footer="0"/>
      <pageSetup paperSize="9" scale="53" orientation="landscape" horizontalDpi="4294967294" r:id="rId2"/>
      <headerFooter>
        <oddFooter>&amp;C&amp;1#&amp;"Calibri"&amp;8&amp;K000000TAJEMNICA PRZEDSIĘBIORSTWA – DO UŻYTKU SŁUŻBOWEGO, w rozumieniu art. 11 ust. 4 ustawy z dnia 16 kwietnia 1993 r. o zwalczaniu nieuczciwej konkurencji.</oddFooter>
      </headerFooter>
    </customSheetView>
    <customSheetView guid="{0581D693-F741-454A-848A-FCD54BC91A66}" scale="90" showPageBreaks="1" showGridLines="0" fitToPage="1" printArea="1" hiddenRows="1" hiddenColumns="1">
      <pane xSplit="31" ySplit="5" topLeftCell="AL6" activePane="bottomRight" state="frozen"/>
      <selection pane="bottomRight" activeCell="BA12" sqref="BA12"/>
      <pageMargins left="0" right="0" top="0" bottom="0" header="0" footer="0"/>
      <pageSetup paperSize="9" scale="52" orientation="landscape" horizontalDpi="4294967294" r:id="rId3"/>
    </customSheetView>
    <customSheetView guid="{B87BD74C-18F3-4393-BF03-31B25889E08F}" scale="90" showGridLines="0" fitToPage="1" hiddenRows="1" hiddenColumns="1">
      <pane xSplit="31" ySplit="5" topLeftCell="AV6" activePane="bottomRight" state="frozen"/>
      <selection pane="bottomRight" activeCell="BB2" sqref="BB2"/>
      <pageMargins left="0" right="0" top="0" bottom="0" header="0" footer="0"/>
      <pageSetup paperSize="9" scale="53" orientation="landscape" horizontalDpi="4294967294" r:id="rId4"/>
    </customSheetView>
  </customSheetViews>
  <mergeCells count="21">
    <mergeCell ref="AB3:AE3"/>
    <mergeCell ref="A2:O2"/>
    <mergeCell ref="C3:F3"/>
    <mergeCell ref="G3:G4"/>
    <mergeCell ref="H3:K3"/>
    <mergeCell ref="L3:L4"/>
    <mergeCell ref="M3:P3"/>
    <mergeCell ref="Q3:Q4"/>
    <mergeCell ref="R3:U3"/>
    <mergeCell ref="V3:V4"/>
    <mergeCell ref="W3:Z3"/>
    <mergeCell ref="AA3:AA4"/>
    <mergeCell ref="AV3:AY3"/>
    <mergeCell ref="AZ3:AZ4"/>
    <mergeCell ref="AU3:AU4"/>
    <mergeCell ref="AF3:AF4"/>
    <mergeCell ref="AG3:AJ3"/>
    <mergeCell ref="AK3:AK4"/>
    <mergeCell ref="AL3:AO3"/>
    <mergeCell ref="AP3:AP4"/>
    <mergeCell ref="AQ3:AT3"/>
  </mergeCells>
  <pageMargins left="0.7" right="0.7" top="0.75" bottom="0.75" header="0.3" footer="0.3"/>
  <pageSetup paperSize="9" scale="45" orientation="landscape" horizontalDpi="4294967294" r:id="rId5"/>
  <headerFooter>
    <oddFooter>&amp;L&amp;1#&amp;"Calibri"&amp;8&amp;K000000TAJEMNICA PRZEDSIĘBIORSTWA w rozumieniu art. 11 ust. 2 ustawy z dnia 16 kwietnia 1993 r. o zwalczaniu nieuczciwej konkurencji – DO UŻYTKU SŁUŻBOWEGO</oddFooter>
  </headerFooter>
  <drawing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4ef9d45-7c5b-433e-98b2-0b7979b96efb">
      <Terms xmlns="http://schemas.microsoft.com/office/infopath/2007/PartnerControls"/>
    </lcf76f155ced4ddcb4097134ff3c332f>
    <TaxCatchAll xmlns="380674f5-ae6e-4398-ae1a-e3b039baab9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0C94D8E5B085244EA1243650C0689C53" ma:contentTypeVersion="16" ma:contentTypeDescription="Utwórz nowy dokument." ma:contentTypeScope="" ma:versionID="88ccadfaa0f5ff598dd1f81930e4a9af">
  <xsd:schema xmlns:xsd="http://www.w3.org/2001/XMLSchema" xmlns:xs="http://www.w3.org/2001/XMLSchema" xmlns:p="http://schemas.microsoft.com/office/2006/metadata/properties" xmlns:ns2="44ef9d45-7c5b-433e-98b2-0b7979b96efb" xmlns:ns3="380674f5-ae6e-4398-ae1a-e3b039baab99" targetNamespace="http://schemas.microsoft.com/office/2006/metadata/properties" ma:root="true" ma:fieldsID="0d78db05397586257b4bcf1e913d354b" ns2:_="" ns3:_="">
    <xsd:import namespace="44ef9d45-7c5b-433e-98b2-0b7979b96efb"/>
    <xsd:import namespace="380674f5-ae6e-4398-ae1a-e3b039baab9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ef9d45-7c5b-433e-98b2-0b7979b96ef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Tagi obrazów" ma:readOnly="false" ma:fieldId="{5cf76f15-5ced-4ddc-b409-7134ff3c332f}" ma:taxonomyMulti="true" ma:sspId="c99c7060-1db6-4dae-a216-9b75e8c1a47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80674f5-ae6e-4398-ae1a-e3b039baab99" elementFormDefault="qualified">
    <xsd:import namespace="http://schemas.microsoft.com/office/2006/documentManagement/types"/>
    <xsd:import namespace="http://schemas.microsoft.com/office/infopath/2007/PartnerControls"/>
    <xsd:element name="SharedWithUsers" ma:index="12"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Udostępnione dla — szczegóły" ma:internalName="SharedWithDetails" ma:readOnly="true">
      <xsd:simpleType>
        <xsd:restriction base="dms:Note">
          <xsd:maxLength value="255"/>
        </xsd:restriction>
      </xsd:simpleType>
    </xsd:element>
    <xsd:element name="TaxCatchAll" ma:index="21" nillable="true" ma:displayName="Taxonomy Catch All Column" ma:hidden="true" ma:list="{e6fdfcdd-7f6a-4252-8590-964496c61453}" ma:internalName="TaxCatchAll" ma:showField="CatchAllData" ma:web="380674f5-ae6e-4398-ae1a-e3b039baab9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09C639-6E81-4C42-9637-EF50EBF18171}">
  <ds:schemaRefs>
    <ds:schemaRef ds:uri="http://schemas.microsoft.com/sharepoint/v3/contenttype/forms"/>
  </ds:schemaRefs>
</ds:datastoreItem>
</file>

<file path=customXml/itemProps2.xml><?xml version="1.0" encoding="utf-8"?>
<ds:datastoreItem xmlns:ds="http://schemas.openxmlformats.org/officeDocument/2006/customXml" ds:itemID="{22440E72-627B-49BD-8136-CEF9ECB5C2F6}">
  <ds:schemaRefs>
    <ds:schemaRef ds:uri="http://schemas.openxmlformats.org/package/2006/metadata/core-properties"/>
    <ds:schemaRef ds:uri="http://purl.org/dc/terms/"/>
    <ds:schemaRef ds:uri="http://schemas.microsoft.com/office/2006/metadata/properties"/>
    <ds:schemaRef ds:uri="http://purl.org/dc/dcmitype/"/>
    <ds:schemaRef ds:uri="http://schemas.microsoft.com/office/2006/documentManagement/types"/>
    <ds:schemaRef ds:uri="http://schemas.microsoft.com/office/infopath/2007/PartnerControls"/>
    <ds:schemaRef ds:uri="380674f5-ae6e-4398-ae1a-e3b039baab99"/>
    <ds:schemaRef ds:uri="44ef9d45-7c5b-433e-98b2-0b7979b96efb"/>
    <ds:schemaRef ds:uri="http://www.w3.org/XML/1998/namespace"/>
    <ds:schemaRef ds:uri="http://purl.org/dc/elements/1.1/"/>
  </ds:schemaRefs>
</ds:datastoreItem>
</file>

<file path=customXml/itemProps3.xml><?xml version="1.0" encoding="utf-8"?>
<ds:datastoreItem xmlns:ds="http://schemas.openxmlformats.org/officeDocument/2006/customXml" ds:itemID="{F63C2E7E-639B-4CCA-87C3-D75574040A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ef9d45-7c5b-433e-98b2-0b7979b96efb"/>
    <ds:schemaRef ds:uri="380674f5-ae6e-4398-ae1a-e3b039baab9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9</vt:i4>
      </vt:variant>
      <vt:variant>
        <vt:lpstr>Zakresy nazwane</vt:lpstr>
      </vt:variant>
      <vt:variant>
        <vt:i4>6</vt:i4>
      </vt:variant>
    </vt:vector>
  </HeadingPairs>
  <TitlesOfParts>
    <vt:vector size="15" baseType="lpstr">
      <vt:lpstr>P&amp;L</vt:lpstr>
      <vt:lpstr>Segments</vt:lpstr>
      <vt:lpstr>Balance sheet</vt:lpstr>
      <vt:lpstr>Cash Flow</vt:lpstr>
      <vt:lpstr>Ratios</vt:lpstr>
      <vt:lpstr>new KPI_segment B2C&amp;B2B</vt:lpstr>
      <vt:lpstr>KPI TV &amp; online</vt:lpstr>
      <vt:lpstr>STARE KPI--&gt;</vt:lpstr>
      <vt:lpstr>KPI_segment B2C&amp;B2B</vt:lpstr>
      <vt:lpstr>'Balance sheet'!Obszar_wydruku</vt:lpstr>
      <vt:lpstr>'Cash Flow'!Obszar_wydruku</vt:lpstr>
      <vt:lpstr>'KPI_segment B2C&amp;B2B'!Obszar_wydruku</vt:lpstr>
      <vt:lpstr>'new KPI_segment B2C&amp;B2B'!Obszar_wydruku</vt:lpstr>
      <vt:lpstr>'P&amp;L'!Obszar_wydruku</vt:lpstr>
      <vt:lpstr>'Cash Flow'!OLE_LINK3</vt:lpstr>
    </vt:vector>
  </TitlesOfParts>
  <Manager/>
  <Company>Your Company Name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Anna Kuchnio</cp:lastModifiedBy>
  <cp:revision/>
  <dcterms:created xsi:type="dcterms:W3CDTF">2008-08-25T12:12:22Z</dcterms:created>
  <dcterms:modified xsi:type="dcterms:W3CDTF">2023-05-15T10:47:43Z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0x0101000C94D8E5B085244EA1243650C0689C53</vt:lpwstr>
  </property>
  <property fmtid="{D5CDD505-2E9C-101B-9397-08002B2CF9AE}" pid="5" name="MSIP_Label_09f712ea-50a0-4d7c-b3f8-0f6197c7b855_Enabled">
    <vt:lpwstr>true</vt:lpwstr>
  </property>
  <property fmtid="{D5CDD505-2E9C-101B-9397-08002B2CF9AE}" pid="6" name="MSIP_Label_09f712ea-50a0-4d7c-b3f8-0f6197c7b855_SetDate">
    <vt:lpwstr>2021-11-05T16:36:18Z</vt:lpwstr>
  </property>
  <property fmtid="{D5CDD505-2E9C-101B-9397-08002B2CF9AE}" pid="7" name="MSIP_Label_09f712ea-50a0-4d7c-b3f8-0f6197c7b855_Method">
    <vt:lpwstr>Standard</vt:lpwstr>
  </property>
  <property fmtid="{D5CDD505-2E9C-101B-9397-08002B2CF9AE}" pid="8" name="MSIP_Label_09f712ea-50a0-4d7c-b3f8-0f6197c7b855_Name">
    <vt:lpwstr>Tajemnica przedsiębiorstwa - do użytku służbowego</vt:lpwstr>
  </property>
  <property fmtid="{D5CDD505-2E9C-101B-9397-08002B2CF9AE}" pid="9" name="MSIP_Label_09f712ea-50a0-4d7c-b3f8-0f6197c7b855_SiteId">
    <vt:lpwstr>e627a4cd-356c-4934-89de-1758b5605eaf</vt:lpwstr>
  </property>
  <property fmtid="{D5CDD505-2E9C-101B-9397-08002B2CF9AE}" pid="10" name="MSIP_Label_09f712ea-50a0-4d7c-b3f8-0f6197c7b855_ActionId">
    <vt:lpwstr>f5a0a768-2bc3-4980-9c7a-7ce48f62b26c</vt:lpwstr>
  </property>
  <property fmtid="{D5CDD505-2E9C-101B-9397-08002B2CF9AE}" pid="11" name="MSIP_Label_09f712ea-50a0-4d7c-b3f8-0f6197c7b855_ContentBits">
    <vt:lpwstr>2</vt:lpwstr>
  </property>
  <property fmtid="{D5CDD505-2E9C-101B-9397-08002B2CF9AE}" pid="12" name="MediaServiceImageTags">
    <vt:lpwstr/>
  </property>
</Properties>
</file>